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tables/table4.xml" ContentType="application/vnd.openxmlformats-officedocument.spreadsheetml.table+xml"/>
  <Override PartName="/xl/drawings/drawing13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Gestion club DIJON TT\"/>
    </mc:Choice>
  </mc:AlternateContent>
  <xr:revisionPtr revIDLastSave="0" documentId="13_ncr:1_{BC6FCDD9-A5C7-47C3-8292-C31EDA155D9A}" xr6:coauthVersionLast="43" xr6:coauthVersionMax="43" xr10:uidLastSave="{00000000-0000-0000-0000-000000000000}"/>
  <bookViews>
    <workbookView xWindow="-120" yWindow="-120" windowWidth="29040" windowHeight="15840" activeTab="1" xr2:uid="{850A5C42-BB3E-47D0-9E37-D54D59CF910D}"/>
  </bookViews>
  <sheets>
    <sheet name="parametre" sheetId="1" r:id="rId1"/>
    <sheet name="TBB" sheetId="3" r:id="rId2"/>
    <sheet name="cheque_emis" sheetId="18" r:id="rId3"/>
    <sheet name="BDD_licencies" sheetId="2" r:id="rId4"/>
    <sheet name="BDD_materiel" sheetId="7" r:id="rId5"/>
    <sheet name="Facture" sheetId="4" r:id="rId6"/>
    <sheet name="lettre_relance" sheetId="10" r:id="rId7"/>
    <sheet name="Attestation" sheetId="5" r:id="rId8"/>
    <sheet name="Recu fiscal" sheetId="6" r:id="rId9"/>
    <sheet name="Faire commande" sheetId="8" r:id="rId10"/>
    <sheet name="tableau des commandes" sheetId="9" r:id="rId11"/>
    <sheet name="synthese commande" sheetId="12" r:id="rId12"/>
    <sheet name="Facture commande" sheetId="11" r:id="rId13"/>
    <sheet name="calculatrice" sheetId="13" r:id="rId14"/>
    <sheet name="remise banque" sheetId="14" r:id="rId15"/>
    <sheet name="Manifestation" sheetId="19" r:id="rId16"/>
    <sheet name="Feuil2" sheetId="15" r:id="rId17"/>
  </sheets>
  <definedNames>
    <definedName name="banque">parametre!$Q$2:$Q$15</definedName>
    <definedName name="boisson">parametre!$N$14:$N$118</definedName>
    <definedName name="choix">parametre!$P$2:$P$3</definedName>
    <definedName name="compte_imputation">parametre!$U$2:$U$19</definedName>
    <definedName name="fournisseur_ping">parametre!$S$2:$S$6</definedName>
    <definedName name="lieu_achat">parametre!$M$14:$M$22</definedName>
    <definedName name="marque_ping">parametre!$T$2:$T$13</definedName>
    <definedName name="option_licence">parametre!$N$2:$N$3</definedName>
    <definedName name="paiement">parametre!$R$2:$R$9</definedName>
    <definedName name="sexe">parametre!$O$2:$O$3</definedName>
    <definedName name="type_licence">parametre!$M$2:$M$5</definedName>
    <definedName name="_xlnm.Print_Area" localSheetId="7">Attestation!$A$1:$M$38</definedName>
    <definedName name="_xlnm.Print_Area" localSheetId="3">BDD_licencies!$A:$AP</definedName>
    <definedName name="_xlnm.Print_Area" localSheetId="13">calculatrice!$A$1:$M$20</definedName>
    <definedName name="_xlnm.Print_Area" localSheetId="2">cheque_emis!$A$1:$G$6</definedName>
    <definedName name="_xlnm.Print_Area" localSheetId="5">Facture!$B$2:$K$56</definedName>
    <definedName name="_xlnm.Print_Area" localSheetId="15">Manifestation!$A$1:$H$33</definedName>
    <definedName name="_xlnm.Print_Area" localSheetId="0">parametre!$A$1:$F$26</definedName>
    <definedName name="_xlnm.Print_Area" localSheetId="8">'Recu fiscal'!$C$6:$J$44</definedName>
    <definedName name="_xlnm.Print_Area" localSheetId="14">'remise banque'!$A$1:$N$6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2" l="1"/>
  <c r="G7" i="2"/>
  <c r="P7" i="2"/>
  <c r="V7" i="2"/>
  <c r="AB7" i="2"/>
  <c r="AH7" i="2"/>
  <c r="AI7" i="2" s="1"/>
  <c r="AJ7" i="2" s="1"/>
  <c r="AK7" i="2" s="1"/>
  <c r="AM7" i="2"/>
  <c r="AO7" i="2"/>
  <c r="AS7" i="2"/>
  <c r="AU7" i="2"/>
  <c r="AW7" i="2"/>
  <c r="AY7" i="2"/>
  <c r="BB7" i="2"/>
  <c r="BJ7" i="2"/>
  <c r="AF7" i="2" l="1"/>
  <c r="BO7" i="2" s="1"/>
  <c r="AP7" i="2"/>
  <c r="BC7" i="2" s="1"/>
  <c r="BF7" i="2" s="1"/>
  <c r="BN7" i="2" s="1"/>
  <c r="A7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" i="1"/>
  <c r="BP7" i="2" l="1"/>
  <c r="BE7" i="2"/>
  <c r="AQ7" i="2"/>
  <c r="BD7" i="2"/>
  <c r="AR31" i="15"/>
  <c r="D53" i="7" l="1"/>
  <c r="P21" i="19" l="1"/>
  <c r="T21" i="19" s="1"/>
  <c r="P22" i="19"/>
  <c r="T22" i="19" s="1"/>
  <c r="P23" i="19"/>
  <c r="T23" i="19" s="1"/>
  <c r="P24" i="19"/>
  <c r="T24" i="19" s="1"/>
  <c r="P25" i="19"/>
  <c r="T25" i="19" s="1"/>
  <c r="P26" i="19"/>
  <c r="T26" i="19" s="1"/>
  <c r="P27" i="19"/>
  <c r="T27" i="19" s="1"/>
  <c r="P28" i="19"/>
  <c r="T28" i="19" s="1"/>
  <c r="P29" i="19"/>
  <c r="T29" i="19" s="1"/>
  <c r="P30" i="19"/>
  <c r="T30" i="19" s="1"/>
  <c r="P20" i="19"/>
  <c r="T20" i="19" s="1"/>
  <c r="S6" i="19"/>
  <c r="S7" i="19"/>
  <c r="S8" i="19"/>
  <c r="S9" i="19"/>
  <c r="S10" i="19"/>
  <c r="S11" i="19"/>
  <c r="S12" i="19"/>
  <c r="S13" i="19"/>
  <c r="S14" i="19"/>
  <c r="S15" i="19"/>
  <c r="U15" i="19" s="1"/>
  <c r="S16" i="19"/>
  <c r="S17" i="19"/>
  <c r="P7" i="19"/>
  <c r="P8" i="19"/>
  <c r="P9" i="19"/>
  <c r="P10" i="19"/>
  <c r="P11" i="19"/>
  <c r="P12" i="19"/>
  <c r="P13" i="19"/>
  <c r="P14" i="19"/>
  <c r="P15" i="19"/>
  <c r="P16" i="19"/>
  <c r="P17" i="19"/>
  <c r="P6" i="19"/>
  <c r="T7" i="19" l="1"/>
  <c r="U14" i="19"/>
  <c r="U16" i="19"/>
  <c r="U9" i="19"/>
  <c r="T8" i="19"/>
  <c r="U17" i="19"/>
  <c r="T14" i="19"/>
  <c r="T6" i="19"/>
  <c r="T13" i="19"/>
  <c r="U8" i="19"/>
  <c r="U7" i="19"/>
  <c r="T12" i="19"/>
  <c r="U6" i="19"/>
  <c r="T17" i="19"/>
  <c r="T16" i="19"/>
  <c r="T11" i="19"/>
  <c r="T15" i="19"/>
  <c r="T10" i="19"/>
  <c r="U13" i="19"/>
  <c r="U12" i="19"/>
  <c r="U11" i="19"/>
  <c r="U10" i="19"/>
  <c r="T9" i="19"/>
  <c r="T33" i="19" l="1"/>
  <c r="G23" i="19" l="1"/>
  <c r="C23" i="19"/>
  <c r="C27" i="19" l="1"/>
  <c r="G6" i="18" l="1"/>
  <c r="AU6" i="2" l="1"/>
  <c r="C20" i="15" l="1"/>
  <c r="C21" i="15"/>
  <c r="C22" i="15"/>
  <c r="C23" i="15"/>
  <c r="C24" i="15"/>
  <c r="C25" i="15"/>
  <c r="C26" i="15"/>
  <c r="C27" i="15"/>
  <c r="C28" i="15"/>
  <c r="C29" i="15"/>
  <c r="C30" i="15"/>
  <c r="C31" i="15"/>
  <c r="AL20" i="15"/>
  <c r="AL21" i="15"/>
  <c r="AL22" i="15"/>
  <c r="AL23" i="15"/>
  <c r="AL24" i="15"/>
  <c r="AL25" i="15"/>
  <c r="AL26" i="15"/>
  <c r="AL27" i="15"/>
  <c r="AL28" i="15"/>
  <c r="AL29" i="15"/>
  <c r="AL30" i="15"/>
  <c r="AL31" i="15"/>
  <c r="AI20" i="15"/>
  <c r="AI21" i="15"/>
  <c r="AI22" i="15"/>
  <c r="AI23" i="15"/>
  <c r="AI24" i="15"/>
  <c r="AI25" i="15"/>
  <c r="AI26" i="15"/>
  <c r="AI27" i="15"/>
  <c r="AI28" i="15"/>
  <c r="AI29" i="15"/>
  <c r="AI30" i="15"/>
  <c r="AI31" i="15"/>
  <c r="AF20" i="15"/>
  <c r="AF21" i="15"/>
  <c r="AF22" i="15"/>
  <c r="AF23" i="15"/>
  <c r="AF24" i="15"/>
  <c r="AF25" i="15"/>
  <c r="AF26" i="15"/>
  <c r="AF27" i="15"/>
  <c r="AF28" i="15"/>
  <c r="AF29" i="15"/>
  <c r="AF30" i="15"/>
  <c r="AF31" i="15"/>
  <c r="AC20" i="15"/>
  <c r="AC21" i="15"/>
  <c r="AC22" i="15"/>
  <c r="AC23" i="15"/>
  <c r="AC24" i="15"/>
  <c r="AC25" i="15"/>
  <c r="AC26" i="15"/>
  <c r="AC27" i="15"/>
  <c r="AC28" i="15"/>
  <c r="AC29" i="15"/>
  <c r="AC30" i="15"/>
  <c r="AC31" i="15"/>
  <c r="Z20" i="15"/>
  <c r="Z21" i="15"/>
  <c r="Z22" i="15"/>
  <c r="Z23" i="15"/>
  <c r="Z24" i="15"/>
  <c r="Z25" i="15"/>
  <c r="Z26" i="15"/>
  <c r="Z27" i="15"/>
  <c r="Z28" i="15"/>
  <c r="Z29" i="15"/>
  <c r="Z30" i="15"/>
  <c r="Z31" i="15"/>
  <c r="W20" i="15"/>
  <c r="W21" i="15"/>
  <c r="W22" i="15"/>
  <c r="W23" i="15"/>
  <c r="W24" i="15"/>
  <c r="W25" i="15"/>
  <c r="W26" i="15"/>
  <c r="W27" i="15"/>
  <c r="W28" i="15"/>
  <c r="W29" i="15"/>
  <c r="W30" i="15"/>
  <c r="W31" i="15"/>
  <c r="T20" i="15"/>
  <c r="T21" i="15"/>
  <c r="T22" i="15"/>
  <c r="T23" i="15"/>
  <c r="T24" i="15"/>
  <c r="T25" i="15"/>
  <c r="T26" i="15"/>
  <c r="T27" i="15"/>
  <c r="T28" i="15"/>
  <c r="T29" i="15"/>
  <c r="T30" i="15"/>
  <c r="T31" i="15"/>
  <c r="Q20" i="15"/>
  <c r="Q21" i="15"/>
  <c r="Q22" i="15"/>
  <c r="Q23" i="15"/>
  <c r="Q24" i="15"/>
  <c r="Q25" i="15"/>
  <c r="Q26" i="15"/>
  <c r="Q27" i="15"/>
  <c r="Q28" i="15"/>
  <c r="Q29" i="15"/>
  <c r="Q30" i="15"/>
  <c r="Q31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H20" i="15"/>
  <c r="H21" i="15"/>
  <c r="H22" i="15"/>
  <c r="H23" i="15"/>
  <c r="H24" i="15"/>
  <c r="H25" i="15"/>
  <c r="H26" i="15"/>
  <c r="H27" i="15"/>
  <c r="H28" i="15"/>
  <c r="H29" i="15"/>
  <c r="H30" i="15"/>
  <c r="H31" i="15"/>
  <c r="B9" i="15"/>
  <c r="H9" i="15" s="1"/>
  <c r="B10" i="15"/>
  <c r="C10" i="15" s="1"/>
  <c r="B11" i="15"/>
  <c r="H11" i="15" s="1"/>
  <c r="B12" i="15"/>
  <c r="C12" i="15" s="1"/>
  <c r="B13" i="15"/>
  <c r="H13" i="15" s="1"/>
  <c r="B14" i="15"/>
  <c r="H14" i="15" s="1"/>
  <c r="B15" i="15"/>
  <c r="AI15" i="15" s="1"/>
  <c r="I31" i="15"/>
  <c r="L31" i="15"/>
  <c r="O31" i="15"/>
  <c r="R31" i="15"/>
  <c r="U31" i="15"/>
  <c r="X31" i="15"/>
  <c r="AA31" i="15"/>
  <c r="AD31" i="15"/>
  <c r="AG31" i="15"/>
  <c r="AJ31" i="15"/>
  <c r="AM31" i="15"/>
  <c r="AN31" i="15" s="1"/>
  <c r="I30" i="15"/>
  <c r="L30" i="15"/>
  <c r="O30" i="15"/>
  <c r="R30" i="15"/>
  <c r="U30" i="15"/>
  <c r="X30" i="15"/>
  <c r="AA30" i="15"/>
  <c r="AD30" i="15"/>
  <c r="AG30" i="15"/>
  <c r="AJ30" i="15"/>
  <c r="AM30" i="15"/>
  <c r="AN30" i="15" s="1"/>
  <c r="I29" i="15"/>
  <c r="L29" i="15"/>
  <c r="O29" i="15"/>
  <c r="R29" i="15"/>
  <c r="U29" i="15"/>
  <c r="X29" i="15"/>
  <c r="AA29" i="15"/>
  <c r="AD29" i="15"/>
  <c r="AG29" i="15"/>
  <c r="AJ29" i="15"/>
  <c r="AM29" i="15"/>
  <c r="AN29" i="15" s="1"/>
  <c r="I28" i="15"/>
  <c r="L28" i="15"/>
  <c r="O28" i="15"/>
  <c r="R28" i="15"/>
  <c r="U28" i="15"/>
  <c r="X28" i="15"/>
  <c r="AA28" i="15"/>
  <c r="AD28" i="15"/>
  <c r="AG28" i="15"/>
  <c r="AJ28" i="15"/>
  <c r="AM28" i="15"/>
  <c r="AN28" i="15" s="1"/>
  <c r="I27" i="15"/>
  <c r="L27" i="15"/>
  <c r="O27" i="15"/>
  <c r="R27" i="15"/>
  <c r="U27" i="15"/>
  <c r="X27" i="15"/>
  <c r="AA27" i="15"/>
  <c r="AD27" i="15"/>
  <c r="AG27" i="15"/>
  <c r="AJ27" i="15"/>
  <c r="AM27" i="15"/>
  <c r="AN27" i="15" s="1"/>
  <c r="I26" i="15"/>
  <c r="L26" i="15"/>
  <c r="O26" i="15"/>
  <c r="R26" i="15"/>
  <c r="U26" i="15"/>
  <c r="X26" i="15"/>
  <c r="AA26" i="15"/>
  <c r="AD26" i="15"/>
  <c r="AG26" i="15"/>
  <c r="AJ26" i="15"/>
  <c r="AM26" i="15"/>
  <c r="AN26" i="15" s="1"/>
  <c r="I25" i="15"/>
  <c r="L25" i="15"/>
  <c r="O25" i="15"/>
  <c r="R25" i="15"/>
  <c r="U25" i="15"/>
  <c r="X25" i="15"/>
  <c r="AA25" i="15"/>
  <c r="AD25" i="15"/>
  <c r="AG25" i="15"/>
  <c r="AJ25" i="15"/>
  <c r="AM25" i="15"/>
  <c r="AN25" i="15" s="1"/>
  <c r="I24" i="15"/>
  <c r="L24" i="15"/>
  <c r="O24" i="15"/>
  <c r="R24" i="15"/>
  <c r="U24" i="15"/>
  <c r="X24" i="15"/>
  <c r="AA24" i="15"/>
  <c r="AD24" i="15"/>
  <c r="AG24" i="15"/>
  <c r="AJ24" i="15"/>
  <c r="AM24" i="15"/>
  <c r="AN24" i="15" s="1"/>
  <c r="I23" i="15"/>
  <c r="L23" i="15"/>
  <c r="O23" i="15"/>
  <c r="R23" i="15"/>
  <c r="U23" i="15"/>
  <c r="X23" i="15"/>
  <c r="AA23" i="15"/>
  <c r="AD23" i="15"/>
  <c r="AG23" i="15"/>
  <c r="AJ23" i="15"/>
  <c r="AM23" i="15"/>
  <c r="AN23" i="15" s="1"/>
  <c r="I22" i="15"/>
  <c r="L22" i="15"/>
  <c r="O22" i="15"/>
  <c r="R22" i="15"/>
  <c r="U22" i="15"/>
  <c r="X22" i="15"/>
  <c r="AA22" i="15"/>
  <c r="AD22" i="15"/>
  <c r="AG22" i="15"/>
  <c r="AJ22" i="15"/>
  <c r="AM22" i="15"/>
  <c r="AN22" i="15" s="1"/>
  <c r="I21" i="15"/>
  <c r="L21" i="15"/>
  <c r="O21" i="15"/>
  <c r="R21" i="15"/>
  <c r="U21" i="15"/>
  <c r="X21" i="15"/>
  <c r="AA21" i="15"/>
  <c r="AD21" i="15"/>
  <c r="AG21" i="15"/>
  <c r="AJ21" i="15"/>
  <c r="AM21" i="15"/>
  <c r="AN21" i="15" s="1"/>
  <c r="I20" i="15"/>
  <c r="L20" i="15"/>
  <c r="O20" i="15"/>
  <c r="R20" i="15"/>
  <c r="U20" i="15"/>
  <c r="X20" i="15"/>
  <c r="AA20" i="15"/>
  <c r="AD20" i="15"/>
  <c r="AG20" i="15"/>
  <c r="AJ20" i="15"/>
  <c r="AM20" i="15"/>
  <c r="AN20" i="15" s="1"/>
  <c r="F20" i="15"/>
  <c r="F21" i="15"/>
  <c r="F22" i="15"/>
  <c r="F23" i="15"/>
  <c r="F24" i="15"/>
  <c r="F25" i="15"/>
  <c r="F26" i="15"/>
  <c r="F27" i="15"/>
  <c r="F28" i="15"/>
  <c r="F29" i="15"/>
  <c r="F30" i="15"/>
  <c r="F31" i="15"/>
  <c r="C14" i="15" l="1"/>
  <c r="H12" i="15"/>
  <c r="N15" i="15"/>
  <c r="C11" i="15"/>
  <c r="H10" i="15"/>
  <c r="C9" i="15"/>
  <c r="C13" i="15"/>
  <c r="AL15" i="15"/>
  <c r="Q15" i="15"/>
  <c r="T15" i="15"/>
  <c r="C15" i="15"/>
  <c r="W15" i="15"/>
  <c r="H15" i="15"/>
  <c r="Z15" i="15"/>
  <c r="AC15" i="15"/>
  <c r="AF15" i="15"/>
  <c r="K15" i="15"/>
  <c r="E10" i="15"/>
  <c r="E11" i="15"/>
  <c r="E12" i="15"/>
  <c r="E13" i="15"/>
  <c r="E14" i="15"/>
  <c r="F14" i="15" s="1"/>
  <c r="E20" i="15"/>
  <c r="E21" i="15"/>
  <c r="E22" i="15"/>
  <c r="E23" i="15"/>
  <c r="E24" i="15"/>
  <c r="E25" i="15"/>
  <c r="E26" i="15"/>
  <c r="E27" i="15"/>
  <c r="E28" i="15"/>
  <c r="E29" i="15"/>
  <c r="E30" i="15"/>
  <c r="E31" i="15"/>
  <c r="E9" i="15"/>
  <c r="AL10" i="15"/>
  <c r="AL11" i="15"/>
  <c r="AL12" i="15"/>
  <c r="AL13" i="15"/>
  <c r="AL14" i="15"/>
  <c r="AI10" i="15"/>
  <c r="AI11" i="15"/>
  <c r="AI12" i="15"/>
  <c r="AI13" i="15"/>
  <c r="AI14" i="15"/>
  <c r="AF10" i="15"/>
  <c r="AF11" i="15"/>
  <c r="AF12" i="15"/>
  <c r="AF13" i="15"/>
  <c r="AF14" i="15"/>
  <c r="AC10" i="15"/>
  <c r="AC11" i="15"/>
  <c r="AC12" i="15"/>
  <c r="AC13" i="15"/>
  <c r="AC14" i="15"/>
  <c r="Z10" i="15"/>
  <c r="Z11" i="15"/>
  <c r="Z12" i="15"/>
  <c r="Z13" i="15"/>
  <c r="Z14" i="15"/>
  <c r="W10" i="15"/>
  <c r="W11" i="15"/>
  <c r="W12" i="15"/>
  <c r="W13" i="15"/>
  <c r="W14" i="15"/>
  <c r="T10" i="15"/>
  <c r="T11" i="15"/>
  <c r="T12" i="15"/>
  <c r="T13" i="15"/>
  <c r="T14" i="15"/>
  <c r="Q10" i="15"/>
  <c r="Q11" i="15"/>
  <c r="Q12" i="15"/>
  <c r="Q13" i="15"/>
  <c r="Q14" i="15"/>
  <c r="N10" i="15"/>
  <c r="N11" i="15"/>
  <c r="N12" i="15"/>
  <c r="N13" i="15"/>
  <c r="N14" i="15"/>
  <c r="K10" i="15"/>
  <c r="K11" i="15"/>
  <c r="K12" i="15"/>
  <c r="K13" i="15"/>
  <c r="K14" i="15"/>
  <c r="AL9" i="15"/>
  <c r="AI9" i="15"/>
  <c r="AF9" i="15"/>
  <c r="AC9" i="15"/>
  <c r="Z9" i="15"/>
  <c r="W9" i="15"/>
  <c r="T9" i="15"/>
  <c r="Q9" i="15"/>
  <c r="N9" i="15"/>
  <c r="K9" i="15"/>
  <c r="R14" i="15" l="1"/>
  <c r="R13" i="15"/>
  <c r="I13" i="15"/>
  <c r="AM14" i="15"/>
  <c r="I14" i="15"/>
  <c r="L14" i="15"/>
  <c r="AA13" i="15"/>
  <c r="X13" i="15"/>
  <c r="AD14" i="15"/>
  <c r="AG13" i="15"/>
  <c r="O14" i="15"/>
  <c r="AG14" i="15"/>
  <c r="AJ13" i="15"/>
  <c r="U14" i="15"/>
  <c r="AJ14" i="15"/>
  <c r="AA14" i="15"/>
  <c r="X14" i="15"/>
  <c r="L12" i="15"/>
  <c r="R12" i="15"/>
  <c r="I12" i="15"/>
  <c r="AG12" i="15"/>
  <c r="O13" i="15"/>
  <c r="X12" i="15"/>
  <c r="AM13" i="15"/>
  <c r="O12" i="15"/>
  <c r="AD13" i="15"/>
  <c r="AM12" i="15"/>
  <c r="AJ12" i="15"/>
  <c r="AA12" i="15"/>
  <c r="U13" i="15"/>
  <c r="AD12" i="15"/>
  <c r="L13" i="15"/>
  <c r="U12" i="15"/>
  <c r="F12" i="15"/>
  <c r="F13" i="15"/>
  <c r="AN13" i="15" l="1"/>
  <c r="AN14" i="15"/>
  <c r="AN12" i="15"/>
  <c r="AD11" i="15"/>
  <c r="O11" i="15"/>
  <c r="AA11" i="15"/>
  <c r="AJ11" i="15"/>
  <c r="AM11" i="15"/>
  <c r="X11" i="15"/>
  <c r="AG11" i="15"/>
  <c r="I11" i="15"/>
  <c r="R11" i="15"/>
  <c r="L11" i="15"/>
  <c r="U11" i="15"/>
  <c r="AM10" i="15"/>
  <c r="O10" i="15"/>
  <c r="X10" i="15"/>
  <c r="AJ10" i="15"/>
  <c r="L10" i="15"/>
  <c r="AG10" i="15"/>
  <c r="I10" i="15"/>
  <c r="R10" i="15"/>
  <c r="AA10" i="15"/>
  <c r="U10" i="15"/>
  <c r="AD10" i="15"/>
  <c r="F11" i="15"/>
  <c r="F10" i="15"/>
  <c r="B16" i="15"/>
  <c r="B17" i="15"/>
  <c r="B18" i="15"/>
  <c r="B19" i="15"/>
  <c r="K6" i="14"/>
  <c r="E6" i="14"/>
  <c r="AN11" i="15" l="1"/>
  <c r="AN10" i="15"/>
  <c r="C19" i="15"/>
  <c r="AL19" i="15"/>
  <c r="AM19" i="15" s="1"/>
  <c r="AF19" i="15"/>
  <c r="AG19" i="15" s="1"/>
  <c r="Z19" i="15"/>
  <c r="AA19" i="15" s="1"/>
  <c r="T19" i="15"/>
  <c r="R19" i="15"/>
  <c r="U19" i="15"/>
  <c r="X19" i="15"/>
  <c r="N19" i="15"/>
  <c r="O19" i="15" s="1"/>
  <c r="K19" i="15"/>
  <c r="L19" i="15" s="1"/>
  <c r="H19" i="15"/>
  <c r="I19" i="15" s="1"/>
  <c r="AI19" i="15"/>
  <c r="AJ19" i="15" s="1"/>
  <c r="AC19" i="15"/>
  <c r="AD19" i="15" s="1"/>
  <c r="W19" i="15"/>
  <c r="Q19" i="15"/>
  <c r="E19" i="15"/>
  <c r="F19" i="15" s="1"/>
  <c r="AL18" i="15"/>
  <c r="AI18" i="15"/>
  <c r="AJ18" i="15" s="1"/>
  <c r="AF18" i="15"/>
  <c r="AC18" i="15"/>
  <c r="AD18" i="15" s="1"/>
  <c r="Z18" i="15"/>
  <c r="AA18" i="15" s="1"/>
  <c r="W18" i="15"/>
  <c r="T18" i="15"/>
  <c r="Q18" i="15"/>
  <c r="R18" i="15" s="1"/>
  <c r="X18" i="15"/>
  <c r="N18" i="15"/>
  <c r="O18" i="15" s="1"/>
  <c r="AG18" i="15"/>
  <c r="AM18" i="15"/>
  <c r="H18" i="15"/>
  <c r="I18" i="15"/>
  <c r="C18" i="15"/>
  <c r="U18" i="15"/>
  <c r="K18" i="15"/>
  <c r="L18" i="15" s="1"/>
  <c r="E18" i="15"/>
  <c r="F18" i="15" s="1"/>
  <c r="N17" i="15"/>
  <c r="O17" i="15" s="1"/>
  <c r="K17" i="15"/>
  <c r="L17" i="15" s="1"/>
  <c r="C17" i="15"/>
  <c r="U17" i="15"/>
  <c r="AL17" i="15"/>
  <c r="AM17" i="15" s="1"/>
  <c r="AI17" i="15"/>
  <c r="AJ17" i="15" s="1"/>
  <c r="AF17" i="15"/>
  <c r="AG17" i="15" s="1"/>
  <c r="AC17" i="15"/>
  <c r="Z17" i="15"/>
  <c r="AA17" i="15" s="1"/>
  <c r="W17" i="15"/>
  <c r="X17" i="15" s="1"/>
  <c r="T17" i="15"/>
  <c r="Q17" i="15"/>
  <c r="R17" i="15" s="1"/>
  <c r="H17" i="15"/>
  <c r="AD17" i="15"/>
  <c r="I17" i="15"/>
  <c r="E17" i="15"/>
  <c r="F17" i="15" s="1"/>
  <c r="AC16" i="15"/>
  <c r="O16" i="15"/>
  <c r="H16" i="15"/>
  <c r="I16" i="15" s="1"/>
  <c r="T16" i="15"/>
  <c r="U16" i="15" s="1"/>
  <c r="Q16" i="15"/>
  <c r="N16" i="15"/>
  <c r="K16" i="15"/>
  <c r="L16" i="15" s="1"/>
  <c r="AD16" i="15"/>
  <c r="R16" i="15"/>
  <c r="C16" i="15"/>
  <c r="X16" i="15"/>
  <c r="AL16" i="15"/>
  <c r="AM16" i="15" s="1"/>
  <c r="AI16" i="15"/>
  <c r="AJ16" i="15" s="1"/>
  <c r="AF16" i="15"/>
  <c r="AG16" i="15" s="1"/>
  <c r="Z16" i="15"/>
  <c r="AA16" i="15" s="1"/>
  <c r="W16" i="15"/>
  <c r="E16" i="15"/>
  <c r="F16" i="15" s="1"/>
  <c r="L6" i="14"/>
  <c r="M6" i="14" s="1"/>
  <c r="AJ9" i="15"/>
  <c r="L9" i="15"/>
  <c r="AG9" i="15"/>
  <c r="I9" i="15"/>
  <c r="X9" i="15"/>
  <c r="O9" i="15"/>
  <c r="U9" i="15"/>
  <c r="AD9" i="15"/>
  <c r="AA9" i="15"/>
  <c r="R9" i="15"/>
  <c r="AM9" i="15"/>
  <c r="E15" i="15"/>
  <c r="F15" i="15" s="1"/>
  <c r="I15" i="15" s="1"/>
  <c r="L15" i="15" s="1"/>
  <c r="O15" i="15" s="1"/>
  <c r="R15" i="15" s="1"/>
  <c r="U15" i="15" s="1"/>
  <c r="X15" i="15" s="1"/>
  <c r="AA15" i="15" s="1"/>
  <c r="AD15" i="15" s="1"/>
  <c r="AG15" i="15" s="1"/>
  <c r="AJ15" i="15" s="1"/>
  <c r="AM15" i="15" s="1"/>
  <c r="AN15" i="15" s="1"/>
  <c r="F9" i="15"/>
  <c r="AN19" i="15" l="1"/>
  <c r="AN18" i="15"/>
  <c r="AN17" i="15"/>
  <c r="AN16" i="15"/>
  <c r="AN9" i="15"/>
  <c r="L32" i="15"/>
  <c r="F32" i="15"/>
  <c r="X32" i="15"/>
  <c r="AJ32" i="15"/>
  <c r="U32" i="15"/>
  <c r="AM32" i="15"/>
  <c r="AG32" i="15"/>
  <c r="R32" i="15"/>
  <c r="AA32" i="15"/>
  <c r="AD32" i="15"/>
  <c r="O32" i="15"/>
  <c r="I32" i="15"/>
  <c r="K13" i="13"/>
  <c r="K12" i="13"/>
  <c r="K11" i="13"/>
  <c r="K10" i="13"/>
  <c r="K9" i="13"/>
  <c r="K8" i="13"/>
  <c r="K7" i="13"/>
  <c r="K6" i="13"/>
  <c r="K5" i="13"/>
  <c r="K4" i="13"/>
  <c r="K3" i="13"/>
  <c r="D19" i="13"/>
  <c r="D18" i="13"/>
  <c r="D17" i="13"/>
  <c r="D16" i="13"/>
  <c r="D15" i="13"/>
  <c r="D14" i="13"/>
  <c r="D13" i="13"/>
  <c r="D12" i="13"/>
  <c r="D10" i="13"/>
  <c r="D9" i="13"/>
  <c r="D8" i="13"/>
  <c r="D7" i="13"/>
  <c r="D6" i="13"/>
  <c r="D5" i="13"/>
  <c r="D4" i="13"/>
  <c r="F8" i="13" l="1"/>
  <c r="L7" i="13"/>
  <c r="F17" i="13"/>
  <c r="L17" i="13" s="1"/>
  <c r="E12" i="12" l="1"/>
  <c r="E11" i="12" l="1"/>
  <c r="E13" i="12" s="1"/>
  <c r="E8" i="12"/>
  <c r="D52" i="7" l="1"/>
  <c r="K15" i="8"/>
  <c r="K16" i="8"/>
  <c r="K17" i="8"/>
  <c r="K18" i="8"/>
  <c r="K19" i="8"/>
  <c r="K20" i="8"/>
  <c r="K21" i="8"/>
  <c r="K22" i="8"/>
  <c r="K23" i="8"/>
  <c r="K24" i="8"/>
  <c r="K25" i="8"/>
  <c r="L46" i="11" l="1"/>
  <c r="L45" i="11"/>
  <c r="J16" i="11"/>
  <c r="K54" i="11"/>
  <c r="L43" i="11"/>
  <c r="L42" i="11"/>
  <c r="L41" i="11"/>
  <c r="L40" i="11"/>
  <c r="L39" i="11"/>
  <c r="L38" i="11"/>
  <c r="L37" i="11"/>
  <c r="L36" i="11"/>
  <c r="L35" i="11"/>
  <c r="L34" i="11"/>
  <c r="L44" i="11" l="1"/>
  <c r="L47" i="11"/>
  <c r="D11" i="7" l="1"/>
  <c r="D18" i="7"/>
  <c r="D19" i="7"/>
  <c r="D9" i="7"/>
  <c r="D14" i="7"/>
  <c r="D41" i="7"/>
  <c r="D38" i="7"/>
  <c r="D16" i="7"/>
  <c r="D13" i="7"/>
  <c r="D26" i="7"/>
  <c r="D37" i="7"/>
  <c r="D22" i="7"/>
  <c r="D10" i="7"/>
  <c r="D40" i="7"/>
  <c r="D15" i="7"/>
  <c r="D46" i="7"/>
  <c r="D47" i="7"/>
  <c r="D48" i="7"/>
  <c r="D49" i="7"/>
  <c r="D50" i="7"/>
  <c r="D12" i="7"/>
  <c r="D39" i="7"/>
  <c r="D31" i="7"/>
  <c r="D8" i="7"/>
  <c r="D25" i="7"/>
  <c r="D24" i="7"/>
  <c r="D30" i="7"/>
  <c r="D34" i="7"/>
  <c r="D35" i="7"/>
  <c r="D33" i="7"/>
  <c r="D32" i="7"/>
  <c r="D42" i="7"/>
  <c r="D44" i="7"/>
  <c r="D45" i="7"/>
  <c r="D43" i="7"/>
  <c r="D20" i="7"/>
  <c r="D36" i="7"/>
  <c r="D51" i="7"/>
  <c r="D27" i="7"/>
  <c r="D29" i="7"/>
  <c r="D28" i="7"/>
  <c r="D17" i="7"/>
  <c r="G17" i="10" l="1"/>
  <c r="G16" i="10"/>
  <c r="D17" i="10"/>
  <c r="F16" i="10"/>
  <c r="E16" i="10"/>
  <c r="D16" i="10"/>
  <c r="F17" i="10"/>
  <c r="E15" i="10"/>
  <c r="F15" i="10"/>
  <c r="D15" i="10"/>
  <c r="G15" i="10"/>
  <c r="D6" i="10"/>
  <c r="I11" i="10" s="1"/>
  <c r="J11" i="10" s="1"/>
  <c r="K26" i="5"/>
  <c r="K19" i="11"/>
  <c r="J19" i="11"/>
  <c r="J17" i="11"/>
  <c r="I15" i="8"/>
  <c r="I16" i="8"/>
  <c r="I17" i="8"/>
  <c r="I18" i="8"/>
  <c r="I21" i="8"/>
  <c r="I22" i="8"/>
  <c r="I23" i="8"/>
  <c r="I24" i="8"/>
  <c r="I25" i="8"/>
  <c r="G15" i="8"/>
  <c r="G16" i="8"/>
  <c r="G17" i="8"/>
  <c r="G18" i="8"/>
  <c r="G21" i="8"/>
  <c r="G22" i="8"/>
  <c r="G23" i="8"/>
  <c r="G24" i="8"/>
  <c r="G25" i="8"/>
  <c r="E12" i="8"/>
  <c r="G12" i="8" s="1"/>
  <c r="I12" i="8" s="1"/>
  <c r="K12" i="8" s="1"/>
  <c r="E13" i="8"/>
  <c r="G13" i="8" s="1"/>
  <c r="I13" i="8" s="1"/>
  <c r="K13" i="8" s="1"/>
  <c r="E14" i="8"/>
  <c r="G14" i="8" s="1"/>
  <c r="I14" i="8" s="1"/>
  <c r="K14" i="8" s="1"/>
  <c r="E15" i="8"/>
  <c r="E16" i="8"/>
  <c r="E17" i="8"/>
  <c r="E18" i="8"/>
  <c r="E19" i="8"/>
  <c r="G19" i="8" s="1"/>
  <c r="I19" i="8" s="1"/>
  <c r="E20" i="8"/>
  <c r="G20" i="8" s="1"/>
  <c r="I20" i="8" s="1"/>
  <c r="E21" i="8"/>
  <c r="E22" i="8"/>
  <c r="E23" i="8"/>
  <c r="E24" i="8"/>
  <c r="E25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F6" i="10" l="1"/>
  <c r="E17" i="10"/>
  <c r="G36" i="8"/>
  <c r="D11" i="8"/>
  <c r="W42" i="8"/>
  <c r="G42" i="8"/>
  <c r="I42" i="8" s="1"/>
  <c r="S42" i="8" s="1"/>
  <c r="T42" i="8" s="1"/>
  <c r="W39" i="8"/>
  <c r="W38" i="8"/>
  <c r="G37" i="8"/>
  <c r="O34" i="8"/>
  <c r="G35" i="8" l="1"/>
  <c r="P35" i="8" s="1"/>
  <c r="L34" i="8"/>
  <c r="P36" i="8"/>
  <c r="H38" i="8"/>
  <c r="H39" i="8"/>
  <c r="H42" i="8"/>
  <c r="P37" i="8"/>
  <c r="G38" i="8"/>
  <c r="N34" i="8"/>
  <c r="G39" i="8"/>
  <c r="I38" i="8" l="1"/>
  <c r="S38" i="8" s="1"/>
  <c r="T38" i="8" s="1"/>
  <c r="P38" i="8"/>
  <c r="I39" i="8"/>
  <c r="S39" i="8" s="1"/>
  <c r="T39" i="8" s="1"/>
  <c r="P39" i="8"/>
  <c r="W35" i="8" l="1"/>
  <c r="D23" i="7" l="1"/>
  <c r="D21" i="7"/>
  <c r="E11" i="8" s="1"/>
  <c r="G11" i="8" s="1"/>
  <c r="I11" i="8" s="1"/>
  <c r="D7" i="7"/>
  <c r="I26" i="8" l="1"/>
  <c r="K11" i="8"/>
  <c r="G34" i="8" s="1"/>
  <c r="J45" i="4"/>
  <c r="J44" i="4"/>
  <c r="C14" i="5"/>
  <c r="I53" i="4"/>
  <c r="J42" i="4"/>
  <c r="J41" i="4"/>
  <c r="J40" i="4"/>
  <c r="J39" i="4"/>
  <c r="J38" i="4"/>
  <c r="J37" i="4"/>
  <c r="J36" i="4"/>
  <c r="J35" i="4"/>
  <c r="J34" i="4"/>
  <c r="J33" i="4"/>
  <c r="K26" i="8" l="1"/>
  <c r="K29" i="8"/>
  <c r="K27" i="8"/>
  <c r="I27" i="8"/>
  <c r="M34" i="8" s="1"/>
  <c r="H36" i="8" s="1"/>
  <c r="I36" i="8" s="1"/>
  <c r="H37" i="8"/>
  <c r="I37" i="8" s="1"/>
  <c r="J43" i="4"/>
  <c r="H35" i="8" l="1"/>
  <c r="I35" i="8" s="1"/>
  <c r="S35" i="8" s="1"/>
  <c r="T35" i="8" s="1"/>
  <c r="H34" i="8"/>
  <c r="I34" i="8" s="1"/>
  <c r="S34" i="8" s="1"/>
  <c r="T34" i="8" s="1"/>
  <c r="S36" i="8"/>
  <c r="T36" i="8" s="1"/>
  <c r="W36" i="8"/>
  <c r="W34" i="8"/>
  <c r="S37" i="8"/>
  <c r="T37" i="8" s="1"/>
  <c r="W37" i="8"/>
  <c r="I29" i="8"/>
  <c r="J46" i="4"/>
  <c r="G48" i="4" s="1"/>
  <c r="G50" i="4" s="1"/>
  <c r="P34" i="8" l="1"/>
  <c r="E6" i="2"/>
  <c r="G6" i="2"/>
  <c r="P6" i="2"/>
  <c r="V6" i="2"/>
  <c r="AB6" i="2"/>
  <c r="AH6" i="2"/>
  <c r="AI6" i="2" s="1"/>
  <c r="AJ6" i="2" s="1"/>
  <c r="AM6" i="2"/>
  <c r="AO6" i="2"/>
  <c r="AS6" i="2"/>
  <c r="AW6" i="2"/>
  <c r="AY6" i="2"/>
  <c r="BB6" i="2"/>
  <c r="BJ6" i="2"/>
  <c r="J30" i="5" l="1"/>
  <c r="K30" i="5" s="1"/>
  <c r="B31" i="5"/>
  <c r="J31" i="5"/>
  <c r="K31" i="5" s="1"/>
  <c r="J29" i="5"/>
  <c r="K29" i="5" s="1"/>
  <c r="B30" i="5"/>
  <c r="F31" i="5"/>
  <c r="B29" i="5"/>
  <c r="F30" i="5"/>
  <c r="F29" i="5"/>
  <c r="L20" i="5"/>
  <c r="F25" i="5" s="1"/>
  <c r="D31" i="5"/>
  <c r="D30" i="5"/>
  <c r="D29" i="5"/>
  <c r="AK6" i="2"/>
  <c r="AF6" i="2"/>
  <c r="BO6" i="2" s="1"/>
  <c r="A6" i="2"/>
  <c r="AP6" i="2" l="1"/>
  <c r="H31" i="5"/>
  <c r="E31" i="5"/>
  <c r="H29" i="5"/>
  <c r="E29" i="5"/>
  <c r="H30" i="5"/>
  <c r="E30" i="5"/>
  <c r="I49" i="11"/>
  <c r="I51" i="11" s="1"/>
  <c r="AQ6" i="2" l="1"/>
  <c r="BC6" i="2"/>
  <c r="BD6" i="2"/>
  <c r="BE6" i="2"/>
  <c r="BF6" i="2"/>
  <c r="BN6" i="2" s="1"/>
  <c r="BP6" i="2" s="1"/>
</calcChain>
</file>

<file path=xl/sharedStrings.xml><?xml version="1.0" encoding="utf-8"?>
<sst xmlns="http://schemas.openxmlformats.org/spreadsheetml/2006/main" count="901" uniqueCount="614">
  <si>
    <t>noms</t>
  </si>
  <si>
    <t xml:space="preserve"> N° Licence</t>
  </si>
  <si>
    <t>Noms</t>
  </si>
  <si>
    <t>Prenoms</t>
  </si>
  <si>
    <t>Adresse</t>
  </si>
  <si>
    <t>Code postal</t>
  </si>
  <si>
    <t>Ville</t>
  </si>
  <si>
    <t>TEL N°1</t>
  </si>
  <si>
    <t>TEL N°2</t>
  </si>
  <si>
    <t>Mail</t>
  </si>
  <si>
    <t>Mode de paiement 1</t>
  </si>
  <si>
    <t>Montant</t>
  </si>
  <si>
    <t>Montant 1</t>
  </si>
  <si>
    <t>N° cheque 1</t>
  </si>
  <si>
    <t>Ets bancaire 1</t>
  </si>
  <si>
    <t>Date d'encaissement 1</t>
  </si>
  <si>
    <t>Mode de paiement 2</t>
  </si>
  <si>
    <t>Montant 2</t>
  </si>
  <si>
    <t>N° cheque 2</t>
  </si>
  <si>
    <t>Ets bancaire 2</t>
  </si>
  <si>
    <t>Date d'encaissement 2</t>
  </si>
  <si>
    <t>Mode de paiement 3</t>
  </si>
  <si>
    <t>Montant 3</t>
  </si>
  <si>
    <t>N° cheque 3</t>
  </si>
  <si>
    <t>Ets bancaire 3</t>
  </si>
  <si>
    <t>Date d'encaissement 3</t>
  </si>
  <si>
    <t>date de naissance</t>
  </si>
  <si>
    <t>annee de naissance</t>
  </si>
  <si>
    <t>age</t>
  </si>
  <si>
    <t xml:space="preserve">saison   </t>
  </si>
  <si>
    <t>Categorie</t>
  </si>
  <si>
    <t>Code catégorie</t>
  </si>
  <si>
    <t>Type de licence</t>
  </si>
  <si>
    <t>Code type de licence</t>
  </si>
  <si>
    <t>option si promo</t>
  </si>
  <si>
    <t>code si promo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</si>
  <si>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</si>
  <si>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</si>
  <si>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</si>
  <si>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</si>
  <si>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</si>
  <si>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</si>
  <si>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</si>
  <si>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</si>
  <si>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</si>
  <si>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</si>
  <si>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</si>
  <si>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</si>
  <si>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</si>
  <si>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</si>
  <si>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</si>
  <si>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</si>
  <si>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</si>
  <si>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</si>
  <si>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</si>
  <si>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</si>
  <si>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</si>
  <si>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</si>
  <si>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</si>
  <si>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</si>
  <si>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</si>
  <si>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</si>
  <si>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</si>
  <si>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</si>
  <si>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</si>
  <si>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</si>
  <si>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</si>
  <si>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</si>
  <si>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</si>
  <si>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</si>
  <si>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</si>
  <si>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</si>
  <si>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</si>
  <si>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</si>
  <si>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</si>
  <si>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</si>
  <si>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</si>
  <si>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</si>
  <si>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</si>
  <si>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</si>
  <si>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</si>
  <si>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</si>
  <si>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</si>
  <si>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</si>
  <si>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</si>
  <si>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Bureau</t>
  </si>
  <si>
    <t>B</t>
  </si>
  <si>
    <t>Formule intensive</t>
  </si>
  <si>
    <t>les autres</t>
  </si>
  <si>
    <t>Maillot</t>
  </si>
  <si>
    <t xml:space="preserve">remise famille </t>
  </si>
  <si>
    <t xml:space="preserve">code final </t>
  </si>
  <si>
    <t>CALCUL DE LA CATEGORIE ET DE LA COTISATION</t>
  </si>
  <si>
    <t>Ptix de la cotisation totale</t>
  </si>
  <si>
    <t>Critérium Fédéral</t>
  </si>
  <si>
    <t>Achat maillot</t>
  </si>
  <si>
    <t>Remise famille</t>
  </si>
  <si>
    <t>Autre aide</t>
  </si>
  <si>
    <t>OPTIONS CHOISIES</t>
  </si>
  <si>
    <t>Cotisation annuelle</t>
  </si>
  <si>
    <t>Cotisation part club</t>
  </si>
  <si>
    <t>cotisation part ligue/comité</t>
  </si>
  <si>
    <t>REPARTITION COUT LICENCE</t>
  </si>
  <si>
    <t>somme totale à régler avec options</t>
  </si>
  <si>
    <t xml:space="preserve">M o d e   d e   p a i e m e n t                                     M o d e    d e   p a i e m e n t </t>
  </si>
  <si>
    <t>Motif du changement</t>
  </si>
  <si>
    <t>Mode de Paiement</t>
  </si>
  <si>
    <t>Montant Format Monétaire</t>
  </si>
  <si>
    <t>N° Chèque</t>
  </si>
  <si>
    <t>Date de modification</t>
  </si>
  <si>
    <t>Ets Bancaire</t>
  </si>
  <si>
    <t>Modification du prix de la licence en cours d'année</t>
  </si>
  <si>
    <t>Nouveau cout</t>
  </si>
  <si>
    <t>Déjà regle</t>
  </si>
  <si>
    <t>Reste à régler</t>
  </si>
  <si>
    <t>date de saisie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</si>
  <si>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</si>
  <si>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</si>
  <si>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</si>
  <si>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</si>
  <si>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</si>
  <si>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</si>
  <si>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</si>
  <si>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</si>
  <si>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</si>
  <si>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</si>
  <si>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</si>
  <si>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</si>
  <si>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</si>
  <si>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</si>
  <si>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</si>
  <si>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</si>
  <si>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</si>
  <si>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</si>
  <si>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</si>
  <si>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</si>
  <si>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</si>
  <si>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</si>
  <si>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</si>
  <si>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</si>
  <si>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</si>
  <si>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</si>
  <si>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</si>
  <si>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</si>
  <si>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</si>
  <si>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</si>
  <si>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</si>
  <si>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</si>
  <si>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</si>
  <si>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</si>
  <si>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</si>
  <si>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</si>
  <si>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</si>
  <si>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</si>
  <si>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</si>
  <si>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</si>
  <si>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</si>
  <si>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</si>
  <si>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</si>
  <si>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</si>
  <si>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</si>
  <si>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</si>
  <si>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</si>
  <si>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</si>
  <si>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</si>
  <si>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</si>
  <si>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</si>
  <si>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</si>
  <si>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</si>
  <si>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</si>
  <si>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</si>
  <si>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</si>
  <si>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</si>
  <si>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</si>
  <si>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</si>
  <si>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</si>
  <si>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</si>
  <si>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</si>
  <si>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</si>
  <si>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</si>
  <si>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</si>
  <si>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</si>
  <si>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</si>
  <si>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</si>
  <si>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</si>
  <si>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sexe</t>
  </si>
  <si>
    <t>option licence</t>
  </si>
  <si>
    <t>Libre</t>
  </si>
  <si>
    <t>Entrainement</t>
  </si>
  <si>
    <t>Traditionnelle</t>
  </si>
  <si>
    <t>Promotionnelle</t>
  </si>
  <si>
    <t>Sexe</t>
  </si>
  <si>
    <t>M</t>
  </si>
  <si>
    <t>F</t>
  </si>
  <si>
    <t>Non</t>
  </si>
  <si>
    <t>choix</t>
  </si>
  <si>
    <t>Oui</t>
  </si>
  <si>
    <t>critetium federal veteran senior</t>
  </si>
  <si>
    <t>banque</t>
  </si>
  <si>
    <t>CEBFC</t>
  </si>
  <si>
    <t>La banque postale</t>
  </si>
  <si>
    <t>Mode de paiement</t>
  </si>
  <si>
    <t>Espece</t>
  </si>
  <si>
    <t>Chèque</t>
  </si>
  <si>
    <t>Bon mairie</t>
  </si>
  <si>
    <t>Cheque vancances</t>
  </si>
  <si>
    <t>Coupons Sport</t>
  </si>
  <si>
    <r>
      <rPr>
        <sz val="72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</t>
    </r>
  </si>
  <si>
    <t>DIJON tennis de table</t>
  </si>
  <si>
    <t>Centre sportif de la SOURCE</t>
  </si>
  <si>
    <t>Boulevard Gaston BACHELARD</t>
  </si>
  <si>
    <t>21000 DIJON</t>
  </si>
  <si>
    <t>Tel: 07 86 40 22 34</t>
  </si>
  <si>
    <t>FACTURE</t>
  </si>
  <si>
    <t>N°</t>
  </si>
  <si>
    <t>/2018/2019</t>
  </si>
  <si>
    <t>Désignation</t>
  </si>
  <si>
    <t>Prix unitaire</t>
  </si>
  <si>
    <t>Nbre</t>
  </si>
  <si>
    <t>montant</t>
  </si>
  <si>
    <t>Total</t>
  </si>
  <si>
    <t>Remise forfaitaire</t>
  </si>
  <si>
    <t>en %</t>
  </si>
  <si>
    <t>en €</t>
  </si>
  <si>
    <t>Somme à régler</t>
  </si>
  <si>
    <t>la somme à regler s'élève à  :</t>
  </si>
  <si>
    <t>Le club de Dijon tennis de table n'est pas assujetti à la TVA</t>
  </si>
  <si>
    <t xml:space="preserve">A DIJON LE : </t>
  </si>
  <si>
    <t>Le président</t>
  </si>
  <si>
    <t>Jerome Hardy</t>
  </si>
  <si>
    <t>ATTESTATION PAIEMENT LICENCE</t>
  </si>
  <si>
    <t>licenciés</t>
  </si>
  <si>
    <t>DIJON TENNIS DE TABLE</t>
  </si>
  <si>
    <t>Dijon le :</t>
  </si>
  <si>
    <t>Tel : 0786402234</t>
  </si>
  <si>
    <t>Objet :</t>
  </si>
  <si>
    <t xml:space="preserve"> Je soussigné Jérome HARDY, président du club de DIJON tennis de table, atteste que la cotisation-licence annuelle pour l'association DIJON tennis de table de</t>
  </si>
  <si>
    <t>a été réglée dans sa globalité pour la somme de  :</t>
  </si>
  <si>
    <t>Etablissement Bancaire</t>
  </si>
  <si>
    <t>A faire valoir ce que de droit</t>
  </si>
  <si>
    <t>Jérome HARDY</t>
  </si>
  <si>
    <t>Président de l'association DIJON  tennis de table</t>
  </si>
  <si>
    <t xml:space="preserve">Attestation paiement cotisation-licence  saison 2018-2019 de </t>
  </si>
  <si>
    <t>Association loi 1901 déclarée en Préfecture de la Côte d’Or</t>
  </si>
  <si>
    <t>Ayant pour activité la pratique et la promotion du tennis de table</t>
  </si>
  <si>
    <t>Œuvre ou organisme d’intérêt général</t>
  </si>
  <si>
    <t>RECU FISCAL</t>
  </si>
  <si>
    <t>Donateur</t>
  </si>
  <si>
    <t>L’association Dijon Tennis de table reconnait avoir reçu à titre de don la somme de </t>
  </si>
  <si>
    <t>Sommes en toutes lettres </t>
  </si>
  <si>
    <t xml:space="preserve">Mode de versement  </t>
  </si>
  <si>
    <t>Numéraire</t>
  </si>
  <si>
    <t>Renonciation au remboursement de frais engagés dans le cadre des activités bénévoles au de l’association renonciation à une partie de la dette.</t>
  </si>
  <si>
    <t>Renonciation à une partie de la dette</t>
  </si>
  <si>
    <t>Date du versement ou de la renonciation</t>
  </si>
  <si>
    <t>Date d’émission du reçu</t>
  </si>
  <si>
    <t xml:space="preserve">Le président </t>
  </si>
  <si>
    <t>Référence materiel</t>
  </si>
  <si>
    <t>Ref</t>
  </si>
  <si>
    <t xml:space="preserve">Désignation </t>
  </si>
  <si>
    <t>Prix catalogue</t>
  </si>
  <si>
    <t>Marque</t>
  </si>
  <si>
    <t>Fournisseur</t>
  </si>
  <si>
    <t>0000323</t>
  </si>
  <si>
    <t>Joola</t>
  </si>
  <si>
    <t>Wack sport</t>
  </si>
  <si>
    <t>Butterfly</t>
  </si>
  <si>
    <t>Ping passion</t>
  </si>
  <si>
    <t>marque ping</t>
  </si>
  <si>
    <t>Donic</t>
  </si>
  <si>
    <t>Andro</t>
  </si>
  <si>
    <t>39,90</t>
  </si>
  <si>
    <t>fournisseur</t>
  </si>
  <si>
    <t>N°cheque</t>
  </si>
  <si>
    <t>N° facture</t>
  </si>
  <si>
    <t>Montant facture</t>
  </si>
  <si>
    <t>date de paiement</t>
  </si>
  <si>
    <t>Wack</t>
  </si>
  <si>
    <t>N°012003</t>
  </si>
  <si>
    <t>Butterbly</t>
  </si>
  <si>
    <t>21girar</t>
  </si>
  <si>
    <t>Nom prénom</t>
  </si>
  <si>
    <t>ref article</t>
  </si>
  <si>
    <t>designation</t>
  </si>
  <si>
    <t>Prix</t>
  </si>
  <si>
    <t>nbre</t>
  </si>
  <si>
    <t>remise</t>
  </si>
  <si>
    <t>TOTAL</t>
  </si>
  <si>
    <t>Frais de port</t>
  </si>
  <si>
    <t>Remise</t>
  </si>
  <si>
    <t>Recapitulatif des commandes</t>
  </si>
  <si>
    <t>arrondir les nombres</t>
  </si>
  <si>
    <t>Nom Prenom</t>
  </si>
  <si>
    <t>paiement</t>
  </si>
  <si>
    <t>Etablissement bancaire</t>
  </si>
  <si>
    <t>N° Cheque</t>
  </si>
  <si>
    <t>Somme réglée</t>
  </si>
  <si>
    <t>Port</t>
  </si>
  <si>
    <t>montant total</t>
  </si>
  <si>
    <t>valleur reelle monatant total</t>
  </si>
  <si>
    <t>valeur arrondie montant total</t>
  </si>
  <si>
    <t>Commandes</t>
  </si>
  <si>
    <t>wack sport frais de port</t>
  </si>
  <si>
    <t>Cout club</t>
  </si>
  <si>
    <t>commande inferieure a 45 €</t>
  </si>
  <si>
    <t>commande superieure à 80 €</t>
  </si>
  <si>
    <t>commande comprise entre 45€ et 80€</t>
  </si>
  <si>
    <t>Tableau des commandes</t>
  </si>
  <si>
    <t>Montant de la commande</t>
  </si>
  <si>
    <t>Date de paiement</t>
  </si>
  <si>
    <t>N°Chèque</t>
  </si>
  <si>
    <t>photo</t>
  </si>
  <si>
    <t>F:\Gestion club DIJON TT\licencie\</t>
  </si>
  <si>
    <t>0200194</t>
  </si>
  <si>
    <t>0210157</t>
  </si>
  <si>
    <t>0101096</t>
  </si>
  <si>
    <t>0120115</t>
  </si>
  <si>
    <t>0000193</t>
  </si>
  <si>
    <t>0001065</t>
  </si>
  <si>
    <t>0620116</t>
  </si>
  <si>
    <t>0600104</t>
  </si>
  <si>
    <t>0001331</t>
  </si>
  <si>
    <t>0000855</t>
  </si>
  <si>
    <t>0260137</t>
  </si>
  <si>
    <t>0511031</t>
  </si>
  <si>
    <t>0200677</t>
  </si>
  <si>
    <t>0000198</t>
  </si>
  <si>
    <t>0610114</t>
  </si>
  <si>
    <t>0001089</t>
  </si>
  <si>
    <t>06620180</t>
  </si>
  <si>
    <t>06620190</t>
  </si>
  <si>
    <t>06620200</t>
  </si>
  <si>
    <t>06620210</t>
  </si>
  <si>
    <t>06620220</t>
  </si>
  <si>
    <t>0000815</t>
  </si>
  <si>
    <t>0440100</t>
  </si>
  <si>
    <t>0000174</t>
  </si>
  <si>
    <t>0231204</t>
  </si>
  <si>
    <t>0231068</t>
  </si>
  <si>
    <t>04006600</t>
  </si>
  <si>
    <t>0460630</t>
  </si>
  <si>
    <t>0470103</t>
  </si>
  <si>
    <t>0460111</t>
  </si>
  <si>
    <t>0440180</t>
  </si>
  <si>
    <t>0640106</t>
  </si>
  <si>
    <t>0640610</t>
  </si>
  <si>
    <t>0640611</t>
  </si>
  <si>
    <t>0640607</t>
  </si>
  <si>
    <t>0121211</t>
  </si>
  <si>
    <t>0490151</t>
  </si>
  <si>
    <t>0690117</t>
  </si>
  <si>
    <t>0260614</t>
  </si>
  <si>
    <t>0311040</t>
  </si>
  <si>
    <t>0260727</t>
  </si>
  <si>
    <t>0100662</t>
  </si>
  <si>
    <t>Chemisette Grip Lady</t>
  </si>
  <si>
    <t>Jupette Tibhar Lady</t>
  </si>
  <si>
    <t>Mark V</t>
  </si>
  <si>
    <t>Bois TREIBER CO OFF/S</t>
  </si>
  <si>
    <t>THIBAR SAMSONOV JUNIOR</t>
  </si>
  <si>
    <t>REV.SUPER DEFENSE 40</t>
  </si>
  <si>
    <t>BACKSIDE 2.0 D</t>
  </si>
  <si>
    <t>Ruban raquette Tibhar</t>
  </si>
  <si>
    <t>Colle Wack Sport individual</t>
  </si>
  <si>
    <t>KILLER PRO</t>
  </si>
  <si>
    <t>VO102</t>
  </si>
  <si>
    <t>Chaussures super power</t>
  </si>
  <si>
    <t>balles speedball par 72</t>
  </si>
  <si>
    <t>Chem Padoca lady</t>
  </si>
  <si>
    <t>Vari spin D,TECS</t>
  </si>
  <si>
    <t>Nettoyant spay 205 ml</t>
  </si>
  <si>
    <t>impuls speed</t>
  </si>
  <si>
    <t>Ma raquette et moi</t>
  </si>
  <si>
    <t>Les gestes de base</t>
  </si>
  <si>
    <t>les rotations</t>
  </si>
  <si>
    <t>Comment gagner un match</t>
  </si>
  <si>
    <t>101 facons de s'eclater</t>
  </si>
  <si>
    <t>Rev.Super Spinpips chop II</t>
  </si>
  <si>
    <t>colle wack sport individual 180 ml</t>
  </si>
  <si>
    <t>marqueurs  tibhar</t>
  </si>
  <si>
    <t>vari spin</t>
  </si>
  <si>
    <t>Tee shirt Cornilleau action</t>
  </si>
  <si>
    <t>Tee shirt andro "correy"</t>
  </si>
  <si>
    <t>Table Joola Olymp</t>
  </si>
  <si>
    <t xml:space="preserve">Poteaux+Filet </t>
  </si>
  <si>
    <t>Robot Junior</t>
  </si>
  <si>
    <t>Poteaux+filet Clip Bleu</t>
  </si>
  <si>
    <t>Marqueur Tibhar Smash</t>
  </si>
  <si>
    <t xml:space="preserve">Mini raquette </t>
  </si>
  <si>
    <t>Multisize ball set</t>
  </si>
  <si>
    <t xml:space="preserve">Spinball </t>
  </si>
  <si>
    <t>Balles Joola Elephant</t>
  </si>
  <si>
    <t>Raquette Tacteo</t>
  </si>
  <si>
    <t>porte Serviette Tibhar (par 4)</t>
  </si>
  <si>
    <t>Serviette Tibhar Spectra</t>
  </si>
  <si>
    <t>Chaussures Rally</t>
  </si>
  <si>
    <t>sac Mendoza L Andro</t>
  </si>
  <si>
    <t>chaussures Sprint</t>
  </si>
  <si>
    <t>Bois Joola eagle carbon extrem</t>
  </si>
  <si>
    <t>32,95</t>
  </si>
  <si>
    <t>3,90</t>
  </si>
  <si>
    <t>13</t>
  </si>
  <si>
    <t>36,00</t>
  </si>
  <si>
    <t>64,90</t>
  </si>
  <si>
    <t>6,90</t>
  </si>
  <si>
    <t>38,95</t>
  </si>
  <si>
    <t>13,00</t>
  </si>
  <si>
    <t>38,90</t>
  </si>
  <si>
    <t>22,43</t>
  </si>
  <si>
    <t>24,90</t>
  </si>
  <si>
    <t>26,95</t>
  </si>
  <si>
    <t>895,00</t>
  </si>
  <si>
    <t>56,00</t>
  </si>
  <si>
    <t>215,10</t>
  </si>
  <si>
    <t>35,90</t>
  </si>
  <si>
    <t>7,90</t>
  </si>
  <si>
    <t>2,00</t>
  </si>
  <si>
    <t>10,00</t>
  </si>
  <si>
    <t>21,00</t>
  </si>
  <si>
    <t>9,03</t>
  </si>
  <si>
    <t>52,90</t>
  </si>
  <si>
    <t>49,95</t>
  </si>
  <si>
    <t>59,90</t>
  </si>
  <si>
    <t>46,90</t>
  </si>
  <si>
    <t>Wack Sport</t>
  </si>
  <si>
    <t>Tibhar</t>
  </si>
  <si>
    <t>Stiga</t>
  </si>
  <si>
    <t/>
  </si>
  <si>
    <t>Dr Neubauer</t>
  </si>
  <si>
    <t>Victas</t>
  </si>
  <si>
    <t>joola</t>
  </si>
  <si>
    <t>TSP</t>
  </si>
  <si>
    <t>wack</t>
  </si>
  <si>
    <t>Cornilleau</t>
  </si>
  <si>
    <t>Somme Total encaissée par le club</t>
  </si>
  <si>
    <t>GIRARD Thomas</t>
  </si>
  <si>
    <t>CAIGNOL Patrick</t>
  </si>
  <si>
    <t>DIGEON-UGGERI Julien</t>
  </si>
  <si>
    <t>Règlement Club</t>
  </si>
  <si>
    <t>Reglement licenciés</t>
  </si>
  <si>
    <t>Commentaires</t>
  </si>
  <si>
    <t>Commantaires</t>
  </si>
  <si>
    <t>autre remise</t>
  </si>
  <si>
    <t>DIJON  Tt</t>
  </si>
  <si>
    <t>bon10</t>
  </si>
  <si>
    <t>bon cadeau 10 euros</t>
  </si>
  <si>
    <t>Crédit mutuel</t>
  </si>
  <si>
    <t>Nombre de commandes effectuées</t>
  </si>
  <si>
    <t>Synthese des commandes</t>
  </si>
  <si>
    <t>montant des commandes  Dijon TT</t>
  </si>
  <si>
    <t>Montant des commandes</t>
  </si>
  <si>
    <t>licencies</t>
  </si>
  <si>
    <t>Billet 500 €</t>
  </si>
  <si>
    <t>Billet 200 €</t>
  </si>
  <si>
    <t>Billet 100 €</t>
  </si>
  <si>
    <t>Somme Billets</t>
  </si>
  <si>
    <t>Billet 50 €</t>
  </si>
  <si>
    <t>billet 20 €</t>
  </si>
  <si>
    <t>Billet 10 €</t>
  </si>
  <si>
    <t>Billet 5 €</t>
  </si>
  <si>
    <t>Piece 2 €</t>
  </si>
  <si>
    <t>Piece 1 €</t>
  </si>
  <si>
    <t>Piece 0,50 €</t>
  </si>
  <si>
    <t>Piece 0,20 €</t>
  </si>
  <si>
    <t>Somme espece</t>
  </si>
  <si>
    <t>Piece 0,10 €</t>
  </si>
  <si>
    <t>Piece 0,05€</t>
  </si>
  <si>
    <t>Piece 0,02 €</t>
  </si>
  <si>
    <t>Piece 0,01€</t>
  </si>
  <si>
    <t>Cheque</t>
  </si>
  <si>
    <t>Somme Chèque</t>
  </si>
  <si>
    <t>Somme à deposer en banque</t>
  </si>
  <si>
    <t>DESCOMPTE ARGENT</t>
  </si>
  <si>
    <t>compte d'imputation</t>
  </si>
  <si>
    <t>Buvette Club</t>
  </si>
  <si>
    <t>Critérium fédéral</t>
  </si>
  <si>
    <t>Cotisation licences</t>
  </si>
  <si>
    <t>Tournoi Crepes</t>
  </si>
  <si>
    <t>Tournoi 24 heures</t>
  </si>
  <si>
    <t>Date</t>
  </si>
  <si>
    <t>Compte d'imputation</t>
  </si>
  <si>
    <t>Moyen de paiement</t>
  </si>
  <si>
    <t>Ets bancaire</t>
  </si>
  <si>
    <t>OPERATION MISE EN BANQUE</t>
  </si>
  <si>
    <t>Coupe féminine</t>
  </si>
  <si>
    <t xml:space="preserve">Année </t>
  </si>
  <si>
    <t>Janvier</t>
  </si>
  <si>
    <t>mois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</si>
  <si>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</si>
  <si>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</si>
  <si>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</si>
  <si>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</si>
  <si>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</si>
  <si>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</si>
  <si>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</si>
  <si>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</si>
  <si>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</si>
  <si>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</si>
  <si>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n°mois</t>
  </si>
  <si>
    <t>Concatener</t>
  </si>
  <si>
    <t>Février</t>
  </si>
  <si>
    <t>Commande matétiel</t>
  </si>
  <si>
    <t>total</t>
  </si>
  <si>
    <t>Colonne82</t>
  </si>
  <si>
    <t>Nom</t>
  </si>
  <si>
    <t>Colonne83</t>
  </si>
  <si>
    <t>Prénom</t>
  </si>
  <si>
    <t>bon de 10 euros</t>
  </si>
  <si>
    <t>lieu d'achat</t>
  </si>
  <si>
    <t>Intermarché</t>
  </si>
  <si>
    <t>Cora</t>
  </si>
  <si>
    <t>Geant casino</t>
  </si>
  <si>
    <t>Villaverde</t>
  </si>
  <si>
    <t>Brass Ban</t>
  </si>
  <si>
    <t>Boisson</t>
  </si>
  <si>
    <t>Coca cola</t>
  </si>
  <si>
    <t>Prix d'achat</t>
  </si>
  <si>
    <t>date</t>
  </si>
  <si>
    <t>Costebelle rosé</t>
  </si>
  <si>
    <t>Fanta</t>
  </si>
  <si>
    <t>Lpton-Ice tea</t>
  </si>
  <si>
    <t>Oasis orange</t>
  </si>
  <si>
    <t>Orangina</t>
  </si>
  <si>
    <t>Oasis tropical</t>
  </si>
  <si>
    <t>Rosé " Cellier des dauphins"</t>
  </si>
  <si>
    <t>Biere Bavaria Blanche</t>
  </si>
  <si>
    <t>Biere Bavaria rouge</t>
  </si>
  <si>
    <t>Heinken</t>
  </si>
  <si>
    <t>Orge Profonde 33 cl</t>
  </si>
  <si>
    <t>Eau 1,5L</t>
  </si>
  <si>
    <t>Eau 0,5 cl</t>
  </si>
  <si>
    <t>Belin Monaco</t>
  </si>
  <si>
    <t>Cacahuetes</t>
  </si>
  <si>
    <t>Curly</t>
  </si>
  <si>
    <t>Tuc</t>
  </si>
  <si>
    <t>Twix</t>
  </si>
  <si>
    <t>coffret PFIFF</t>
  </si>
  <si>
    <t>Belin Reception</t>
  </si>
  <si>
    <t>Rosé "la Mazade"</t>
  </si>
  <si>
    <t>Coca cola light</t>
  </si>
  <si>
    <t>Coca Cola zéro</t>
  </si>
  <si>
    <t>Brass Band</t>
  </si>
  <si>
    <t>Perrier</t>
  </si>
  <si>
    <t>Schwepps agrum</t>
  </si>
  <si>
    <t>Seven up</t>
  </si>
  <si>
    <t>Sprite</t>
  </si>
  <si>
    <t>Orge profonde 50 cl</t>
  </si>
  <si>
    <t>Norma</t>
  </si>
  <si>
    <t>CHEQUES EMIS</t>
  </si>
  <si>
    <t>Libellé</t>
  </si>
  <si>
    <t>infos complementaires</t>
  </si>
  <si>
    <t xml:space="preserve">N° Facture </t>
  </si>
  <si>
    <t>Nbre de participants</t>
  </si>
  <si>
    <t>Montant Inscription</t>
  </si>
  <si>
    <t>RECETTES</t>
  </si>
  <si>
    <t>DEPENSES</t>
  </si>
  <si>
    <t>BILAN</t>
  </si>
  <si>
    <t>Fond de caisse</t>
  </si>
  <si>
    <t>Produits</t>
  </si>
  <si>
    <t>Nbre achat</t>
  </si>
  <si>
    <t>Prix Unit achat</t>
  </si>
  <si>
    <t>BOISSONS</t>
  </si>
  <si>
    <t>-</t>
  </si>
  <si>
    <t>Prix Unit Revente</t>
  </si>
  <si>
    <t>Début Competition</t>
  </si>
  <si>
    <t>Reste</t>
  </si>
  <si>
    <t>Vendu</t>
  </si>
  <si>
    <t>Bénéfice</t>
  </si>
  <si>
    <t>Fin compétition</t>
  </si>
  <si>
    <t>AUTRES ACHATS</t>
  </si>
  <si>
    <t>Achat</t>
  </si>
  <si>
    <t>Autre</t>
  </si>
  <si>
    <t>Banque pop</t>
  </si>
  <si>
    <t>AMIOT Christophe</t>
  </si>
  <si>
    <t>BARBIERI Gilbert</t>
  </si>
  <si>
    <t>0000851</t>
  </si>
  <si>
    <t>V01 Limber</t>
  </si>
  <si>
    <t>don</t>
  </si>
  <si>
    <t>maillots</t>
  </si>
  <si>
    <t>partenariat</t>
  </si>
  <si>
    <t>Boissons</t>
  </si>
  <si>
    <t>Prix achat</t>
  </si>
  <si>
    <t xml:space="preserve">caisse </t>
  </si>
  <si>
    <t>cheque</t>
  </si>
  <si>
    <t>doit payer</t>
  </si>
  <si>
    <t xml:space="preserve">A ce jour et sauf erreur de notre part vous avez reglé la somme de </t>
  </si>
  <si>
    <t>déjà payé</t>
  </si>
  <si>
    <t>1 er paiement</t>
  </si>
  <si>
    <t>2eme Paiement</t>
  </si>
  <si>
    <t>3 eme Paiement</t>
  </si>
  <si>
    <t>Mode de reglement</t>
  </si>
  <si>
    <t>BNP Parisbas</t>
  </si>
  <si>
    <t>Crédit Agricole</t>
  </si>
  <si>
    <t>look Tonic</t>
  </si>
  <si>
    <t>Scheppes agrum</t>
  </si>
  <si>
    <t>Look ice tea</t>
  </si>
  <si>
    <t>Coca zero</t>
  </si>
  <si>
    <t>depenses intermarche</t>
  </si>
  <si>
    <t>pain 1 mai</t>
  </si>
  <si>
    <t>pain 8 mai</t>
  </si>
  <si>
    <t>Super U</t>
  </si>
  <si>
    <t>Dépenses intermarché</t>
  </si>
  <si>
    <t>1 mai et 8 Mai</t>
  </si>
  <si>
    <t>facture comité</t>
  </si>
  <si>
    <t>facture a faire pour le comité  35,50</t>
  </si>
  <si>
    <t xml:space="preserve">Yann </t>
  </si>
  <si>
    <t>yann 7 euros</t>
  </si>
  <si>
    <t>Titres Cote D'or</t>
  </si>
  <si>
    <t>Tires Cote D'or</t>
  </si>
  <si>
    <t>CIC</t>
  </si>
  <si>
    <t>Societe generale</t>
  </si>
  <si>
    <t>Promotionelle  libre  véteran</t>
  </si>
  <si>
    <t>PLV</t>
  </si>
  <si>
    <t>GIRARD Philippe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</si>
</sst>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#,##0.00\ &quot;€&quot;"/>
    <numFmt numFmtId="167" formatCode="dd/mm/yy;@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8"/>
      <color theme="1"/>
      <name val="Arial Rounded MT Bold"/>
      <family val="2"/>
    </font>
    <font>
      <b/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7F7F7F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/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/>
      <top style="double">
        <color rgb="FFFF8001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20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14" borderId="53" applyNumberFormat="0" applyAlignment="0" applyProtection="0"/>
    <xf numFmtId="0" fontId="37" fillId="15" borderId="0" applyNumberFormat="0" applyBorder="0" applyAlignment="0" applyProtection="0"/>
  </cellStyleXfs>
  <cellXfs count="312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6" fontId="6" fillId="0" borderId="6" xfId="0" applyNumberFormat="1" applyFont="1" applyBorder="1" applyAlignment="1">
      <alignment horizontal="center"/>
    </xf>
    <xf numFmtId="166" fontId="7" fillId="0" borderId="4" xfId="0" applyNumberFormat="1" applyFont="1" applyBorder="1" applyAlignment="1">
      <alignment horizontal="center"/>
    </xf>
    <xf numFmtId="166" fontId="7" fillId="0" borderId="5" xfId="0" applyNumberFormat="1" applyFont="1" applyBorder="1" applyAlignment="1">
      <alignment horizontal="center"/>
    </xf>
    <xf numFmtId="166" fontId="7" fillId="0" borderId="7" xfId="0" applyNumberFormat="1" applyFont="1" applyBorder="1" applyAlignment="1">
      <alignment horizontal="center" vertical="center"/>
    </xf>
    <xf numFmtId="0" fontId="0" fillId="0" borderId="8" xfId="0" applyBorder="1"/>
    <xf numFmtId="0" fontId="5" fillId="0" borderId="9" xfId="0" applyFont="1" applyBorder="1" applyAlignment="1">
      <alignment horizontal="center"/>
    </xf>
    <xf numFmtId="166" fontId="7" fillId="0" borderId="8" xfId="0" applyNumberFormat="1" applyFont="1" applyBorder="1" applyAlignment="1">
      <alignment horizontal="center"/>
    </xf>
    <xf numFmtId="166" fontId="7" fillId="0" borderId="9" xfId="0" applyNumberFormat="1" applyFont="1" applyBorder="1" applyAlignment="1">
      <alignment horizontal="center"/>
    </xf>
    <xf numFmtId="166" fontId="7" fillId="0" borderId="11" xfId="0" applyNumberFormat="1" applyFont="1" applyBorder="1" applyAlignment="1">
      <alignment horizontal="center" vertical="center"/>
    </xf>
    <xf numFmtId="166" fontId="7" fillId="0" borderId="7" xfId="0" applyNumberFormat="1" applyFont="1" applyBorder="1" applyAlignment="1">
      <alignment horizontal="center"/>
    </xf>
    <xf numFmtId="166" fontId="7" fillId="0" borderId="11" xfId="0" applyNumberFormat="1" applyFont="1" applyBorder="1" applyAlignment="1">
      <alignment horizontal="center"/>
    </xf>
    <xf numFmtId="0" fontId="0" fillId="0" borderId="12" xfId="0" applyBorder="1"/>
    <xf numFmtId="0" fontId="5" fillId="0" borderId="13" xfId="0" applyFont="1" applyBorder="1" applyAlignment="1">
      <alignment horizontal="center"/>
    </xf>
    <xf numFmtId="166" fontId="7" fillId="0" borderId="14" xfId="0" applyNumberFormat="1" applyFont="1" applyBorder="1" applyAlignment="1">
      <alignment horizontal="center"/>
    </xf>
    <xf numFmtId="166" fontId="7" fillId="0" borderId="12" xfId="0" applyNumberFormat="1" applyFont="1" applyBorder="1" applyAlignment="1">
      <alignment horizontal="center"/>
    </xf>
    <xf numFmtId="166" fontId="7" fillId="0" borderId="13" xfId="0" applyNumberFormat="1" applyFont="1" applyBorder="1" applyAlignment="1">
      <alignment horizontal="center"/>
    </xf>
    <xf numFmtId="0" fontId="0" fillId="0" borderId="15" xfId="0" applyBorder="1"/>
    <xf numFmtId="0" fontId="5" fillId="0" borderId="16" xfId="0" applyFont="1" applyBorder="1" applyAlignment="1">
      <alignment horizontal="center"/>
    </xf>
    <xf numFmtId="166" fontId="7" fillId="0" borderId="18" xfId="0" applyNumberFormat="1" applyFont="1" applyBorder="1" applyAlignment="1">
      <alignment horizontal="center"/>
    </xf>
    <xf numFmtId="166" fontId="7" fillId="0" borderId="16" xfId="0" applyNumberFormat="1" applyFont="1" applyBorder="1" applyAlignment="1">
      <alignment horizontal="center"/>
    </xf>
    <xf numFmtId="166" fontId="7" fillId="0" borderId="19" xfId="0" applyNumberFormat="1" applyFont="1" applyBorder="1" applyAlignment="1">
      <alignment horizontal="center"/>
    </xf>
    <xf numFmtId="166" fontId="7" fillId="0" borderId="20" xfId="0" applyNumberFormat="1" applyFont="1" applyBorder="1" applyAlignment="1">
      <alignment horizontal="center"/>
    </xf>
    <xf numFmtId="166" fontId="7" fillId="0" borderId="17" xfId="0" applyNumberFormat="1" applyFon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0" fontId="0" fillId="0" borderId="0" xfId="0" applyAlignment="1">
      <alignment horizontal="center" wrapText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44" fontId="8" fillId="2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44" fontId="1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5" fillId="0" borderId="9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166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66" fontId="1" fillId="0" borderId="0" xfId="0" applyNumberFormat="1" applyFont="1"/>
    <xf numFmtId="0" fontId="15" fillId="0" borderId="0" xfId="0" applyFont="1" applyAlignment="1">
      <alignment horizontal="right"/>
    </xf>
    <xf numFmtId="9" fontId="0" fillId="0" borderId="0" xfId="0" applyNumberFormat="1"/>
    <xf numFmtId="166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14" fontId="18" fillId="0" borderId="0" xfId="0" applyNumberFormat="1" applyFont="1"/>
    <xf numFmtId="0" fontId="0" fillId="0" borderId="0" xfId="0" applyAlignment="1">
      <alignment vertical="center" wrapText="1"/>
    </xf>
    <xf numFmtId="0" fontId="7" fillId="0" borderId="0" xfId="0" applyFont="1" applyAlignment="1">
      <alignment horizontal="center" vertical="center" wrapText="1"/>
    </xf>
    <xf numFmtId="166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0" xfId="0" applyNumberFormat="1" applyAlignment="1">
      <alignment vertical="center" wrapText="1"/>
    </xf>
    <xf numFmtId="0" fontId="2" fillId="0" borderId="0" xfId="0" applyFont="1" applyAlignment="1">
      <alignment horizontal="right"/>
    </xf>
    <xf numFmtId="1" fontId="0" fillId="0" borderId="0" xfId="0" applyNumberFormat="1" applyAlignment="1">
      <alignment horizontal="center"/>
    </xf>
    <xf numFmtId="0" fontId="18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0" xfId="0" applyFont="1"/>
    <xf numFmtId="0" fontId="19" fillId="0" borderId="0" xfId="0" applyFont="1" applyAlignment="1">
      <alignment vertical="center"/>
    </xf>
    <xf numFmtId="0" fontId="0" fillId="0" borderId="0" xfId="0" applyAlignment="1">
      <alignment horizontal="left" vertical="center" indent="10"/>
    </xf>
    <xf numFmtId="0" fontId="0" fillId="11" borderId="0" xfId="0" applyFill="1"/>
    <xf numFmtId="0" fontId="0" fillId="11" borderId="38" xfId="0" applyFill="1" applyBorder="1"/>
    <xf numFmtId="49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66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164" fontId="23" fillId="0" borderId="0" xfId="0" applyNumberFormat="1" applyFont="1" applyAlignment="1">
      <alignment horizontal="center" vertical="center"/>
    </xf>
    <xf numFmtId="164" fontId="23" fillId="13" borderId="0" xfId="0" applyNumberFormat="1" applyFont="1" applyFill="1" applyAlignment="1" applyProtection="1">
      <alignment horizontal="center" vertical="center"/>
      <protection locked="0"/>
    </xf>
    <xf numFmtId="164" fontId="23" fillId="13" borderId="0" xfId="0" applyNumberFormat="1" applyFont="1" applyFill="1" applyAlignment="1" applyProtection="1">
      <alignment vertical="center"/>
      <protection locked="0"/>
    </xf>
    <xf numFmtId="0" fontId="15" fillId="0" borderId="0" xfId="0" applyFont="1" applyAlignment="1">
      <alignment horizontal="center" vertical="center" wrapText="1"/>
    </xf>
    <xf numFmtId="166" fontId="7" fillId="0" borderId="0" xfId="0" applyNumberFormat="1" applyFont="1" applyAlignment="1">
      <alignment horizontal="center"/>
    </xf>
    <xf numFmtId="0" fontId="24" fillId="0" borderId="0" xfId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 wrapText="1"/>
    </xf>
    <xf numFmtId="166" fontId="30" fillId="0" borderId="0" xfId="0" applyNumberFormat="1" applyFont="1" applyAlignment="1">
      <alignment horizontal="center" vertical="center"/>
    </xf>
    <xf numFmtId="1" fontId="30" fillId="0" borderId="0" xfId="0" applyNumberFormat="1" applyFont="1" applyAlignment="1">
      <alignment horizontal="center" vertical="center"/>
    </xf>
    <xf numFmtId="166" fontId="3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6" fontId="26" fillId="0" borderId="0" xfId="0" applyNumberFormat="1" applyFont="1" applyAlignment="1">
      <alignment horizontal="center" vertical="center"/>
    </xf>
    <xf numFmtId="166" fontId="26" fillId="0" borderId="0" xfId="0" applyNumberFormat="1" applyFont="1" applyAlignment="1">
      <alignment horizontal="right" vertical="center"/>
    </xf>
    <xf numFmtId="166" fontId="27" fillId="8" borderId="0" xfId="0" applyNumberFormat="1" applyFont="1" applyFill="1" applyAlignment="1">
      <alignment horizontal="center" vertical="center"/>
    </xf>
    <xf numFmtId="0" fontId="29" fillId="0" borderId="0" xfId="0" applyFont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6" fillId="0" borderId="42" xfId="0" applyFont="1" applyBorder="1" applyAlignment="1">
      <alignment horizontal="center" vertical="center"/>
    </xf>
    <xf numFmtId="166" fontId="30" fillId="0" borderId="45" xfId="0" applyNumberFormat="1" applyFont="1" applyBorder="1" applyAlignment="1">
      <alignment horizontal="center" vertical="center"/>
    </xf>
    <xf numFmtId="1" fontId="30" fillId="0" borderId="45" xfId="0" applyNumberFormat="1" applyFont="1" applyBorder="1" applyAlignment="1">
      <alignment horizontal="center" vertical="center"/>
    </xf>
    <xf numFmtId="166" fontId="31" fillId="0" borderId="45" xfId="0" applyNumberFormat="1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24" fillId="0" borderId="42" xfId="1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5" fillId="0" borderId="48" xfId="1" applyNumberFormat="1" applyFont="1" applyBorder="1" applyAlignment="1">
      <alignment horizontal="center" vertical="center"/>
    </xf>
    <xf numFmtId="0" fontId="24" fillId="0" borderId="48" xfId="1" applyFont="1" applyBorder="1" applyAlignment="1">
      <alignment horizontal="center" vertical="center"/>
    </xf>
    <xf numFmtId="166" fontId="24" fillId="0" borderId="48" xfId="1" applyNumberFormat="1" applyFont="1" applyBorder="1" applyAlignment="1">
      <alignment horizontal="center" vertical="center"/>
    </xf>
    <xf numFmtId="9" fontId="25" fillId="0" borderId="48" xfId="1" applyNumberFormat="1" applyFont="1" applyBorder="1" applyAlignment="1">
      <alignment horizontal="center" vertical="center"/>
    </xf>
    <xf numFmtId="49" fontId="25" fillId="0" borderId="50" xfId="1" applyNumberFormat="1" applyFont="1" applyBorder="1" applyAlignment="1">
      <alignment horizontal="center" vertical="center"/>
    </xf>
    <xf numFmtId="0" fontId="24" fillId="0" borderId="50" xfId="1" applyFont="1" applyBorder="1" applyAlignment="1">
      <alignment horizontal="center" vertical="center"/>
    </xf>
    <xf numFmtId="166" fontId="24" fillId="0" borderId="50" xfId="1" applyNumberFormat="1" applyFont="1" applyBorder="1" applyAlignment="1">
      <alignment horizontal="center" vertical="center"/>
    </xf>
    <xf numFmtId="9" fontId="25" fillId="0" borderId="50" xfId="1" applyNumberFormat="1" applyFont="1" applyBorder="1" applyAlignment="1">
      <alignment horizontal="center" vertical="center"/>
    </xf>
    <xf numFmtId="0" fontId="0" fillId="0" borderId="50" xfId="0" applyBorder="1"/>
    <xf numFmtId="0" fontId="30" fillId="0" borderId="50" xfId="0" applyFont="1" applyBorder="1"/>
    <xf numFmtId="0" fontId="26" fillId="0" borderId="50" xfId="0" applyFont="1" applyBorder="1" applyAlignment="1">
      <alignment horizontal="center" vertical="center"/>
    </xf>
    <xf numFmtId="0" fontId="33" fillId="0" borderId="50" xfId="0" applyFont="1" applyBorder="1" applyAlignment="1">
      <alignment horizontal="center" vertical="center"/>
    </xf>
    <xf numFmtId="0" fontId="34" fillId="0" borderId="47" xfId="1" applyFont="1" applyBorder="1" applyAlignment="1">
      <alignment horizontal="center" vertical="center"/>
    </xf>
    <xf numFmtId="0" fontId="34" fillId="0" borderId="49" xfId="1" applyFont="1" applyBorder="1" applyAlignment="1">
      <alignment horizontal="center" vertical="center"/>
    </xf>
    <xf numFmtId="0" fontId="0" fillId="8" borderId="17" xfId="0" applyFill="1" applyBorder="1"/>
    <xf numFmtId="0" fontId="0" fillId="8" borderId="20" xfId="0" applyFill="1" applyBorder="1"/>
    <xf numFmtId="0" fontId="0" fillId="8" borderId="0" xfId="0" applyFill="1"/>
    <xf numFmtId="0" fontId="0" fillId="0" borderId="4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26" fillId="0" borderId="50" xfId="0" applyNumberFormat="1" applyFont="1" applyBorder="1" applyAlignment="1">
      <alignment horizontal="right" vertical="center"/>
    </xf>
    <xf numFmtId="166" fontId="26" fillId="0" borderId="50" xfId="0" applyNumberFormat="1" applyFont="1" applyBorder="1" applyAlignment="1">
      <alignment horizontal="center" vertical="center"/>
    </xf>
    <xf numFmtId="166" fontId="27" fillId="0" borderId="50" xfId="0" applyNumberFormat="1" applyFont="1" applyBorder="1" applyAlignment="1">
      <alignment horizontal="center" vertical="center"/>
    </xf>
    <xf numFmtId="166" fontId="27" fillId="0" borderId="0" xfId="0" applyNumberFormat="1" applyFont="1" applyAlignment="1">
      <alignment horizontal="center" vertical="center"/>
    </xf>
    <xf numFmtId="166" fontId="0" fillId="0" borderId="43" xfId="0" applyNumberFormat="1" applyBorder="1" applyAlignment="1">
      <alignment horizontal="center" vertical="center"/>
    </xf>
    <xf numFmtId="0" fontId="0" fillId="0" borderId="43" xfId="0" applyBorder="1"/>
    <xf numFmtId="0" fontId="0" fillId="4" borderId="0" xfId="0" applyFill="1" applyAlignment="1">
      <alignment horizontal="center" vertical="center"/>
    </xf>
    <xf numFmtId="0" fontId="0" fillId="4" borderId="0" xfId="0" applyFill="1"/>
    <xf numFmtId="166" fontId="0" fillId="4" borderId="0" xfId="0" applyNumberFormat="1" applyFill="1"/>
    <xf numFmtId="0" fontId="18" fillId="0" borderId="0" xfId="0" applyFont="1" applyAlignment="1">
      <alignment horizontal="center" vertical="center"/>
    </xf>
    <xf numFmtId="0" fontId="36" fillId="0" borderId="0" xfId="0" applyFont="1"/>
    <xf numFmtId="166" fontId="18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3" fontId="18" fillId="0" borderId="0" xfId="0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0" borderId="44" xfId="0" applyBorder="1" applyAlignment="1">
      <alignment horizontal="center" vertical="center"/>
    </xf>
    <xf numFmtId="0" fontId="0" fillId="0" borderId="51" xfId="0" applyBorder="1" applyAlignment="1" applyProtection="1">
      <alignment vertical="center"/>
      <protection locked="0"/>
    </xf>
    <xf numFmtId="0" fontId="0" fillId="0" borderId="51" xfId="0" applyBorder="1" applyAlignment="1" applyProtection="1">
      <alignment horizontal="left" vertical="center"/>
      <protection locked="0"/>
    </xf>
    <xf numFmtId="0" fontId="8" fillId="0" borderId="0" xfId="0" applyFont="1" applyAlignment="1">
      <alignment horizontal="center" vertical="center"/>
    </xf>
    <xf numFmtId="167" fontId="40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/>
    </xf>
    <xf numFmtId="166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/>
    </xf>
    <xf numFmtId="0" fontId="41" fillId="15" borderId="52" xfId="4" applyFont="1" applyBorder="1" applyAlignment="1">
      <alignment horizontal="center"/>
    </xf>
    <xf numFmtId="0" fontId="39" fillId="14" borderId="53" xfId="3" applyAlignment="1">
      <alignment horizontal="center"/>
    </xf>
    <xf numFmtId="166" fontId="39" fillId="14" borderId="53" xfId="3" applyNumberFormat="1" applyAlignment="1">
      <alignment horizontal="center"/>
    </xf>
    <xf numFmtId="0" fontId="1" fillId="9" borderId="0" xfId="0" applyFont="1" applyFill="1" applyAlignment="1">
      <alignment horizontal="center" vertical="center"/>
    </xf>
    <xf numFmtId="0" fontId="36" fillId="0" borderId="0" xfId="0" applyFont="1" applyAlignment="1">
      <alignment vertical="center"/>
    </xf>
    <xf numFmtId="166" fontId="1" fillId="0" borderId="0" xfId="0" applyNumberFormat="1" applyFont="1" applyAlignment="1">
      <alignment horizontal="center" vertical="center"/>
    </xf>
    <xf numFmtId="0" fontId="1" fillId="0" borderId="37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166" fontId="1" fillId="0" borderId="56" xfId="0" applyNumberFormat="1" applyFont="1" applyBorder="1" applyAlignment="1">
      <alignment horizontal="center"/>
    </xf>
    <xf numFmtId="0" fontId="1" fillId="9" borderId="0" xfId="0" applyFont="1" applyFill="1" applyAlignment="1">
      <alignment horizontal="center" vertical="center" wrapText="1"/>
    </xf>
    <xf numFmtId="0" fontId="0" fillId="9" borderId="0" xfId="0" applyFill="1"/>
    <xf numFmtId="0" fontId="0" fillId="9" borderId="37" xfId="0" applyFill="1" applyBorder="1" applyAlignment="1">
      <alignment horizontal="center"/>
    </xf>
    <xf numFmtId="166" fontId="0" fillId="9" borderId="37" xfId="0" applyNumberFormat="1" applyFill="1" applyBorder="1" applyAlignment="1">
      <alignment horizontal="center"/>
    </xf>
    <xf numFmtId="166" fontId="0" fillId="9" borderId="37" xfId="0" applyNumberFormat="1" applyFill="1" applyBorder="1" applyAlignment="1">
      <alignment horizontal="center" vertical="center"/>
    </xf>
    <xf numFmtId="0" fontId="0" fillId="9" borderId="56" xfId="0" applyFill="1" applyBorder="1" applyAlignment="1">
      <alignment horizontal="center"/>
    </xf>
    <xf numFmtId="166" fontId="0" fillId="9" borderId="56" xfId="0" applyNumberFormat="1" applyFill="1" applyBorder="1" applyAlignment="1">
      <alignment horizontal="center"/>
    </xf>
    <xf numFmtId="0" fontId="1" fillId="0" borderId="0" xfId="0" applyFont="1"/>
    <xf numFmtId="0" fontId="8" fillId="0" borderId="0" xfId="0" applyFont="1"/>
    <xf numFmtId="16" fontId="0" fillId="0" borderId="0" xfId="0" applyNumberFormat="1" applyAlignment="1">
      <alignment horizontal="center"/>
    </xf>
    <xf numFmtId="44" fontId="42" fillId="0" borderId="0" xfId="2" applyNumberFormat="1" applyFont="1" applyAlignment="1">
      <alignment horizontal="center" vertical="center"/>
    </xf>
    <xf numFmtId="166" fontId="42" fillId="0" borderId="0" xfId="2" applyNumberFormat="1" applyFont="1" applyAlignment="1">
      <alignment horizontal="center" vertical="center"/>
    </xf>
    <xf numFmtId="0" fontId="42" fillId="0" borderId="0" xfId="2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7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 wrapText="1"/>
    </xf>
    <xf numFmtId="166" fontId="38" fillId="0" borderId="0" xfId="2" applyNumberFormat="1" applyAlignment="1">
      <alignment horizontal="center" vertical="center"/>
    </xf>
    <xf numFmtId="0" fontId="0" fillId="17" borderId="0" xfId="0" applyFill="1"/>
    <xf numFmtId="0" fontId="1" fillId="0" borderId="0" xfId="0" applyFont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18" borderId="0" xfId="0" applyNumberFormat="1" applyFill="1" applyAlignment="1">
      <alignment horizontal="center" vertical="center"/>
    </xf>
    <xf numFmtId="166" fontId="1" fillId="18" borderId="0" xfId="0" applyNumberFormat="1" applyFont="1" applyFill="1" applyAlignment="1">
      <alignment horizontal="center" vertical="center"/>
    </xf>
    <xf numFmtId="44" fontId="0" fillId="18" borderId="0" xfId="0" applyNumberFormat="1" applyFill="1" applyAlignment="1">
      <alignment horizontal="center" vertical="center"/>
    </xf>
    <xf numFmtId="44" fontId="8" fillId="18" borderId="0" xfId="0" applyNumberFormat="1" applyFont="1" applyFill="1" applyAlignment="1">
      <alignment horizontal="center" vertical="center"/>
    </xf>
    <xf numFmtId="44" fontId="1" fillId="18" borderId="0" xfId="0" applyNumberFormat="1" applyFont="1" applyFill="1" applyAlignment="1">
      <alignment horizontal="center" vertical="center"/>
    </xf>
    <xf numFmtId="44" fontId="2" fillId="18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right" vertical="center"/>
    </xf>
    <xf numFmtId="166" fontId="1" fillId="0" borderId="0" xfId="0" applyNumberFormat="1" applyFont="1" applyAlignment="1">
      <alignment horizontal="right" vertical="center"/>
    </xf>
    <xf numFmtId="0" fontId="7" fillId="0" borderId="0" xfId="0" applyFont="1" applyAlignment="1" applyProtection="1">
      <alignment horizontal="center"/>
      <protection locked="0"/>
    </xf>
    <xf numFmtId="0" fontId="11" fillId="0" borderId="0" xfId="0" applyFont="1" applyAlignment="1">
      <alignment horizontal="center" vertical="center" wrapText="1"/>
    </xf>
    <xf numFmtId="0" fontId="11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20" xfId="0" applyFill="1" applyBorder="1" applyAlignment="1">
      <alignment horizontal="center"/>
    </xf>
    <xf numFmtId="0" fontId="7" fillId="2" borderId="21" xfId="0" applyFont="1" applyFill="1" applyBorder="1" applyAlignment="1">
      <alignment horizontal="center"/>
    </xf>
    <xf numFmtId="0" fontId="7" fillId="2" borderId="22" xfId="0" applyFont="1" applyFill="1" applyBorder="1" applyAlignment="1">
      <alignment horizontal="center"/>
    </xf>
    <xf numFmtId="0" fontId="7" fillId="2" borderId="23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12" fillId="2" borderId="27" xfId="0" applyFont="1" applyFill="1" applyBorder="1" applyAlignment="1">
      <alignment horizontal="right" vertical="center"/>
    </xf>
    <xf numFmtId="0" fontId="0" fillId="2" borderId="28" xfId="0" applyFill="1" applyBorder="1" applyAlignment="1">
      <alignment horizontal="right" vertical="center"/>
    </xf>
    <xf numFmtId="0" fontId="0" fillId="2" borderId="30" xfId="0" applyFill="1" applyBorder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0" fillId="2" borderId="32" xfId="0" applyFill="1" applyBorder="1" applyAlignment="1">
      <alignment horizontal="right" vertical="center"/>
    </xf>
    <xf numFmtId="0" fontId="0" fillId="2" borderId="33" xfId="0" applyFill="1" applyBorder="1" applyAlignment="1">
      <alignment horizontal="right" vertical="center"/>
    </xf>
    <xf numFmtId="0" fontId="14" fillId="2" borderId="28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4" fillId="2" borderId="33" xfId="0" applyFont="1" applyFill="1" applyBorder="1" applyAlignment="1">
      <alignment horizontal="center" vertical="center"/>
    </xf>
    <xf numFmtId="0" fontId="14" fillId="2" borderId="28" xfId="0" applyFont="1" applyFill="1" applyBorder="1" applyAlignment="1">
      <alignment horizontal="right" vertical="center"/>
    </xf>
    <xf numFmtId="0" fontId="14" fillId="2" borderId="0" xfId="0" applyFont="1" applyFill="1" applyAlignment="1">
      <alignment horizontal="right" vertical="center"/>
    </xf>
    <xf numFmtId="0" fontId="14" fillId="2" borderId="33" xfId="0" applyFont="1" applyFill="1" applyBorder="1" applyAlignment="1">
      <alignment horizontal="right" vertical="center"/>
    </xf>
    <xf numFmtId="0" fontId="14" fillId="2" borderId="28" xfId="0" applyFont="1" applyFill="1" applyBorder="1" applyAlignment="1">
      <alignment horizontal="left" vertical="center"/>
    </xf>
    <xf numFmtId="0" fontId="14" fillId="2" borderId="29" xfId="0" applyFont="1" applyFill="1" applyBorder="1" applyAlignment="1">
      <alignment horizontal="left" vertical="center"/>
    </xf>
    <xf numFmtId="0" fontId="14" fillId="2" borderId="0" xfId="0" applyFont="1" applyFill="1" applyAlignment="1">
      <alignment horizontal="left" vertical="center"/>
    </xf>
    <xf numFmtId="0" fontId="14" fillId="2" borderId="31" xfId="0" applyFont="1" applyFill="1" applyBorder="1" applyAlignment="1">
      <alignment horizontal="left" vertical="center"/>
    </xf>
    <xf numFmtId="0" fontId="14" fillId="2" borderId="33" xfId="0" applyFont="1" applyFill="1" applyBorder="1" applyAlignment="1">
      <alignment horizontal="left" vertical="center"/>
    </xf>
    <xf numFmtId="0" fontId="14" fillId="2" borderId="34" xfId="0" applyFont="1" applyFill="1" applyBorder="1" applyAlignment="1">
      <alignment horizontal="left" vertical="center"/>
    </xf>
    <xf numFmtId="166" fontId="1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center" vertical="center"/>
    </xf>
    <xf numFmtId="0" fontId="7" fillId="8" borderId="10" xfId="0" applyFont="1" applyFill="1" applyBorder="1" applyAlignment="1">
      <alignment horizontal="center"/>
    </xf>
    <xf numFmtId="0" fontId="7" fillId="8" borderId="35" xfId="0" applyFont="1" applyFill="1" applyBorder="1" applyAlignment="1">
      <alignment horizontal="center"/>
    </xf>
    <xf numFmtId="0" fontId="7" fillId="8" borderId="36" xfId="0" applyFont="1" applyFill="1" applyBorder="1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wrapText="1"/>
    </xf>
    <xf numFmtId="0" fontId="19" fillId="0" borderId="0" xfId="0" applyFont="1" applyAlignment="1">
      <alignment horizontal="left"/>
    </xf>
    <xf numFmtId="0" fontId="3" fillId="10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0" borderId="0" xfId="0" applyFont="1" applyAlignment="1">
      <alignment horizontal="right"/>
    </xf>
    <xf numFmtId="0" fontId="7" fillId="0" borderId="0" xfId="0" applyFont="1" applyAlignment="1">
      <alignment horizontal="center" vertical="center" wrapText="1"/>
    </xf>
    <xf numFmtId="0" fontId="0" fillId="11" borderId="37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11" borderId="0" xfId="0" applyFill="1" applyAlignment="1">
      <alignment horizontal="center"/>
    </xf>
    <xf numFmtId="0" fontId="21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32" fillId="12" borderId="42" xfId="0" applyFont="1" applyFill="1" applyBorder="1" applyAlignment="1">
      <alignment horizontal="center" vertical="center"/>
    </xf>
    <xf numFmtId="0" fontId="32" fillId="12" borderId="0" xfId="0" applyFont="1" applyFill="1" applyAlignment="1">
      <alignment horizontal="center" vertical="center"/>
    </xf>
    <xf numFmtId="0" fontId="32" fillId="12" borderId="43" xfId="0" applyFont="1" applyFill="1" applyBorder="1" applyAlignment="1">
      <alignment horizontal="center" vertical="center"/>
    </xf>
    <xf numFmtId="0" fontId="12" fillId="12" borderId="39" xfId="0" applyFont="1" applyFill="1" applyBorder="1" applyAlignment="1">
      <alignment horizontal="center" vertical="center"/>
    </xf>
    <xf numFmtId="0" fontId="12" fillId="12" borderId="40" xfId="0" applyFont="1" applyFill="1" applyBorder="1" applyAlignment="1">
      <alignment horizontal="center" vertical="center"/>
    </xf>
    <xf numFmtId="0" fontId="12" fillId="12" borderId="41" xfId="0" applyFont="1" applyFill="1" applyBorder="1" applyAlignment="1">
      <alignment horizontal="center" vertical="center"/>
    </xf>
    <xf numFmtId="0" fontId="12" fillId="12" borderId="42" xfId="0" applyFont="1" applyFill="1" applyBorder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12" fillId="12" borderId="43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3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12" fillId="0" borderId="0" xfId="0" applyFont="1" applyAlignment="1">
      <alignment horizontal="center"/>
    </xf>
    <xf numFmtId="166" fontId="36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 textRotation="255" shrinkToFit="1"/>
    </xf>
    <xf numFmtId="0" fontId="1" fillId="9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 textRotation="255" shrinkToFit="1"/>
    </xf>
    <xf numFmtId="0" fontId="1" fillId="0" borderId="55" xfId="0" applyFont="1" applyBorder="1" applyAlignment="1">
      <alignment horizontal="center" vertical="center"/>
    </xf>
    <xf numFmtId="0" fontId="39" fillId="14" borderId="53" xfId="3" applyAlignment="1">
      <alignment horizontal="center"/>
    </xf>
    <xf numFmtId="166" fontId="39" fillId="14" borderId="53" xfId="3" applyNumberFormat="1" applyAlignment="1">
      <alignment horizontal="center" vertical="center"/>
    </xf>
    <xf numFmtId="0" fontId="39" fillId="14" borderId="53" xfId="3" applyAlignment="1">
      <alignment horizontal="center" vertical="center"/>
    </xf>
    <xf numFmtId="0" fontId="0" fillId="16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42" fillId="0" borderId="0" xfId="2" applyFont="1" applyAlignment="1">
      <alignment horizontal="center" vertical="center"/>
    </xf>
    <xf numFmtId="0" fontId="42" fillId="0" borderId="0" xfId="2" applyFont="1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0" fontId="41" fillId="15" borderId="52" xfId="4" applyFont="1" applyBorder="1" applyAlignment="1">
      <alignment horizontal="center"/>
    </xf>
  </cellXfs>
  <cellStyles count="5">
    <cellStyle name="40 % - Accent1" xfId="4" builtinId="31"/>
    <cellStyle name="Normal" xfId="0" builtinId="0"/>
    <cellStyle name="Texte explicatif" xfId="1" builtinId="53"/>
    <cellStyle name="Titre 4" xfId="2" builtinId="19"/>
    <cellStyle name="Vérification" xfId="3" builtinId="23"/>
  </cellStyles>
  <dxfs count="1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5" formatCode="000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6" formatCode="#,##0.00\ &quot;€&quot;"/>
      <alignment horizontal="righ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7" Type="http://schemas.openxmlformats.org/officeDocument/2006/relationships/hyperlink" Target="http://pngimg.com/download/31539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5" Type="http://schemas.openxmlformats.org/officeDocument/2006/relationships/hyperlink" Target="https://www.flickr.com/photos/bertop/2753093758/" TargetMode="External"/><Relationship Id="rId4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hyperlink" Target="http://pngimg.com/download/31539" TargetMode="External"/><Relationship Id="rId4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hyperlink" Target="http://pngimg.com/download/31539" TargetMode="External"/><Relationship Id="rId4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kspeicher.de/120179/" TargetMode="External"/><Relationship Id="rId1" Type="http://schemas.openxmlformats.org/officeDocument/2006/relationships/image" Target="../media/image5.gif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kspeicher.de/120179/" TargetMode="External"/><Relationship Id="rId1" Type="http://schemas.openxmlformats.org/officeDocument/2006/relationships/image" Target="../media/image5.gif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kspeicher.de/120179/" TargetMode="External"/><Relationship Id="rId1" Type="http://schemas.openxmlformats.org/officeDocument/2006/relationships/image" Target="../media/image5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kspeicher.de/120179/" TargetMode="External"/><Relationship Id="rId1" Type="http://schemas.openxmlformats.org/officeDocument/2006/relationships/image" Target="../media/image5.gif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kspeicher.de/120179/" TargetMode="External"/><Relationship Id="rId1" Type="http://schemas.openxmlformats.org/officeDocument/2006/relationships/image" Target="../media/image5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1</xdr:row>
      <xdr:rowOff>28575</xdr:rowOff>
    </xdr:from>
    <xdr:to>
      <xdr:col>6</xdr:col>
      <xdr:colOff>361950</xdr:colOff>
      <xdr:row>15</xdr:row>
      <xdr:rowOff>9525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84867F28-17AC-4806-836B-6B15C6B541D2}"/>
            </a:ext>
          </a:extLst>
        </xdr:cNvPr>
        <xdr:cNvSpPr/>
      </xdr:nvSpPr>
      <xdr:spPr>
        <a:xfrm>
          <a:off x="3028950" y="219075"/>
          <a:ext cx="1905000" cy="26479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257175</xdr:colOff>
      <xdr:row>1</xdr:row>
      <xdr:rowOff>19050</xdr:rowOff>
    </xdr:from>
    <xdr:to>
      <xdr:col>3</xdr:col>
      <xdr:colOff>409575</xdr:colOff>
      <xdr:row>14</xdr:row>
      <xdr:rowOff>114300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F5D94C15-7A8A-426B-A98C-82350C0BDD80}"/>
            </a:ext>
          </a:extLst>
        </xdr:cNvPr>
        <xdr:cNvSpPr/>
      </xdr:nvSpPr>
      <xdr:spPr>
        <a:xfrm>
          <a:off x="1019175" y="209550"/>
          <a:ext cx="1676400" cy="25717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695323</xdr:colOff>
      <xdr:row>6</xdr:row>
      <xdr:rowOff>104775</xdr:rowOff>
    </xdr:from>
    <xdr:to>
      <xdr:col>9</xdr:col>
      <xdr:colOff>361950</xdr:colOff>
      <xdr:row>8</xdr:row>
      <xdr:rowOff>95250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2DD0BC51-A21B-4168-A902-FC263D91E38F}"/>
            </a:ext>
          </a:extLst>
        </xdr:cNvPr>
        <xdr:cNvSpPr>
          <a:spLocks noChangeAspect="1"/>
        </xdr:cNvSpPr>
      </xdr:nvSpPr>
      <xdr:spPr>
        <a:xfrm>
          <a:off x="5267323" y="1247775"/>
          <a:ext cx="1952627" cy="3714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 b="1" i="1">
              <a:solidFill>
                <a:sysClr val="windowText" lastClr="000000"/>
              </a:solidFill>
            </a:rPr>
            <a:t>Ouvrir</a:t>
          </a:r>
          <a:r>
            <a:rPr lang="fr-FR" sz="1000" b="1" i="1" baseline="0">
              <a:solidFill>
                <a:sysClr val="windowText" lastClr="000000"/>
              </a:solidFill>
            </a:rPr>
            <a:t> le formulaire d'inscription</a:t>
          </a:r>
          <a:endParaRPr lang="fr-FR" sz="10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19044</xdr:colOff>
      <xdr:row>6</xdr:row>
      <xdr:rowOff>133329</xdr:rowOff>
    </xdr:from>
    <xdr:to>
      <xdr:col>6</xdr:col>
      <xdr:colOff>338463</xdr:colOff>
      <xdr:row>8</xdr:row>
      <xdr:rowOff>40329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F895EF24-8136-4D0D-BB19-400F25FB51AE}"/>
            </a:ext>
          </a:extLst>
        </xdr:cNvPr>
        <xdr:cNvSpPr>
          <a:spLocks noChangeAspect="1"/>
        </xdr:cNvSpPr>
      </xdr:nvSpPr>
      <xdr:spPr>
        <a:xfrm>
          <a:off x="3067044" y="1276329"/>
          <a:ext cx="1843419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Etablir une facture</a:t>
          </a:r>
        </a:p>
      </xdr:txBody>
    </xdr:sp>
    <xdr:clientData/>
  </xdr:twoCellAnchor>
  <xdr:twoCellAnchor>
    <xdr:from>
      <xdr:col>4</xdr:col>
      <xdr:colOff>9511</xdr:colOff>
      <xdr:row>8</xdr:row>
      <xdr:rowOff>47626</xdr:rowOff>
    </xdr:from>
    <xdr:to>
      <xdr:col>6</xdr:col>
      <xdr:colOff>352425</xdr:colOff>
      <xdr:row>9</xdr:row>
      <xdr:rowOff>145126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8C8B20E-B06B-45D0-8BA6-F200EB77B9DE}"/>
            </a:ext>
          </a:extLst>
        </xdr:cNvPr>
        <xdr:cNvSpPr>
          <a:spLocks noChangeAspect="1"/>
        </xdr:cNvSpPr>
      </xdr:nvSpPr>
      <xdr:spPr>
        <a:xfrm>
          <a:off x="3057511" y="1571626"/>
          <a:ext cx="1866914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6350"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Etablir une attestation</a:t>
          </a:r>
        </a:p>
      </xdr:txBody>
    </xdr:sp>
    <xdr:clientData/>
  </xdr:twoCellAnchor>
  <xdr:twoCellAnchor>
    <xdr:from>
      <xdr:col>4</xdr:col>
      <xdr:colOff>9523</xdr:colOff>
      <xdr:row>9</xdr:row>
      <xdr:rowOff>161925</xdr:rowOff>
    </xdr:from>
    <xdr:to>
      <xdr:col>6</xdr:col>
      <xdr:colOff>349368</xdr:colOff>
      <xdr:row>11</xdr:row>
      <xdr:rowOff>68925</xdr:rowOff>
    </xdr:to>
    <xdr:sp macro="[0]!TBB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DB159677-D282-46B0-B546-F5BFBDBE1965}"/>
            </a:ext>
          </a:extLst>
        </xdr:cNvPr>
        <xdr:cNvSpPr/>
      </xdr:nvSpPr>
      <xdr:spPr>
        <a:xfrm>
          <a:off x="3057523" y="1876425"/>
          <a:ext cx="1863845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Etablir un recu fiscal</a:t>
          </a:r>
        </a:p>
      </xdr:txBody>
    </xdr:sp>
    <xdr:clientData/>
  </xdr:twoCellAnchor>
  <xdr:twoCellAnchor>
    <xdr:from>
      <xdr:col>1</xdr:col>
      <xdr:colOff>285750</xdr:colOff>
      <xdr:row>6</xdr:row>
      <xdr:rowOff>104774</xdr:rowOff>
    </xdr:from>
    <xdr:to>
      <xdr:col>3</xdr:col>
      <xdr:colOff>419100</xdr:colOff>
      <xdr:row>8</xdr:row>
      <xdr:rowOff>11774</xdr:rowOff>
    </xdr:to>
    <xdr:sp macro="[0]!TBB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D63E51A9-E031-46BA-99FC-4CDF04ED722A}"/>
            </a:ext>
          </a:extLst>
        </xdr:cNvPr>
        <xdr:cNvSpPr/>
      </xdr:nvSpPr>
      <xdr:spPr>
        <a:xfrm>
          <a:off x="1047750" y="1247774"/>
          <a:ext cx="1657350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Nouvelle référence</a:t>
          </a:r>
        </a:p>
      </xdr:txBody>
    </xdr:sp>
    <xdr:clientData/>
  </xdr:twoCellAnchor>
  <xdr:twoCellAnchor>
    <xdr:from>
      <xdr:col>1</xdr:col>
      <xdr:colOff>285751</xdr:colOff>
      <xdr:row>8</xdr:row>
      <xdr:rowOff>28573</xdr:rowOff>
    </xdr:from>
    <xdr:to>
      <xdr:col>3</xdr:col>
      <xdr:colOff>400051</xdr:colOff>
      <xdr:row>9</xdr:row>
      <xdr:rowOff>126073</xdr:rowOff>
    </xdr:to>
    <xdr:sp macro="[0]!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34B1295B-67E6-4BBA-9376-D428192CFE91}"/>
            </a:ext>
          </a:extLst>
        </xdr:cNvPr>
        <xdr:cNvSpPr/>
      </xdr:nvSpPr>
      <xdr:spPr>
        <a:xfrm>
          <a:off x="1047751" y="1552573"/>
          <a:ext cx="1638300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Passer une commande</a:t>
          </a:r>
        </a:p>
      </xdr:txBody>
    </xdr:sp>
    <xdr:clientData/>
  </xdr:twoCellAnchor>
  <xdr:twoCellAnchor>
    <xdr:from>
      <xdr:col>1</xdr:col>
      <xdr:colOff>285750</xdr:colOff>
      <xdr:row>9</xdr:row>
      <xdr:rowOff>152400</xdr:rowOff>
    </xdr:from>
    <xdr:to>
      <xdr:col>3</xdr:col>
      <xdr:colOff>409576</xdr:colOff>
      <xdr:row>11</xdr:row>
      <xdr:rowOff>59400</xdr:rowOff>
    </xdr:to>
    <xdr:sp macro="[0]!Rectangle7_Cliquer" textlink="">
      <xdr:nvSpPr>
        <xdr:cNvPr id="8" name="Rectangle 7">
          <a:extLst>
            <a:ext uri="{FF2B5EF4-FFF2-40B4-BE49-F238E27FC236}">
              <a16:creationId xmlns:a16="http://schemas.microsoft.com/office/drawing/2014/main" id="{130CDAEE-882C-4269-9445-FDAF3974ED9C}"/>
            </a:ext>
          </a:extLst>
        </xdr:cNvPr>
        <xdr:cNvSpPr/>
      </xdr:nvSpPr>
      <xdr:spPr>
        <a:xfrm>
          <a:off x="1047750" y="1866900"/>
          <a:ext cx="1647826" cy="28800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Tableau des commandes</a:t>
          </a:r>
        </a:p>
      </xdr:txBody>
    </xdr:sp>
    <xdr:clientData/>
  </xdr:twoCellAnchor>
  <xdr:twoCellAnchor>
    <xdr:from>
      <xdr:col>1</xdr:col>
      <xdr:colOff>285749</xdr:colOff>
      <xdr:row>11</xdr:row>
      <xdr:rowOff>76198</xdr:rowOff>
    </xdr:from>
    <xdr:to>
      <xdr:col>3</xdr:col>
      <xdr:colOff>409574</xdr:colOff>
      <xdr:row>12</xdr:row>
      <xdr:rowOff>173698</xdr:rowOff>
    </xdr:to>
    <xdr:sp macro="[0]!Rectangle10_Cliquer" textlink="">
      <xdr:nvSpPr>
        <xdr:cNvPr id="11" name="Rectangle 10">
          <a:extLst>
            <a:ext uri="{FF2B5EF4-FFF2-40B4-BE49-F238E27FC236}">
              <a16:creationId xmlns:a16="http://schemas.microsoft.com/office/drawing/2014/main" id="{90112402-2DB7-4E2E-837A-57DDFA872210}"/>
            </a:ext>
          </a:extLst>
        </xdr:cNvPr>
        <xdr:cNvSpPr/>
      </xdr:nvSpPr>
      <xdr:spPr>
        <a:xfrm>
          <a:off x="1047749" y="2171698"/>
          <a:ext cx="1647825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Synthèse commande</a:t>
          </a:r>
        </a:p>
      </xdr:txBody>
    </xdr:sp>
    <xdr:clientData/>
  </xdr:twoCellAnchor>
  <xdr:twoCellAnchor>
    <xdr:from>
      <xdr:col>4</xdr:col>
      <xdr:colOff>9524</xdr:colOff>
      <xdr:row>11</xdr:row>
      <xdr:rowOff>85725</xdr:rowOff>
    </xdr:from>
    <xdr:to>
      <xdr:col>6</xdr:col>
      <xdr:colOff>349369</xdr:colOff>
      <xdr:row>12</xdr:row>
      <xdr:rowOff>183225</xdr:rowOff>
    </xdr:to>
    <xdr:sp macro="[0]!Rectangle8_Cliquer" textlink="">
      <xdr:nvSpPr>
        <xdr:cNvPr id="9" name="Rectangle 8">
          <a:extLst>
            <a:ext uri="{FF2B5EF4-FFF2-40B4-BE49-F238E27FC236}">
              <a16:creationId xmlns:a16="http://schemas.microsoft.com/office/drawing/2014/main" id="{8E6A33AD-7F66-40EF-93E6-DE9B98853786}"/>
            </a:ext>
          </a:extLst>
        </xdr:cNvPr>
        <xdr:cNvSpPr/>
      </xdr:nvSpPr>
      <xdr:spPr>
        <a:xfrm>
          <a:off x="3057524" y="2181225"/>
          <a:ext cx="1863845" cy="288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6350"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Calculatrice</a:t>
          </a:r>
        </a:p>
      </xdr:txBody>
    </xdr:sp>
    <xdr:clientData/>
  </xdr:twoCellAnchor>
  <xdr:twoCellAnchor>
    <xdr:from>
      <xdr:col>1</xdr:col>
      <xdr:colOff>266700</xdr:colOff>
      <xdr:row>3</xdr:row>
      <xdr:rowOff>76200</xdr:rowOff>
    </xdr:from>
    <xdr:to>
      <xdr:col>3</xdr:col>
      <xdr:colOff>409575</xdr:colOff>
      <xdr:row>5</xdr:row>
      <xdr:rowOff>152400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6A5EC02D-B286-4949-917C-06B3776A805C}"/>
            </a:ext>
          </a:extLst>
        </xdr:cNvPr>
        <xdr:cNvSpPr/>
      </xdr:nvSpPr>
      <xdr:spPr>
        <a:xfrm>
          <a:off x="1028700" y="647700"/>
          <a:ext cx="1666875" cy="457200"/>
        </a:xfrm>
        <a:prstGeom prst="roundRect">
          <a:avLst/>
        </a:prstGeom>
        <a:solidFill>
          <a:schemeClr val="bg2"/>
        </a:solidFill>
        <a:ln>
          <a:solidFill>
            <a:sysClr val="windowText" lastClr="000000"/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Matériel</a:t>
          </a:r>
        </a:p>
      </xdr:txBody>
    </xdr:sp>
    <xdr:clientData/>
  </xdr:twoCellAnchor>
  <xdr:twoCellAnchor>
    <xdr:from>
      <xdr:col>3</xdr:col>
      <xdr:colOff>761999</xdr:colOff>
      <xdr:row>3</xdr:row>
      <xdr:rowOff>95250</xdr:rowOff>
    </xdr:from>
    <xdr:to>
      <xdr:col>6</xdr:col>
      <xdr:colOff>352425</xdr:colOff>
      <xdr:row>5</xdr:row>
      <xdr:rowOff>142875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3CBD464F-F844-4706-A7EB-3E8FED8CA32D}"/>
            </a:ext>
          </a:extLst>
        </xdr:cNvPr>
        <xdr:cNvSpPr/>
      </xdr:nvSpPr>
      <xdr:spPr>
        <a:xfrm>
          <a:off x="3047999" y="666750"/>
          <a:ext cx="1876426" cy="428625"/>
        </a:xfrm>
        <a:prstGeom prst="roundRect">
          <a:avLst/>
        </a:prstGeom>
        <a:solidFill>
          <a:schemeClr val="bg2"/>
        </a:solidFill>
        <a:ln>
          <a:solidFill>
            <a:sysClr val="windowText" lastClr="000000"/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Secteur</a:t>
          </a:r>
          <a:r>
            <a:rPr lang="fr-FR" sz="1400" b="1" i="1" baseline="0">
              <a:solidFill>
                <a:sysClr val="windowText" lastClr="000000"/>
              </a:solidFill>
            </a:rPr>
            <a:t> administratif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200025</xdr:colOff>
      <xdr:row>9</xdr:row>
      <xdr:rowOff>9525</xdr:rowOff>
    </xdr:from>
    <xdr:to>
      <xdr:col>9</xdr:col>
      <xdr:colOff>114300</xdr:colOff>
      <xdr:row>10</xdr:row>
      <xdr:rowOff>123825</xdr:rowOff>
    </xdr:to>
    <xdr:sp macro="[0]!Rectangle12_Cliquer" textlink="">
      <xdr:nvSpPr>
        <xdr:cNvPr id="13" name="Rectangle 12">
          <a:extLst>
            <a:ext uri="{FF2B5EF4-FFF2-40B4-BE49-F238E27FC236}">
              <a16:creationId xmlns:a16="http://schemas.microsoft.com/office/drawing/2014/main" id="{336B9EC6-B4AA-442B-9C63-2D3707365C23}"/>
            </a:ext>
          </a:extLst>
        </xdr:cNvPr>
        <xdr:cNvSpPr/>
      </xdr:nvSpPr>
      <xdr:spPr>
        <a:xfrm>
          <a:off x="5534025" y="1724025"/>
          <a:ext cx="1438275" cy="3048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Remise en banque</a:t>
          </a:r>
        </a:p>
      </xdr:txBody>
    </xdr:sp>
    <xdr:clientData/>
  </xdr:twoCellAnchor>
  <xdr:twoCellAnchor>
    <xdr:from>
      <xdr:col>6</xdr:col>
      <xdr:colOff>685800</xdr:colOff>
      <xdr:row>4</xdr:row>
      <xdr:rowOff>76200</xdr:rowOff>
    </xdr:from>
    <xdr:to>
      <xdr:col>9</xdr:col>
      <xdr:colOff>533400</xdr:colOff>
      <xdr:row>6</xdr:row>
      <xdr:rowOff>28575</xdr:rowOff>
    </xdr:to>
    <xdr:sp macro="[0]!Rectangle11_Cliquer" textlink="">
      <xdr:nvSpPr>
        <xdr:cNvPr id="12" name="Rectangle 11">
          <a:extLst>
            <a:ext uri="{FF2B5EF4-FFF2-40B4-BE49-F238E27FC236}">
              <a16:creationId xmlns:a16="http://schemas.microsoft.com/office/drawing/2014/main" id="{9ADF85A5-CAC5-4AD3-B53C-D56A32CBE86E}"/>
            </a:ext>
          </a:extLst>
        </xdr:cNvPr>
        <xdr:cNvSpPr/>
      </xdr:nvSpPr>
      <xdr:spPr>
        <a:xfrm>
          <a:off x="5257800" y="838200"/>
          <a:ext cx="2133600" cy="3333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 i="1">
              <a:solidFill>
                <a:sysClr val="windowText" lastClr="000000"/>
              </a:solidFill>
            </a:rPr>
            <a:t>Ouvrir</a:t>
          </a:r>
          <a:r>
            <a:rPr lang="fr-FR" sz="1000" b="1" i="1" baseline="0">
              <a:solidFill>
                <a:sysClr val="windowText" lastClr="000000"/>
              </a:solidFill>
            </a:rPr>
            <a:t> le formulaire de chèques emis</a:t>
          </a:r>
          <a:endParaRPr lang="fr-FR" sz="10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171450</xdr:colOff>
      <xdr:row>16</xdr:row>
      <xdr:rowOff>152400</xdr:rowOff>
    </xdr:from>
    <xdr:to>
      <xdr:col>11</xdr:col>
      <xdr:colOff>590550</xdr:colOff>
      <xdr:row>18</xdr:row>
      <xdr:rowOff>161925</xdr:rowOff>
    </xdr:to>
    <xdr:sp macro="[0]!Rectangle13_Cliquer" textlink="">
      <xdr:nvSpPr>
        <xdr:cNvPr id="14" name="Rectangle 13">
          <a:extLst>
            <a:ext uri="{FF2B5EF4-FFF2-40B4-BE49-F238E27FC236}">
              <a16:creationId xmlns:a16="http://schemas.microsoft.com/office/drawing/2014/main" id="{43058060-9AC9-47F0-9F21-7511DF936129}"/>
            </a:ext>
          </a:extLst>
        </xdr:cNvPr>
        <xdr:cNvSpPr/>
      </xdr:nvSpPr>
      <xdr:spPr>
        <a:xfrm>
          <a:off x="7029450" y="3200400"/>
          <a:ext cx="1943100" cy="39052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Organisation Manifestation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0</xdr:row>
      <xdr:rowOff>76200</xdr:rowOff>
    </xdr:from>
    <xdr:to>
      <xdr:col>8</xdr:col>
      <xdr:colOff>474900</xdr:colOff>
      <xdr:row>0</xdr:row>
      <xdr:rowOff>533400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B2B176B6-AC45-4C5F-AB0F-980F3DED4C74}"/>
            </a:ext>
          </a:extLst>
        </xdr:cNvPr>
        <xdr:cNvSpPr/>
      </xdr:nvSpPr>
      <xdr:spPr>
        <a:xfrm>
          <a:off x="5229225" y="76200"/>
          <a:ext cx="1656000" cy="4572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8</xdr:col>
      <xdr:colOff>533400</xdr:colOff>
      <xdr:row>0</xdr:row>
      <xdr:rowOff>76200</xdr:rowOff>
    </xdr:from>
    <xdr:to>
      <xdr:col>10</xdr:col>
      <xdr:colOff>579675</xdr:colOff>
      <xdr:row>0</xdr:row>
      <xdr:rowOff>419100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8E7FABC0-9014-4AE6-AFA8-BB952E4EF27D}"/>
            </a:ext>
          </a:extLst>
        </xdr:cNvPr>
        <xdr:cNvSpPr/>
      </xdr:nvSpPr>
      <xdr:spPr>
        <a:xfrm>
          <a:off x="6943725" y="76200"/>
          <a:ext cx="165600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Nouveau</a:t>
          </a:r>
          <a:r>
            <a:rPr lang="fr-FR" sz="1600" b="1" i="1" baseline="0">
              <a:solidFill>
                <a:sysClr val="windowText" lastClr="000000"/>
              </a:solidFill>
            </a:rPr>
            <a:t> licencié</a:t>
          </a:r>
        </a:p>
        <a:p>
          <a:pPr algn="ctr"/>
          <a:endParaRPr lang="fr-FR" sz="1600" b="1" i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11</xdr:col>
      <xdr:colOff>132000</xdr:colOff>
      <xdr:row>4</xdr:row>
      <xdr:rowOff>195000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24111FF7-CE45-47BF-B576-14A8A76F2844}"/>
            </a:ext>
          </a:extLst>
        </xdr:cNvPr>
        <xdr:cNvSpPr/>
      </xdr:nvSpPr>
      <xdr:spPr>
        <a:xfrm>
          <a:off x="7219950" y="190500"/>
          <a:ext cx="1656000" cy="7665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133739</xdr:colOff>
      <xdr:row>8</xdr:row>
      <xdr:rowOff>125379</xdr:rowOff>
    </xdr:from>
    <xdr:to>
      <xdr:col>4</xdr:col>
      <xdr:colOff>305189</xdr:colOff>
      <xdr:row>15</xdr:row>
      <xdr:rowOff>30458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EF1FC94-33B2-424D-B428-92B935BEBA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9963" y="1680481"/>
          <a:ext cx="1687675" cy="1265793"/>
        </a:xfrm>
        <a:prstGeom prst="rect">
          <a:avLst/>
        </a:prstGeom>
      </xdr:spPr>
    </xdr:pic>
    <xdr:clientData/>
  </xdr:twoCellAnchor>
  <xdr:twoCellAnchor editAs="oneCell">
    <xdr:from>
      <xdr:col>11</xdr:col>
      <xdr:colOff>628651</xdr:colOff>
      <xdr:row>5</xdr:row>
      <xdr:rowOff>19051</xdr:rowOff>
    </xdr:from>
    <xdr:to>
      <xdr:col>13</xdr:col>
      <xdr:colOff>304801</xdr:colOff>
      <xdr:row>11</xdr:row>
      <xdr:rowOff>76201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EDD9A8B-F929-4764-9DC0-0E0693F64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9010651" y="971551"/>
          <a:ext cx="1200150" cy="1200150"/>
        </a:xfrm>
        <a:prstGeom prst="rect">
          <a:avLst/>
        </a:prstGeom>
      </xdr:spPr>
    </xdr:pic>
    <xdr:clientData/>
  </xdr:twoCellAnchor>
  <xdr:twoCellAnchor editAs="oneCell">
    <xdr:from>
      <xdr:col>11</xdr:col>
      <xdr:colOff>638174</xdr:colOff>
      <xdr:row>16</xdr:row>
      <xdr:rowOff>28575</xdr:rowOff>
    </xdr:from>
    <xdr:to>
      <xdr:col>13</xdr:col>
      <xdr:colOff>187777</xdr:colOff>
      <xdr:row>24</xdr:row>
      <xdr:rowOff>145134</xdr:rowOff>
    </xdr:to>
    <xdr:pic macro="[0]!nouvelle_facture_club">
      <xdr:nvPicPr>
        <xdr:cNvPr id="12" name="Image 11">
          <a:extLst>
            <a:ext uri="{FF2B5EF4-FFF2-40B4-BE49-F238E27FC236}">
              <a16:creationId xmlns:a16="http://schemas.microsoft.com/office/drawing/2014/main" id="{9C9B68CA-13F5-4766-8D00-5A86979B0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9020174" y="3076575"/>
          <a:ext cx="1073603" cy="1659609"/>
        </a:xfrm>
        <a:prstGeom prst="rect">
          <a:avLst/>
        </a:prstGeom>
      </xdr:spPr>
    </xdr:pic>
    <xdr:clientData/>
  </xdr:twoCellAnchor>
  <xdr:twoCellAnchor>
    <xdr:from>
      <xdr:col>11</xdr:col>
      <xdr:colOff>619127</xdr:colOff>
      <xdr:row>19</xdr:row>
      <xdr:rowOff>104776</xdr:rowOff>
    </xdr:from>
    <xdr:to>
      <xdr:col>13</xdr:col>
      <xdr:colOff>542927</xdr:colOff>
      <xdr:row>20</xdr:row>
      <xdr:rowOff>133351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30B2253-5F95-44C2-B425-FAEA78A6BD45}"/>
            </a:ext>
          </a:extLst>
        </xdr:cNvPr>
        <xdr:cNvSpPr/>
      </xdr:nvSpPr>
      <xdr:spPr>
        <a:xfrm rot="19701261">
          <a:off x="9001127" y="3724276"/>
          <a:ext cx="1447800" cy="219075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  <a:latin typeface="ABeeZee" panose="02000000000000000000" pitchFamily="50" charset="0"/>
            </a:rPr>
            <a:t>Nouvelle facture</a:t>
          </a:r>
        </a:p>
      </xdr:txBody>
    </xdr:sp>
    <xdr:clientData/>
  </xdr:twoCellAnchor>
  <xdr:twoCellAnchor editAs="oneCell">
    <xdr:from>
      <xdr:col>11</xdr:col>
      <xdr:colOff>342900</xdr:colOff>
      <xdr:row>29</xdr:row>
      <xdr:rowOff>76200</xdr:rowOff>
    </xdr:from>
    <xdr:to>
      <xdr:col>13</xdr:col>
      <xdr:colOff>733836</xdr:colOff>
      <xdr:row>32</xdr:row>
      <xdr:rowOff>109501</xdr:rowOff>
    </xdr:to>
    <xdr:pic macro="[0]!Image15_Cliquer">
      <xdr:nvPicPr>
        <xdr:cNvPr id="16" name="Image 15">
          <a:extLst>
            <a:ext uri="{FF2B5EF4-FFF2-40B4-BE49-F238E27FC236}">
              <a16:creationId xmlns:a16="http://schemas.microsoft.com/office/drawing/2014/main" id="{DC673B3E-E71E-4EA6-A304-A222E719CF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7"/>
            </a:ext>
          </a:extLst>
        </a:blip>
        <a:stretch>
          <a:fillRect/>
        </a:stretch>
      </xdr:blipFill>
      <xdr:spPr>
        <a:xfrm>
          <a:off x="8724900" y="5638800"/>
          <a:ext cx="1914936" cy="6048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285750</xdr:colOff>
      <xdr:row>4</xdr:row>
      <xdr:rowOff>57149</xdr:rowOff>
    </xdr:from>
    <xdr:to>
      <xdr:col>4</xdr:col>
      <xdr:colOff>456535</xdr:colOff>
      <xdr:row>10</xdr:row>
      <xdr:rowOff>156616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F3114B-A2B8-455F-8978-C2E59273A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" y="1295399"/>
          <a:ext cx="1694785" cy="1242467"/>
        </a:xfrm>
        <a:prstGeom prst="rect">
          <a:avLst/>
        </a:prstGeom>
      </xdr:spPr>
    </xdr:pic>
    <xdr:clientData/>
  </xdr:twoCellAnchor>
  <xdr:twoCellAnchor editAs="oneCell">
    <xdr:from>
      <xdr:col>13</xdr:col>
      <xdr:colOff>733425</xdr:colOff>
      <xdr:row>6</xdr:row>
      <xdr:rowOff>47625</xdr:rowOff>
    </xdr:from>
    <xdr:to>
      <xdr:col>14</xdr:col>
      <xdr:colOff>600075</xdr:colOff>
      <xdr:row>14</xdr:row>
      <xdr:rowOff>49508</xdr:rowOff>
    </xdr:to>
    <xdr:pic macro="[0]!impression_attestation">
      <xdr:nvPicPr>
        <xdr:cNvPr id="4" name="Image 3">
          <a:extLst>
            <a:ext uri="{FF2B5EF4-FFF2-40B4-BE49-F238E27FC236}">
              <a16:creationId xmlns:a16="http://schemas.microsoft.com/office/drawing/2014/main" id="{3EBC7EAE-4F51-471F-A11A-EA0C9B24D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7591425" y="1590675"/>
          <a:ext cx="1095375" cy="1525883"/>
        </a:xfrm>
        <a:prstGeom prst="rect">
          <a:avLst/>
        </a:prstGeom>
      </xdr:spPr>
    </xdr:pic>
    <xdr:clientData/>
  </xdr:twoCellAnchor>
  <xdr:twoCellAnchor editAs="oneCell">
    <xdr:from>
      <xdr:col>13</xdr:col>
      <xdr:colOff>352425</xdr:colOff>
      <xdr:row>30</xdr:row>
      <xdr:rowOff>19050</xdr:rowOff>
    </xdr:from>
    <xdr:to>
      <xdr:col>15</xdr:col>
      <xdr:colOff>276636</xdr:colOff>
      <xdr:row>33</xdr:row>
      <xdr:rowOff>52351</xdr:rowOff>
    </xdr:to>
    <xdr:pic macro="[0]!Image15_Cliquer">
      <xdr:nvPicPr>
        <xdr:cNvPr id="6" name="Image 5">
          <a:extLst>
            <a:ext uri="{FF2B5EF4-FFF2-40B4-BE49-F238E27FC236}">
              <a16:creationId xmlns:a16="http://schemas.microsoft.com/office/drawing/2014/main" id="{26B2E7C4-54FE-49EC-A8E1-DAD51DD021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7210425" y="6181725"/>
          <a:ext cx="1914936" cy="60480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5</xdr:row>
      <xdr:rowOff>161925</xdr:rowOff>
    </xdr:from>
    <xdr:to>
      <xdr:col>2</xdr:col>
      <xdr:colOff>390525</xdr:colOff>
      <xdr:row>12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887BEB8-BC7B-4BD8-83EA-D28D61983DD5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1114425"/>
          <a:ext cx="1624330" cy="1190625"/>
        </a:xfrm>
        <a:prstGeom prst="rect">
          <a:avLst/>
        </a:prstGeom>
      </xdr:spPr>
    </xdr:pic>
    <xdr:clientData/>
  </xdr:twoCellAnchor>
  <xdr:twoCellAnchor>
    <xdr:from>
      <xdr:col>3</xdr:col>
      <xdr:colOff>295275</xdr:colOff>
      <xdr:row>31</xdr:row>
      <xdr:rowOff>28575</xdr:rowOff>
    </xdr:from>
    <xdr:to>
      <xdr:col>3</xdr:col>
      <xdr:colOff>427990</xdr:colOff>
      <xdr:row>32</xdr:row>
      <xdr:rowOff>10795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3F057D-5300-4255-B966-9EDBAB2BE369}"/>
            </a:ext>
          </a:extLst>
        </xdr:cNvPr>
        <xdr:cNvSpPr/>
      </xdr:nvSpPr>
      <xdr:spPr>
        <a:xfrm>
          <a:off x="2581275" y="6276975"/>
          <a:ext cx="132715" cy="172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32</xdr:row>
      <xdr:rowOff>19050</xdr:rowOff>
    </xdr:from>
    <xdr:to>
      <xdr:col>3</xdr:col>
      <xdr:colOff>427990</xdr:colOff>
      <xdr:row>33</xdr:row>
      <xdr:rowOff>1270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6BE931A-C952-4450-9981-938FC73C6E99}"/>
            </a:ext>
          </a:extLst>
        </xdr:cNvPr>
        <xdr:cNvSpPr/>
      </xdr:nvSpPr>
      <xdr:spPr>
        <a:xfrm>
          <a:off x="2581275" y="64579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304800</xdr:colOff>
      <xdr:row>35</xdr:row>
      <xdr:rowOff>19050</xdr:rowOff>
    </xdr:from>
    <xdr:to>
      <xdr:col>3</xdr:col>
      <xdr:colOff>437515</xdr:colOff>
      <xdr:row>36</xdr:row>
      <xdr:rowOff>1270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8098262-4CBD-4390-9CD5-C7CF894EE8D8}"/>
            </a:ext>
          </a:extLst>
        </xdr:cNvPr>
        <xdr:cNvSpPr/>
      </xdr:nvSpPr>
      <xdr:spPr>
        <a:xfrm>
          <a:off x="2590800" y="70294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33</xdr:row>
      <xdr:rowOff>9525</xdr:rowOff>
    </xdr:from>
    <xdr:to>
      <xdr:col>3</xdr:col>
      <xdr:colOff>427990</xdr:colOff>
      <xdr:row>33</xdr:row>
      <xdr:rowOff>182245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7CEE3EB-80D8-4676-AA72-685F9A9B3EBB}"/>
            </a:ext>
          </a:extLst>
        </xdr:cNvPr>
        <xdr:cNvSpPr/>
      </xdr:nvSpPr>
      <xdr:spPr>
        <a:xfrm>
          <a:off x="2581275" y="6638925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 editAs="oneCell">
    <xdr:from>
      <xdr:col>2</xdr:col>
      <xdr:colOff>390525</xdr:colOff>
      <xdr:row>5</xdr:row>
      <xdr:rowOff>161925</xdr:rowOff>
    </xdr:from>
    <xdr:to>
      <xdr:col>4</xdr:col>
      <xdr:colOff>490855</xdr:colOff>
      <xdr:row>12</xdr:row>
      <xdr:rowOff>19050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493D11ED-7E62-4235-85F3-5C10E4E50B6F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1114425"/>
          <a:ext cx="1624330" cy="1190625"/>
        </a:xfrm>
        <a:prstGeom prst="rect">
          <a:avLst/>
        </a:prstGeom>
      </xdr:spPr>
    </xdr:pic>
    <xdr:clientData/>
  </xdr:twoCellAnchor>
  <xdr:twoCellAnchor>
    <xdr:from>
      <xdr:col>3</xdr:col>
      <xdr:colOff>295275</xdr:colOff>
      <xdr:row>31</xdr:row>
      <xdr:rowOff>28575</xdr:rowOff>
    </xdr:from>
    <xdr:to>
      <xdr:col>3</xdr:col>
      <xdr:colOff>427990</xdr:colOff>
      <xdr:row>32</xdr:row>
      <xdr:rowOff>10795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9D915D5-EEDD-48D2-AC04-C803CCAC3574}"/>
            </a:ext>
          </a:extLst>
        </xdr:cNvPr>
        <xdr:cNvSpPr/>
      </xdr:nvSpPr>
      <xdr:spPr>
        <a:xfrm>
          <a:off x="2581275" y="6276975"/>
          <a:ext cx="132715" cy="172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32</xdr:row>
      <xdr:rowOff>19050</xdr:rowOff>
    </xdr:from>
    <xdr:to>
      <xdr:col>3</xdr:col>
      <xdr:colOff>427990</xdr:colOff>
      <xdr:row>33</xdr:row>
      <xdr:rowOff>1270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660A976-D8C6-4F27-84C4-2C5639815835}"/>
            </a:ext>
          </a:extLst>
        </xdr:cNvPr>
        <xdr:cNvSpPr/>
      </xdr:nvSpPr>
      <xdr:spPr>
        <a:xfrm>
          <a:off x="2581275" y="64579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304800</xdr:colOff>
      <xdr:row>35</xdr:row>
      <xdr:rowOff>19050</xdr:rowOff>
    </xdr:from>
    <xdr:to>
      <xdr:col>3</xdr:col>
      <xdr:colOff>437515</xdr:colOff>
      <xdr:row>36</xdr:row>
      <xdr:rowOff>1270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97EB8BAC-1C49-441A-A1AD-CBAB2C0BF4A0}"/>
            </a:ext>
          </a:extLst>
        </xdr:cNvPr>
        <xdr:cNvSpPr/>
      </xdr:nvSpPr>
      <xdr:spPr>
        <a:xfrm>
          <a:off x="2590800" y="70294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33</xdr:row>
      <xdr:rowOff>9525</xdr:rowOff>
    </xdr:from>
    <xdr:to>
      <xdr:col>3</xdr:col>
      <xdr:colOff>427990</xdr:colOff>
      <xdr:row>33</xdr:row>
      <xdr:rowOff>182245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531F91B-CA67-4D6F-9009-8CD88283A651}"/>
            </a:ext>
          </a:extLst>
        </xdr:cNvPr>
        <xdr:cNvSpPr/>
      </xdr:nvSpPr>
      <xdr:spPr>
        <a:xfrm>
          <a:off x="2581275" y="6638925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 editAs="oneCell">
    <xdr:from>
      <xdr:col>11</xdr:col>
      <xdr:colOff>266700</xdr:colOff>
      <xdr:row>5</xdr:row>
      <xdr:rowOff>19050</xdr:rowOff>
    </xdr:from>
    <xdr:to>
      <xdr:col>12</xdr:col>
      <xdr:colOff>482397</xdr:colOff>
      <xdr:row>10</xdr:row>
      <xdr:rowOff>44247</xdr:rowOff>
    </xdr:to>
    <xdr:pic macro="[0]!impression_recu_fiscal">
      <xdr:nvPicPr>
        <xdr:cNvPr id="18" name="Image 17">
          <a:extLst>
            <a:ext uri="{FF2B5EF4-FFF2-40B4-BE49-F238E27FC236}">
              <a16:creationId xmlns:a16="http://schemas.microsoft.com/office/drawing/2014/main" id="{C6DF9536-5B0D-4102-81CC-4DFE88C7D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648700" y="971550"/>
          <a:ext cx="977697" cy="977697"/>
        </a:xfrm>
        <a:prstGeom prst="rect">
          <a:avLst/>
        </a:prstGeom>
      </xdr:spPr>
    </xdr:pic>
    <xdr:clientData/>
  </xdr:twoCellAnchor>
  <xdr:twoCellAnchor editAs="oneCell">
    <xdr:from>
      <xdr:col>10</xdr:col>
      <xdr:colOff>600075</xdr:colOff>
      <xdr:row>28</xdr:row>
      <xdr:rowOff>114300</xdr:rowOff>
    </xdr:from>
    <xdr:to>
      <xdr:col>13</xdr:col>
      <xdr:colOff>229011</xdr:colOff>
      <xdr:row>31</xdr:row>
      <xdr:rowOff>99976</xdr:rowOff>
    </xdr:to>
    <xdr:pic macro="[0]!Image15_Cliquer">
      <xdr:nvPicPr>
        <xdr:cNvPr id="20" name="Image 19">
          <a:extLst>
            <a:ext uri="{FF2B5EF4-FFF2-40B4-BE49-F238E27FC236}">
              <a16:creationId xmlns:a16="http://schemas.microsoft.com/office/drawing/2014/main" id="{E9DD6D94-3BDC-4C28-983A-219884D4A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8220075" y="5743575"/>
          <a:ext cx="1914936" cy="6048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43</xdr:row>
      <xdr:rowOff>38100</xdr:rowOff>
    </xdr:from>
    <xdr:to>
      <xdr:col>4</xdr:col>
      <xdr:colOff>314325</xdr:colOff>
      <xdr:row>45</xdr:row>
      <xdr:rowOff>142875</xdr:rowOff>
    </xdr:to>
    <xdr:sp macro="[0]!nex_commande_materiel" textlink="">
      <xdr:nvSpPr>
        <xdr:cNvPr id="2" name="Rectangle 1">
          <a:extLst>
            <a:ext uri="{FF2B5EF4-FFF2-40B4-BE49-F238E27FC236}">
              <a16:creationId xmlns:a16="http://schemas.microsoft.com/office/drawing/2014/main" id="{9BAA492A-A518-4BF2-8304-96535C852E50}"/>
            </a:ext>
          </a:extLst>
        </xdr:cNvPr>
        <xdr:cNvSpPr/>
      </xdr:nvSpPr>
      <xdr:spPr>
        <a:xfrm>
          <a:off x="1724025" y="7896225"/>
          <a:ext cx="2247900" cy="485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Nouvelle Commande</a:t>
          </a:r>
        </a:p>
      </xdr:txBody>
    </xdr:sp>
    <xdr:clientData/>
  </xdr:twoCellAnchor>
  <xdr:twoCellAnchor>
    <xdr:from>
      <xdr:col>4</xdr:col>
      <xdr:colOff>742950</xdr:colOff>
      <xdr:row>43</xdr:row>
      <xdr:rowOff>19050</xdr:rowOff>
    </xdr:from>
    <xdr:to>
      <xdr:col>8</xdr:col>
      <xdr:colOff>790575</xdr:colOff>
      <xdr:row>45</xdr:row>
      <xdr:rowOff>152400</xdr:rowOff>
    </xdr:to>
    <xdr:sp macro="[0]!Fairecommande_Rectangle2_2_Cliquer" textlink="">
      <xdr:nvSpPr>
        <xdr:cNvPr id="3" name="Rectangle 2">
          <a:extLst>
            <a:ext uri="{FF2B5EF4-FFF2-40B4-BE49-F238E27FC236}">
              <a16:creationId xmlns:a16="http://schemas.microsoft.com/office/drawing/2014/main" id="{20D94FB5-F539-4768-B132-D5B5CD241731}"/>
            </a:ext>
          </a:extLst>
        </xdr:cNvPr>
        <xdr:cNvSpPr/>
      </xdr:nvSpPr>
      <xdr:spPr>
        <a:xfrm>
          <a:off x="5267325" y="8972550"/>
          <a:ext cx="3095625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628650</xdr:colOff>
      <xdr:row>43</xdr:row>
      <xdr:rowOff>0</xdr:rowOff>
    </xdr:from>
    <xdr:to>
      <xdr:col>10</xdr:col>
      <xdr:colOff>694526</xdr:colOff>
      <xdr:row>47</xdr:row>
      <xdr:rowOff>37501</xdr:rowOff>
    </xdr:to>
    <xdr:pic macro="[0]!Image2_Cliquer">
      <xdr:nvPicPr>
        <xdr:cNvPr id="4" name="Image 3">
          <a:extLst>
            <a:ext uri="{FF2B5EF4-FFF2-40B4-BE49-F238E27FC236}">
              <a16:creationId xmlns:a16="http://schemas.microsoft.com/office/drawing/2014/main" id="{08BFF107-4700-4C62-AA95-BCF3C83AF2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9105900" y="8953500"/>
          <a:ext cx="1066001" cy="79950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</xdr:row>
      <xdr:rowOff>0</xdr:rowOff>
    </xdr:from>
    <xdr:to>
      <xdr:col>14</xdr:col>
      <xdr:colOff>304001</xdr:colOff>
      <xdr:row>6</xdr:row>
      <xdr:rowOff>18451</xdr:rowOff>
    </xdr:to>
    <xdr:pic macro="[0]!Image2_Cliquer">
      <xdr:nvPicPr>
        <xdr:cNvPr id="2" name="Image 1">
          <a:extLst>
            <a:ext uri="{FF2B5EF4-FFF2-40B4-BE49-F238E27FC236}">
              <a16:creationId xmlns:a16="http://schemas.microsoft.com/office/drawing/2014/main" id="{C3CEA6A9-571B-4C97-8157-6F8C0A2DB1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1391900" y="571500"/>
          <a:ext cx="1066001" cy="79950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19049</xdr:rowOff>
    </xdr:from>
    <xdr:to>
      <xdr:col>8</xdr:col>
      <xdr:colOff>304001</xdr:colOff>
      <xdr:row>11</xdr:row>
      <xdr:rowOff>56550</xdr:rowOff>
    </xdr:to>
    <xdr:pic macro="[0]!Image2_Cliquer">
      <xdr:nvPicPr>
        <xdr:cNvPr id="3" name="Image 2">
          <a:extLst>
            <a:ext uri="{FF2B5EF4-FFF2-40B4-BE49-F238E27FC236}">
              <a16:creationId xmlns:a16="http://schemas.microsoft.com/office/drawing/2014/main" id="{86E21574-3F71-4B92-BDAA-CD31281EF8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4343400" y="1352549"/>
          <a:ext cx="1066001" cy="79950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133739</xdr:colOff>
      <xdr:row>9</xdr:row>
      <xdr:rowOff>125379</xdr:rowOff>
    </xdr:from>
    <xdr:to>
      <xdr:col>6</xdr:col>
      <xdr:colOff>305189</xdr:colOff>
      <xdr:row>16</xdr:row>
      <xdr:rowOff>30458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367A98E-A0F6-49F6-AB89-90FAF6503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57739" y="1649379"/>
          <a:ext cx="1695450" cy="123857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19</xdr:row>
      <xdr:rowOff>0</xdr:rowOff>
    </xdr:from>
    <xdr:to>
      <xdr:col>2</xdr:col>
      <xdr:colOff>228600</xdr:colOff>
      <xdr:row>19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5511293-7F59-480A-B937-674DD75340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0" y="3829050"/>
          <a:ext cx="1752600" cy="0"/>
        </a:xfrm>
        <a:prstGeom prst="rect">
          <a:avLst/>
        </a:prstGeom>
      </xdr:spPr>
    </xdr:pic>
    <xdr:clientData/>
  </xdr:twoCellAnchor>
  <xdr:twoCellAnchor editAs="oneCell">
    <xdr:from>
      <xdr:col>7</xdr:col>
      <xdr:colOff>657225</xdr:colOff>
      <xdr:row>16</xdr:row>
      <xdr:rowOff>123825</xdr:rowOff>
    </xdr:from>
    <xdr:to>
      <xdr:col>8</xdr:col>
      <xdr:colOff>561975</xdr:colOff>
      <xdr:row>19</xdr:row>
      <xdr:rowOff>219075</xdr:rowOff>
    </xdr:to>
    <xdr:pic macro="[0]!Image5_Cliquer">
      <xdr:nvPicPr>
        <xdr:cNvPr id="6" name="Image 5">
          <a:extLst>
            <a:ext uri="{FF2B5EF4-FFF2-40B4-BE49-F238E27FC236}">
              <a16:creationId xmlns:a16="http://schemas.microsoft.com/office/drawing/2014/main" id="{C3F53787-80B8-4F02-AA2F-57D326A625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6181725" y="3381375"/>
          <a:ext cx="666750" cy="66675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38100</xdr:colOff>
      <xdr:row>0</xdr:row>
      <xdr:rowOff>247650</xdr:rowOff>
    </xdr:from>
    <xdr:to>
      <xdr:col>14</xdr:col>
      <xdr:colOff>704850</xdr:colOff>
      <xdr:row>2</xdr:row>
      <xdr:rowOff>85725</xdr:rowOff>
    </xdr:to>
    <xdr:pic macro="[0]!Image5_Cliquer">
      <xdr:nvPicPr>
        <xdr:cNvPr id="4" name="Image 3">
          <a:extLst>
            <a:ext uri="{FF2B5EF4-FFF2-40B4-BE49-F238E27FC236}">
              <a16:creationId xmlns:a16="http://schemas.microsoft.com/office/drawing/2014/main" id="{939BFE80-8240-4F80-A3D4-F8AD586D94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9296400" y="247650"/>
          <a:ext cx="666750" cy="66675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723900</xdr:colOff>
      <xdr:row>2</xdr:row>
      <xdr:rowOff>171450</xdr:rowOff>
    </xdr:from>
    <xdr:to>
      <xdr:col>42</xdr:col>
      <xdr:colOff>266700</xdr:colOff>
      <xdr:row>5</xdr:row>
      <xdr:rowOff>57150</xdr:rowOff>
    </xdr:to>
    <xdr:sp macro="[0]!Rectangle12_Cliquer" textlink="">
      <xdr:nvSpPr>
        <xdr:cNvPr id="3" name="Rectangle 2">
          <a:extLst>
            <a:ext uri="{FF2B5EF4-FFF2-40B4-BE49-F238E27FC236}">
              <a16:creationId xmlns:a16="http://schemas.microsoft.com/office/drawing/2014/main" id="{ED0049AC-53B4-4ED5-BAE4-503116B21AF6}"/>
            </a:ext>
          </a:extLst>
        </xdr:cNvPr>
        <xdr:cNvSpPr/>
      </xdr:nvSpPr>
      <xdr:spPr>
        <a:xfrm>
          <a:off x="13487400" y="552450"/>
          <a:ext cx="182880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A4F9397-D904-48F3-9E55-5DAFB69B3BD0}" name="Tableau7" displayName="Tableau7" ref="A4:G6" totalsRowShown="0" headerRowDxfId="145" dataDxfId="144">
  <autoFilter ref="A4:G6" xr:uid="{77F1526F-9C59-4192-8F85-1371B91AA902}"/>
  <tableColumns count="7">
    <tableColumn id="1" xr3:uid="{D9E13911-9A86-416A-A956-491B0E1C5A1E}" name="Colonne1" dataDxfId="143"/>
    <tableColumn id="2" xr3:uid="{E9AD2C28-44E6-4441-8022-1CB63D22C6F6}" name="Colonne2" dataDxfId="142"/>
    <tableColumn id="3" xr3:uid="{B47CE193-CCEC-418E-8D67-7E0D7D49E337}" name="Colonne3" dataDxfId="141"/>
    <tableColumn id="4" xr3:uid="{336761B6-0460-4590-875E-8FAF939241B1}" name="Colonne4" dataDxfId="140"/>
    <tableColumn id="5" xr3:uid="{8C04EE3D-48D0-4F1F-A994-F232E1478896}" name="Colonne5" dataDxfId="139"/>
    <tableColumn id="6" xr3:uid="{DB63AC17-0E7D-4276-854E-5D4FD2104067}" name="Colonne6" dataDxfId="138"/>
    <tableColumn id="7" xr3:uid="{063CDF64-800C-4AF0-8E51-0EB4DC163CDA}" name="Colonne7" dataDxfId="137">
      <calculatedColumnFormula>_xlfn.NUMBERVALUE(F5)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2E3CC6-C77E-4D29-8E7C-59F9F82A3B81}" name="Tableau2" displayName="Tableau2" ref="A5:BQ7" totalsRowShown="0" headerRowDxfId="136" dataDxfId="135">
  <autoFilter ref="A5:BQ7" xr:uid="{3FC41EF0-9980-41C6-9CE8-D3A857A4F8EA}"/>
  <tableColumns count="69">
    <tableColumn id="1" xr3:uid="{F0F929AB-192A-4517-A768-8FAC01860349}" name="Colonne1" dataDxfId="134">
      <calculatedColumnFormula>CONCATENATE(E6," ", G6)</calculatedColumnFormula>
    </tableColumn>
    <tableColumn id="2" xr3:uid="{1775A2F9-9D14-43F0-B466-01E37B386836}" name="Colonne2" dataDxfId="133"/>
    <tableColumn id="3" xr3:uid="{27BAA3F0-8442-45FF-B247-41A699FCCAD6}" name="Colonne3" dataDxfId="132"/>
    <tableColumn id="4" xr3:uid="{D680A353-F044-493E-AE06-8E4C49669844}" name="Colonne4" dataDxfId="131"/>
    <tableColumn id="5" xr3:uid="{FC655B8F-1D85-4367-9640-CA9A1749C852}" name="Colonne5" dataDxfId="130">
      <calculatedColumnFormula>UPPER(D6)</calculatedColumnFormula>
    </tableColumn>
    <tableColumn id="6" xr3:uid="{96E95CEF-F963-4E07-A03F-B6913F7DD48C}" name="Colonne6" dataDxfId="129"/>
    <tableColumn id="7" xr3:uid="{6DDBC0AB-A2FE-43DD-9642-12CA72C39E36}" name="Colonne7" dataDxfId="128">
      <calculatedColumnFormula>PROPER(F6)</calculatedColumnFormula>
    </tableColumn>
    <tableColumn id="8" xr3:uid="{BE208A06-FB9F-4537-A508-472D8A33B500}" name="Colonne8" dataDxfId="127"/>
    <tableColumn id="9" xr3:uid="{C4807058-3A25-43E4-A8BD-B3C190886B80}" name="Colonne9" dataDxfId="126"/>
    <tableColumn id="10" xr3:uid="{DDA96482-1DDB-426D-99B8-FF98B2914961}" name="Colonne10" dataDxfId="125"/>
    <tableColumn id="11" xr3:uid="{FC685ED3-5BA7-436D-85F3-CB4E15A505B0}" name="Colonne11" dataDxfId="124"/>
    <tableColumn id="12" xr3:uid="{2F75733F-1792-46DB-8FCE-0EAFCB1955AF}" name="Colonne12" dataDxfId="123"/>
    <tableColumn id="13" xr3:uid="{DA776C0D-BB5A-4911-8DE2-3E5C66858984}" name="Colonne13" dataDxfId="122"/>
    <tableColumn id="14" xr3:uid="{63E314FB-BBFF-483F-9D9F-780D9A6D6E26}" name="Colonne14" dataDxfId="121"/>
    <tableColumn id="15" xr3:uid="{3B2589AC-B43C-434C-B8D1-DE7617184C13}" name="Colonne15" dataDxfId="120"/>
    <tableColumn id="16" xr3:uid="{1E1A89F9-F87B-4482-8EE3-36E97BB6F34B}" name="Colonne16" dataDxfId="119">
      <calculatedColumnFormula>IF(O6="",0,_xlfn.NUMBERVALUE(O6))</calculatedColumnFormula>
    </tableColumn>
    <tableColumn id="17" xr3:uid="{1278B01C-EB2C-4390-9777-E840C4835C22}" name="Colonne17" dataDxfId="118"/>
    <tableColumn id="18" xr3:uid="{2026CEEB-E072-485E-9102-8D1C1CAB9F5C}" name="Colonne18" dataDxfId="117"/>
    <tableColumn id="19" xr3:uid="{6FA85573-29C6-4D6D-B40F-43D9AABE7A73}" name="Colonne19" dataDxfId="116"/>
    <tableColumn id="20" xr3:uid="{34FA1DAC-0C10-4B36-9BCF-180ADADC5822}" name="Colonne20" dataDxfId="115"/>
    <tableColumn id="21" xr3:uid="{67C732E1-5A45-471D-BBD6-15CEF911B695}" name="Colonne21" dataDxfId="114"/>
    <tableColumn id="22" xr3:uid="{1DE46321-70AA-4261-A0EA-C34E6F29B009}" name="Colonne22" dataDxfId="113">
      <calculatedColumnFormula>IF(U6="",0,_xlfn.NUMBERVALUE(U6))</calculatedColumnFormula>
    </tableColumn>
    <tableColumn id="23" xr3:uid="{5A71D9E8-4E1D-44EC-8510-A3B8B5AC98DD}" name="Colonne23" dataDxfId="112"/>
    <tableColumn id="24" xr3:uid="{C2F1CB15-8F60-4F40-AC1D-15FD234D4734}" name="Colonne24" dataDxfId="111"/>
    <tableColumn id="25" xr3:uid="{C8FB5B8A-F6B5-48F0-9E87-4503066E3EC1}" name="Colonne25" dataDxfId="110"/>
    <tableColumn id="26" xr3:uid="{18767215-1961-43B3-A418-E2FE159A928B}" name="Colonne26" dataDxfId="109"/>
    <tableColumn id="27" xr3:uid="{70B110CF-B53B-4934-B4EE-6604293CB320}" name="Colonne27" dataDxfId="108"/>
    <tableColumn id="28" xr3:uid="{2A0B11DB-F8EC-4AEC-9C6C-CC73DB97125A}" name="Colonne28" dataDxfId="107">
      <calculatedColumnFormula>IF(AA6="",0,_xlfn.NUMBERVALUE(AA6))</calculatedColumnFormula>
    </tableColumn>
    <tableColumn id="29" xr3:uid="{E717B910-D209-425F-B2A4-DD9D378192F7}" name="Colonne29" dataDxfId="106"/>
    <tableColumn id="30" xr3:uid="{4C2D7F2D-189B-4ACB-9F01-60CFB789C299}" name="Colonne30" dataDxfId="105"/>
    <tableColumn id="31" xr3:uid="{C7223478-93FC-49F4-8FC8-5AB16F18C6D5}" name="Colonne31" dataDxfId="104"/>
    <tableColumn id="32" xr3:uid="{1B733055-DD04-4DFD-9C4A-DCA453FB3D02}" name="Colonne32" dataDxfId="103">
      <calculatedColumnFormula>AB6+V6+P6</calculatedColumnFormula>
    </tableColumn>
    <tableColumn id="33" xr3:uid="{A0980103-9585-4180-B40D-D454B821842D}" name="Colonne33" dataDxfId="102"/>
    <tableColumn id="34" xr3:uid="{B024DF3B-07ED-42A3-A726-7987600E1562}" name="Colonne34" dataDxfId="101">
      <calculatedColumnFormula>IF(AG6="","",YEAR(AG6))</calculatedColumnFormula>
    </tableColumn>
    <tableColumn id="35" xr3:uid="{0730DA2C-2DA0-41B0-8542-548D8D5C2245}" name="Colonne35" dataDxfId="100">
      <calculatedColumnFormula>IF(AH6="","",C$1-AH6)</calculatedColumnFormula>
    </tableColumn>
    <tableColumn id="36" xr3:uid="{74ABDDAC-5E07-4873-B180-0826621E8A5B}" name="Colonne36" dataDxfId="99">
      <calculatedColumnFormula>IF(AI6="","",IF(AI6&gt;=40,"Veteran",IF(AND(AI6&gt;=9,AI6&lt;11),"Benjamin",IF(AND(AI6&gt;=11,AI6&lt;13),"Minime",IF(AND(AI6&gt;=13,AI6&lt;15),"Cadet",IF(AND(AI6&gt;=15,AI6&lt;18),"Junior",IF(AND(AI6&gt;=18,AI6&lt;40),"Senior","Poussin")))))))</calculatedColumnFormula>
    </tableColumn>
    <tableColumn id="37" xr3:uid="{B1470979-1DF7-4940-804A-F4BE207A6382}" name="Colonne37" dataDxfId="98">
      <calculatedColumnFormula>UPPER(MID(AJ6,1,1))</calculatedColumnFormula>
    </tableColumn>
    <tableColumn id="38" xr3:uid="{6932998A-DE53-4E23-8C93-D1D6588825B0}" name="Colonne38" dataDxfId="97"/>
    <tableColumn id="39" xr3:uid="{8830267D-4E01-41F8-B0FB-C0584E79CA95}" name="Colonne39" dataDxfId="96">
      <calculatedColumnFormula>UPPER(MID(AL6,1,1))</calculatedColumnFormula>
    </tableColumn>
    <tableColumn id="40" xr3:uid="{45DDD23F-A058-40CF-B7FA-9526EC09EF13}" name="Colonne40" dataDxfId="95"/>
    <tableColumn id="41" xr3:uid="{2FE295A6-CB34-4797-B374-299E18200ACF}" name="Colonne41" dataDxfId="94">
      <calculatedColumnFormula>UPPER(MID(AN6,1,1))</calculatedColumnFormula>
    </tableColumn>
    <tableColumn id="42" xr3:uid="{45B3F992-76A0-4E29-91AB-5F666F15EB9A}" name="Colonne42" dataDxfId="93">
      <calculatedColumnFormula>IF(AM6="v","v",IF(AM6="B","Bureau",CONCATENATE(AM6,AO6,AK6)))</calculatedColumnFormula>
    </tableColumn>
    <tableColumn id="43" xr3:uid="{B6CF131B-BAEB-4325-B39A-89C0550DF93A}" name="Colonne43" dataDxfId="92">
      <calculatedColumnFormula>IF(AP6="",0,IF(AP6="v",parametre!C$25,IF(AP6="Bureau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calculatedColumnFormula>
    </tableColumn>
    <tableColumn id="44" xr3:uid="{B5DCA77D-2214-4380-92E6-96662DACBA66}" name="Colonne44" dataDxfId="91"/>
    <tableColumn id="45" xr3:uid="{C8166419-C86B-4E70-BF53-49A180113DD8}" name="Colonne45" dataDxfId="90">
      <calculatedColumnFormula>IF(AR6="",0,IF(AR6="oui",120,0))</calculatedColumnFormula>
    </tableColumn>
    <tableColumn id="46" xr3:uid="{6CE70CB2-56FB-4C3C-B0C2-5B29E7D6A8EC}" name="Colonne46" dataDxfId="89"/>
    <tableColumn id="47" xr3:uid="{7907C602-6AE8-435C-AB99-7EDDB5BE9EC5}" name="Colonne47" dataDxfId="88">
      <calculatedColumnFormula>IF(AT6="",0,IF(AT6="non",0,IF(AT6="oui",IF(AJ6="veteran",parametre!I$7,IF(AJ6="senior",parametre!I$7,parametre!K$7)))))</calculatedColumnFormula>
    </tableColumn>
    <tableColumn id="48" xr3:uid="{3D92B925-CADC-4D54-98F0-04173E5E7F64}" name="Colonne48" dataDxfId="87"/>
    <tableColumn id="49" xr3:uid="{0DEC6326-F397-45A3-A182-A511A966586E}" name="Colonne49" dataDxfId="86">
      <calculatedColumnFormula>IF(AV6="",0,IF(AV6="oui",parametre!I$8,0))</calculatedColumnFormula>
    </tableColumn>
    <tableColumn id="50" xr3:uid="{10D31073-5F11-4330-B14B-6521748E715B}" name="Colonne50" dataDxfId="85"/>
    <tableColumn id="51" xr3:uid="{C57A34BD-D4AB-4E0C-AB8D-ECC83F7A8A3F}" name="Colonne51" dataDxfId="84">
      <calculatedColumnFormula>IF(AX6="",0,IF(AX6="oui",parametre!I$9,0))</calculatedColumnFormula>
    </tableColumn>
    <tableColumn id="52" xr3:uid="{6B60BA33-F4B0-425E-91ED-0E4F8AC398D2}" name="Colonne52" dataDxfId="83"/>
    <tableColumn id="53" xr3:uid="{434546CA-877A-46A7-84D3-332838020C98}" name="Colonne53" dataDxfId="82"/>
    <tableColumn id="54" xr3:uid="{3E27304A-5A00-495B-9B8B-895C85D8500A}" name="Colonne54" dataDxfId="81">
      <calculatedColumnFormula>IF(BA6="",0,_xlfn.NUMBERVALUE(BA6))</calculatedColumnFormula>
    </tableColumn>
    <tableColumn id="55" xr3:uid="{D6169835-3782-48B5-8DBD-4B68938586E7}" name="Colonne55" dataDxfId="80">
      <calculatedColumnFormula>IF(AP6="","",IF(AP6="v",parametre!C$25,IF(AP6="Bureau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calculatedColumnFormula>
    </tableColumn>
    <tableColumn id="56" xr3:uid="{096898A0-54B4-4A68-AD66-8C2DA6348E2E}" name="Colonne56" dataDxfId="79">
      <calculatedColumnFormula>IF(AP6="","",IF(AP6="v",parametre!D$25,IF(AP6="Bureau",parametre!D$26,IF(AP6="tv",parametre!D$2,IF(AP6="ts",parametre!D$3,IF(AP6="tj",parametre!D$4,IF(AP6="tc",parametre!D$5,IF(AP6="tm",parametre!D$6,IF(AP6="tb",parametre!D$7,IF(AP6="tp",parametre!D$8,IF(AP6="plv",parametre!D$9,IF(AP6="pev",parametre!D$10,IF(AP6="pls",parametre!D$11,IF(AP6="pes",parametre!D$12,IF(AP6="pej",parametre!D$13,IF(AP6="pec",parametre!D$14,IF(AP6="pem",parametre!D$15,IF(AP6="peb",parametre!D$16,IF(AP6="pep",parametre!D$17,IF(AP6="ev",parametre!D$18,IF(AP6="es",parametre!D$19,IF(AP6="ej",parametre!D$20,IF(AP6="ec",parametre!D$21,IF(AP6="em",parametre!D$22,IF(AP6="eb",parametre!D$23,IF(AP6="ep",parametre!D$24,0))))))))))))))))))))))))))</calculatedColumnFormula>
    </tableColumn>
    <tableColumn id="57" xr3:uid="{8BDCA7AF-34D0-4289-9494-DBF06FD7FD09}" name="Colonne57" dataDxfId="78">
      <calculatedColumnFormula>IF(AP6="","",IF(AP6="v",parametre!E$25,IF(AP6="Bureau",parametre!E$26,IF(AP6="tv",parametre!E$2,IF(AP6="ts",parametre!E$3,IF(AP6="tj",parametre!E$4,IF(AP6="tc",parametre!E$5,IF(AP6="tm",parametre!E$6,IF(AP6="tb",parametre!E$7,IF(AP6="tp",parametre!E$8,IF(AP6="plv",parametre!E$9,IF(AP6="pev",parametre!E$10,IF(AP6="pls",parametre!E$11,IF(AP6="pes",parametre!E$12,IF(AP6="pej",parametre!E$13,IF(AP6="pec",parametre!E$14,IF(AP6="pem",parametre!E$15,IF(AP6="peb",parametre!E$16,IF(AP6="pep",parametre!E$17,IF(AP6="ev",parametre!E$18,IF(AP6="es",parametre!E$19,IF(AP6="ej",parametre!E$20,IF(AP6="ec",parametre!E$21,IF(AP6="em",parametre!E$22,IF(AP6="eb",parametre!E$23,IF(AP6="ep",parametre!E$24,0))))))))))))))))))))))))))</calculatedColumnFormula>
    </tableColumn>
    <tableColumn id="58" xr3:uid="{D0B02B24-5BEB-4DF5-B88E-049658528EBB}" name="Colonne58" dataDxfId="77">
      <calculatedColumnFormula>IF(AP6="",0,BC6+AS6+AU6+AW6-AY6-BB6)</calculatedColumnFormula>
    </tableColumn>
    <tableColumn id="59" xr3:uid="{CFB9325E-86C7-45B0-88B2-E0D3A91C64D6}" name="Colonne59" dataDxfId="76"/>
    <tableColumn id="60" xr3:uid="{6CD955F0-8DED-47BC-8302-46D290D205F6}" name="Colonne60" dataDxfId="75"/>
    <tableColumn id="61" xr3:uid="{418DFAB2-D1AC-4A11-8CEF-4AB913CA8DF1}" name="Colonne61" dataDxfId="74"/>
    <tableColumn id="62" xr3:uid="{08C9B5C1-47EA-4285-A0F0-A665D020B075}" name="Colonne62" dataDxfId="73">
      <calculatedColumnFormula>_xlfn.NUMBERVALUE(BI6)</calculatedColumnFormula>
    </tableColumn>
    <tableColumn id="63" xr3:uid="{49750D7A-2118-42FB-A79D-0B7428535483}" name="Colonne63" dataDxfId="72"/>
    <tableColumn id="64" xr3:uid="{046F95A7-FFC5-49D8-8DF6-06387E5633F1}" name="Colonne64" dataDxfId="71"/>
    <tableColumn id="65" xr3:uid="{2A71C9A9-0BBF-42D0-828D-AF6FBC1853EA}" name="Colonne65" dataDxfId="70"/>
    <tableColumn id="66" xr3:uid="{5BEABC6C-B954-43A3-9133-A5F5A489B6C1}" name="Colonne66" dataDxfId="69">
      <calculatedColumnFormula>BF6+BJ6</calculatedColumnFormula>
    </tableColumn>
    <tableColumn id="67" xr3:uid="{2C960447-007F-496C-B364-84C22716685D}" name="Colonne67" dataDxfId="68">
      <calculatedColumnFormula>AF6</calculatedColumnFormula>
    </tableColumn>
    <tableColumn id="68" xr3:uid="{0456FAE9-1D8C-4BEB-88E9-F00B51F76322}" name="Colonne68" dataDxfId="67">
      <calculatedColumnFormula>BN6-BO6-BJ6</calculatedColumnFormula>
    </tableColumn>
    <tableColumn id="69" xr3:uid="{BAE44F75-D02B-47D0-8840-8F20C55DCF37}" name="Colonne69" dataDxfId="6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075BE2-03AF-483F-BDDB-AB8BD9CE6F25}" name="Tableau3" displayName="Tableau3" ref="A6:F53" totalsRowShown="0" headerRowDxfId="65" dataDxfId="64">
  <autoFilter ref="A6:F53" xr:uid="{A23BB68C-B097-4CA0-8F36-B64239B080B8}"/>
  <sortState ref="A8:F51">
    <sortCondition ref="A7:A51"/>
  </sortState>
  <tableColumns count="6">
    <tableColumn id="1" xr3:uid="{D626E4FD-CBAC-4DC4-B5E0-D0D431EE8FF4}" name="Colonne1" dataDxfId="63"/>
    <tableColumn id="2" xr3:uid="{D5F01422-CC0A-4469-BF6A-EAD575D48E5F}" name="Colonne2" dataDxfId="62"/>
    <tableColumn id="3" xr3:uid="{AD44CEB4-9DEF-4419-AD32-9B58815E3CAB}" name="Colonne3" dataDxfId="61"/>
    <tableColumn id="4" xr3:uid="{EEE59D0A-8741-4221-A25A-EEE8831042BF}" name="Colonne4" dataDxfId="60">
      <calculatedColumnFormula>_xlfn.NUMBERVALUE(C7)</calculatedColumnFormula>
    </tableColumn>
    <tableColumn id="5" xr3:uid="{508F17E3-E9FF-46FE-A7EE-D37F4B1B6F86}" name="Colonne5" dataDxfId="59"/>
    <tableColumn id="6" xr3:uid="{3726B3AF-FD4B-4220-9E8D-A7F89C0011D0}" name="Colonne6" dataDxfId="5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AEC914-C80A-40F7-952B-4455A70A1552}" name="Tableau4" displayName="Tableau4" ref="A5:N6" totalsRowShown="0" headerRowDxfId="57" dataDxfId="56">
  <autoFilter ref="A5:N6" xr:uid="{A0A83EFD-5F23-497C-8CF4-615709590E01}"/>
  <tableColumns count="14">
    <tableColumn id="1" xr3:uid="{3E28FFDD-693D-4201-912D-87505E8B0220}" name="Colonne1" dataDxfId="55"/>
    <tableColumn id="2" xr3:uid="{ED218C3E-F827-4364-AF98-8DE17E2B35ED}" name="Colonne2" dataDxfId="54"/>
    <tableColumn id="3" xr3:uid="{49C12FD6-6DDB-47DE-828C-E4C1E6234CEB}" name="Colonne3" dataDxfId="53"/>
    <tableColumn id="4" xr3:uid="{24D7169F-4F35-4006-A13F-185B72B54FBF}" name="Colonne4" dataDxfId="52"/>
    <tableColumn id="5" xr3:uid="{85C04521-BEB6-447C-BE01-0CE3CC881CA4}" name="Colonne5" dataDxfId="51">
      <calculatedColumnFormula>_xlfn.NUMBERVALUE(D6)</calculatedColumnFormula>
    </tableColumn>
    <tableColumn id="6" xr3:uid="{A549BAF2-07DA-4C54-A899-808AB7E606CB}" name="Colonne6" dataDxfId="50"/>
    <tableColumn id="7" xr3:uid="{A54150AA-4580-4410-9BED-078D7FBFD30C}" name="Colonne7" dataDxfId="49"/>
    <tableColumn id="8" xr3:uid="{61F80B57-8F44-4F79-9781-A9EA1AD53C45}" name="Colonne8" dataDxfId="48"/>
    <tableColumn id="11" xr3:uid="{C486A0F2-4547-46ED-AD1D-D2E41915D501}" name="Colonne82" dataDxfId="47"/>
    <tableColumn id="13" xr3:uid="{B028113B-2E6D-4990-9234-270EC4E76753}" name="Colonne83" dataDxfId="46"/>
    <tableColumn id="9" xr3:uid="{C066A3EC-FB72-48E9-93E9-844CAA9A9455}" name="Colonne9" dataDxfId="45">
      <calculatedColumnFormula>IF(B6="","",MONTH(B6))</calculatedColumnFormula>
    </tableColumn>
    <tableColumn id="10" xr3:uid="{29CEE0B9-AAF0-4659-A85C-AD4A75BB122F}" name="Colonne10" dataDxfId="44">
      <calculatedColumnFormula>CONCATENATE(Tableau4[[#This Row],[Colonne3]],Tableau4[[#This Row],[Colonne9]])</calculatedColumnFormula>
    </tableColumn>
    <tableColumn id="12" xr3:uid="{9B7D2A5B-1099-4CBB-B8CD-3144D83454AD}" name="Colonne11" dataDxfId="43">
      <calculatedColumnFormula>SUMIFS(Tableau4[[#This Row],[Colonne5]],Tableau4[[#This Row],[Colonne10]],L6)</calculatedColumnFormula>
    </tableColumn>
    <tableColumn id="14" xr3:uid="{404A9B47-A7C5-4275-908E-C75F93D2A1B8}" name="Colonne12" dataDxfId="4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95C4F6-504F-43BF-AEA8-ADA85EAA77DA}" name="Tableau1" displayName="Tableau1" ref="B8:AN31" totalsRowShown="0" headerRowDxfId="41" dataDxfId="40" tableBorderDxfId="39">
  <autoFilter ref="B8:AN31" xr:uid="{510A20E9-774E-4D79-A4AC-5969182C1093}"/>
  <tableColumns count="39">
    <tableColumn id="1" xr3:uid="{8750F31F-0174-4154-A818-A6E466F5E2CB}" name="Colonne1" dataDxfId="38"/>
    <tableColumn id="2" xr3:uid="{13DAA105-FF88-43AE-A164-191690488422}" name="Colonne2" dataDxfId="37">
      <calculatedColumnFormula>IF(B9="","",SUMIFS('remise banque'!E$6:E$46,'remise banque'!C$6:C$46,parametre!U2))</calculatedColumnFormula>
    </tableColumn>
    <tableColumn id="3" xr3:uid="{BB1BED8F-16B5-4B2E-95F5-BB8252CD33C0}" name="Colonne3" dataDxfId="36"/>
    <tableColumn id="4" xr3:uid="{73CB2788-059E-429E-B762-EC52CCD82118}" name="Colonne4" dataDxfId="35">
      <calculatedColumnFormula>IF(B9="","",CONCATENATE(B9,D9))</calculatedColumnFormula>
    </tableColumn>
    <tableColumn id="5" xr3:uid="{91D08102-1909-4974-9AB5-3A049EC03AAE}" name="Colonne5" dataDxfId="34"/>
    <tableColumn id="6" xr3:uid="{4A31BA8C-6FFC-4941-B79B-8A2B2A598DD8}" name="Colonne6" dataDxfId="33"/>
    <tableColumn id="7" xr3:uid="{B2BF724E-DB5B-4EEC-BAEA-0F55B12085DD}" name="Colonne7" dataDxfId="32">
      <calculatedColumnFormula>CONCATENATE($B9,G9)</calculatedColumnFormula>
    </tableColumn>
    <tableColumn id="8" xr3:uid="{101E18B6-0A98-4DD5-8E40-08B141E5A82F}" name="Colonne8" dataDxfId="31"/>
    <tableColumn id="9" xr3:uid="{EB14D0C4-B527-4E2F-95A0-A5A66D89E633}" name="Colonne9" dataDxfId="30"/>
    <tableColumn id="10" xr3:uid="{3C0E45C8-0994-491E-BBBE-5AA1B7668212}" name="Colonne10" dataDxfId="29">
      <calculatedColumnFormula>CONCATENATE(B9,J9)</calculatedColumnFormula>
    </tableColumn>
    <tableColumn id="11" xr3:uid="{EC43C1CA-11D0-493D-B099-C2FAF81A4C88}" name="Colonne11" dataDxfId="28"/>
    <tableColumn id="12" xr3:uid="{F7A37FD8-0C56-48B2-84CB-29A1976BEB35}" name="Colonne12" dataDxfId="27"/>
    <tableColumn id="13" xr3:uid="{9010DE72-2A63-4F98-B93F-116C45ECBDD8}" name="Colonne13" dataDxfId="26">
      <calculatedColumnFormula>CONCATENATE(B9,M9)</calculatedColumnFormula>
    </tableColumn>
    <tableColumn id="14" xr3:uid="{CE064114-CC2D-442E-94D2-BF346FA94991}" name="Colonne14" dataDxfId="25"/>
    <tableColumn id="15" xr3:uid="{6E2FA49E-E4B3-443F-85ED-9A89C2A9C51C}" name="Colonne15" dataDxfId="24"/>
    <tableColumn id="16" xr3:uid="{0188D127-BCA1-4542-8DDA-AA8DA1AEC9B0}" name="Colonne16" dataDxfId="23">
      <calculatedColumnFormula>CONCATENATE(B9,P9)</calculatedColumnFormula>
    </tableColumn>
    <tableColumn id="17" xr3:uid="{F352B6BD-6B61-44A8-911E-B063278460CB}" name="Colonne17" dataDxfId="22"/>
    <tableColumn id="18" xr3:uid="{1325E4B6-C646-4E37-8F5B-A66576D93825}" name="Colonne18" dataDxfId="21"/>
    <tableColumn id="19" xr3:uid="{42C085B2-8D8F-44A7-AB55-FEAB7F40F3F6}" name="Colonne19" dataDxfId="20">
      <calculatedColumnFormula>CONCATENATE(B9,S9)</calculatedColumnFormula>
    </tableColumn>
    <tableColumn id="20" xr3:uid="{B373BF6E-6FFB-4AF8-972F-90B5904F2C10}" name="Colonne20" dataDxfId="19"/>
    <tableColumn id="21" xr3:uid="{68BDFAE6-EEF7-4541-AE32-592F91D38768}" name="Colonne21" dataDxfId="18"/>
    <tableColumn id="22" xr3:uid="{3A65867D-2A66-4B62-B261-34683B922D5E}" name="Colonne22" dataDxfId="17">
      <calculatedColumnFormula>CONCATENATE(B9,V9)</calculatedColumnFormula>
    </tableColumn>
    <tableColumn id="23" xr3:uid="{A686A186-7FF4-4A5E-97B9-2E7C2F7545A2}" name="Colonne23" dataDxfId="16"/>
    <tableColumn id="24" xr3:uid="{3D100C1F-F98F-4909-B5A5-D794E76A9B50}" name="Colonne24" dataDxfId="15"/>
    <tableColumn id="25" xr3:uid="{2353A8A8-26C2-4766-BC5E-5954D27D8D4E}" name="Colonne25" dataDxfId="14">
      <calculatedColumnFormula>CONCATENATE(B9,Y9)</calculatedColumnFormula>
    </tableColumn>
    <tableColumn id="26" xr3:uid="{C259D0E9-2655-48A1-B4FD-13B553B76CF2}" name="Colonne26" dataDxfId="13"/>
    <tableColumn id="27" xr3:uid="{5A61FEF3-F997-4826-9A0A-0F733CC9B795}" name="Colonne27" dataDxfId="12"/>
    <tableColumn id="28" xr3:uid="{1A6025FE-5F29-4A2E-BEE3-123350FDD60A}" name="Colonne28" dataDxfId="11">
      <calculatedColumnFormula>CONCATENATE(B9,AB9)</calculatedColumnFormula>
    </tableColumn>
    <tableColumn id="29" xr3:uid="{13C546C3-0FE0-48E0-831C-27340AD79D56}" name="Colonne29" dataDxfId="10"/>
    <tableColumn id="30" xr3:uid="{56629BCC-E186-4100-99B9-59916D0479BE}" name="Colonne30" dataDxfId="9"/>
    <tableColumn id="31" xr3:uid="{528C915D-2B58-448F-9EB3-3736CDA7E4E2}" name="Colonne31" dataDxfId="8">
      <calculatedColumnFormula>CONCATENATE(B9,AE9)</calculatedColumnFormula>
    </tableColumn>
    <tableColumn id="32" xr3:uid="{01CC7A16-DA11-452E-BB0B-C15EAAB071D7}" name="Colonne32" dataDxfId="7"/>
    <tableColumn id="33" xr3:uid="{5191982C-8B67-4E8D-9C5E-12A736E66E95}" name="Colonne33" dataDxfId="6"/>
    <tableColumn id="34" xr3:uid="{44A7C588-9371-4381-84CB-7F9D082B7948}" name="Colonne34" dataDxfId="5">
      <calculatedColumnFormula>CONCATENATE(B9,AH9)</calculatedColumnFormula>
    </tableColumn>
    <tableColumn id="35" xr3:uid="{20429A9C-2A1A-4FEE-86C3-FC9F485E58EA}" name="Colonne35" dataDxfId="4"/>
    <tableColumn id="36" xr3:uid="{44D941D3-8A63-4785-9915-3DEFCC62E94C}" name="Colonne36" dataDxfId="3"/>
    <tableColumn id="37" xr3:uid="{B3349EC5-9A31-4DD5-AEFE-5DA670A85544}" name="Colonne37" dataDxfId="2">
      <calculatedColumnFormula>CONCATENATE(B9,AK9)</calculatedColumnFormula>
    </tableColumn>
    <tableColumn id="38" xr3:uid="{D9BAA58B-38F3-4CAD-9534-DD39FECBD6ED}" name="Colonne38" dataDxfId="1"/>
    <tableColumn id="39" xr3:uid="{64453E46-D06A-4DDE-A966-1BE7C9C7AF9E}" name="Colonne39" dataDxfId="0">
      <calculatedColumnFormula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calculatedColumnFormula>
    </tableColumn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B0503-9646-4594-9DF4-E9ECA934A9B2}">
  <sheetPr codeName="Feuil1"/>
  <dimension ref="A1:BQ45"/>
  <sheetViews>
    <sheetView workbookViewId="0">
      <selection activeCell="H6" sqref="H6"/>
    </sheetView>
  </sheetViews>
  <sheetFormatPr baseColWidth="10" defaultRowHeight="15" x14ac:dyDescent="0.25"/>
  <cols>
    <col min="1" max="1" width="36.42578125" customWidth="1"/>
    <col min="8" max="8" width="33.42578125" bestFit="1" customWidth="1"/>
    <col min="13" max="13" width="14.7109375" bestFit="1" customWidth="1"/>
    <col min="14" max="14" width="28.28515625" bestFit="1" customWidth="1"/>
    <col min="17" max="17" width="17.140625" bestFit="1" customWidth="1"/>
    <col min="18" max="18" width="18" bestFit="1" customWidth="1"/>
    <col min="21" max="21" width="19.28515625" bestFit="1" customWidth="1"/>
  </cols>
  <sheetData>
    <row r="1" spans="1:69" s="61" customFormat="1" ht="31.5" thickTop="1" thickBot="1" x14ac:dyDescent="0.3">
      <c r="A1" s="1"/>
      <c r="B1" s="1"/>
      <c r="C1" s="1"/>
      <c r="D1" s="15" t="s">
        <v>36</v>
      </c>
      <c r="E1" s="16" t="s">
        <v>37</v>
      </c>
      <c r="F1" s="17" t="s">
        <v>38</v>
      </c>
      <c r="M1" s="61" t="s">
        <v>32</v>
      </c>
      <c r="N1" s="61" t="s">
        <v>186</v>
      </c>
      <c r="O1" s="61" t="s">
        <v>191</v>
      </c>
      <c r="P1" s="61" t="s">
        <v>195</v>
      </c>
      <c r="Q1" s="61" t="s">
        <v>198</v>
      </c>
      <c r="R1" s="61" t="s">
        <v>201</v>
      </c>
      <c r="S1" s="61" t="s">
        <v>262</v>
      </c>
      <c r="T1" s="61" t="s">
        <v>268</v>
      </c>
      <c r="U1" s="44" t="s">
        <v>473</v>
      </c>
    </row>
    <row r="2" spans="1:69" ht="17.25" thickTop="1" thickBot="1" x14ac:dyDescent="0.3">
      <c r="A2" s="18" t="s">
        <v>39</v>
      </c>
      <c r="B2" s="19" t="s">
        <v>40</v>
      </c>
      <c r="C2" s="20">
        <f>D2+E2</f>
        <v>186</v>
      </c>
      <c r="D2" s="21">
        <v>125</v>
      </c>
      <c r="E2" s="22">
        <v>61</v>
      </c>
      <c r="F2" s="23">
        <v>33</v>
      </c>
      <c r="M2" t="s">
        <v>189</v>
      </c>
      <c r="N2" t="s">
        <v>187</v>
      </c>
      <c r="O2" t="s">
        <v>192</v>
      </c>
      <c r="P2" t="s">
        <v>196</v>
      </c>
      <c r="Q2" t="s">
        <v>199</v>
      </c>
      <c r="R2" t="s">
        <v>202</v>
      </c>
      <c r="S2" t="s">
        <v>265</v>
      </c>
      <c r="T2" t="s">
        <v>269</v>
      </c>
      <c r="U2" t="s">
        <v>474</v>
      </c>
    </row>
    <row r="3" spans="1:69" ht="17.25" thickTop="1" thickBot="1" x14ac:dyDescent="0.3">
      <c r="A3" s="24" t="s">
        <v>41</v>
      </c>
      <c r="B3" s="25" t="s">
        <v>42</v>
      </c>
      <c r="C3" s="20">
        <f t="shared" ref="C3:C26" si="0">D3+E3</f>
        <v>186</v>
      </c>
      <c r="D3" s="26">
        <v>125</v>
      </c>
      <c r="E3" s="27">
        <v>61</v>
      </c>
      <c r="F3" s="28">
        <v>33</v>
      </c>
      <c r="M3" t="s">
        <v>190</v>
      </c>
      <c r="N3" t="s">
        <v>188</v>
      </c>
      <c r="O3" t="s">
        <v>193</v>
      </c>
      <c r="P3" t="s">
        <v>194</v>
      </c>
      <c r="Q3" t="s">
        <v>200</v>
      </c>
      <c r="R3" t="s">
        <v>203</v>
      </c>
      <c r="S3" t="s">
        <v>266</v>
      </c>
      <c r="T3" t="s">
        <v>264</v>
      </c>
      <c r="U3" t="s">
        <v>475</v>
      </c>
    </row>
    <row r="4" spans="1:69" ht="17.25" thickTop="1" thickBot="1" x14ac:dyDescent="0.3">
      <c r="A4" s="24" t="s">
        <v>43</v>
      </c>
      <c r="B4" s="25" t="s">
        <v>44</v>
      </c>
      <c r="C4" s="20">
        <f t="shared" si="0"/>
        <v>181</v>
      </c>
      <c r="D4" s="26">
        <v>124</v>
      </c>
      <c r="E4" s="27">
        <v>57</v>
      </c>
      <c r="F4" s="28">
        <v>24</v>
      </c>
      <c r="M4" t="s">
        <v>83</v>
      </c>
      <c r="Q4" t="s">
        <v>446</v>
      </c>
      <c r="R4" t="s">
        <v>204</v>
      </c>
      <c r="S4" t="s">
        <v>267</v>
      </c>
      <c r="T4" t="s">
        <v>270</v>
      </c>
      <c r="U4" t="s">
        <v>476</v>
      </c>
    </row>
    <row r="5" spans="1:69" ht="17.25" thickTop="1" thickBot="1" x14ac:dyDescent="0.3">
      <c r="A5" s="24" t="s">
        <v>45</v>
      </c>
      <c r="B5" s="25" t="s">
        <v>46</v>
      </c>
      <c r="C5" s="20">
        <f t="shared" si="0"/>
        <v>171</v>
      </c>
      <c r="D5" s="26">
        <v>128.5</v>
      </c>
      <c r="E5" s="27">
        <v>42.5</v>
      </c>
      <c r="F5" s="28">
        <v>24</v>
      </c>
      <c r="H5" s="88" t="s">
        <v>303</v>
      </c>
      <c r="M5" t="s">
        <v>85</v>
      </c>
      <c r="Q5" t="s">
        <v>572</v>
      </c>
      <c r="R5" t="s">
        <v>205</v>
      </c>
      <c r="U5" t="s">
        <v>477</v>
      </c>
    </row>
    <row r="6" spans="1:69" ht="17.25" thickTop="1" thickBot="1" x14ac:dyDescent="0.3">
      <c r="A6" s="24" t="s">
        <v>47</v>
      </c>
      <c r="B6" s="25" t="s">
        <v>48</v>
      </c>
      <c r="C6" s="20">
        <f t="shared" si="0"/>
        <v>171</v>
      </c>
      <c r="D6" s="26">
        <v>128.5</v>
      </c>
      <c r="E6" s="27">
        <v>42.5</v>
      </c>
      <c r="F6" s="28">
        <v>24</v>
      </c>
      <c r="H6" t="s">
        <v>87</v>
      </c>
      <c r="I6" s="43">
        <v>120</v>
      </c>
      <c r="Q6" t="s">
        <v>591</v>
      </c>
      <c r="R6" t="s">
        <v>206</v>
      </c>
      <c r="U6" t="s">
        <v>478</v>
      </c>
    </row>
    <row r="7" spans="1:69" ht="17.25" thickTop="1" thickBot="1" x14ac:dyDescent="0.3">
      <c r="A7" s="24" t="s">
        <v>49</v>
      </c>
      <c r="B7" s="60" t="s">
        <v>50</v>
      </c>
      <c r="C7" s="20">
        <f t="shared" si="0"/>
        <v>166</v>
      </c>
      <c r="D7" s="26">
        <v>129.5</v>
      </c>
      <c r="E7" s="27">
        <v>36.5</v>
      </c>
      <c r="F7" s="28">
        <v>24</v>
      </c>
      <c r="H7" s="44" t="s">
        <v>197</v>
      </c>
      <c r="I7" s="43">
        <v>33</v>
      </c>
      <c r="J7" t="s">
        <v>88</v>
      </c>
      <c r="K7" s="43">
        <v>24</v>
      </c>
      <c r="Q7" t="s">
        <v>592</v>
      </c>
      <c r="U7" t="s">
        <v>484</v>
      </c>
      <c r="BQ7" t="s">
        <v>192</v>
      </c>
    </row>
    <row r="8" spans="1:69" ht="17.25" thickTop="1" thickBot="1" x14ac:dyDescent="0.3">
      <c r="A8" s="24" t="s">
        <v>51</v>
      </c>
      <c r="B8" s="25" t="s">
        <v>52</v>
      </c>
      <c r="C8" s="20">
        <f t="shared" si="0"/>
        <v>166</v>
      </c>
      <c r="D8" s="26">
        <v>129.5</v>
      </c>
      <c r="E8" s="27">
        <v>36.5</v>
      </c>
      <c r="F8" s="28">
        <v>24</v>
      </c>
      <c r="H8" t="s">
        <v>89</v>
      </c>
      <c r="I8" s="43">
        <v>20</v>
      </c>
      <c r="Q8" t="s">
        <v>609</v>
      </c>
      <c r="U8" t="s">
        <v>501</v>
      </c>
    </row>
    <row r="9" spans="1:69" ht="17.25" thickTop="1" thickBot="1" x14ac:dyDescent="0.3">
      <c r="A9" s="18" t="s">
        <v>611</v>
      </c>
      <c r="B9" s="19" t="s">
        <v>612</v>
      </c>
      <c r="C9" s="20">
        <f t="shared" si="0"/>
        <v>107</v>
      </c>
      <c r="D9" s="21">
        <v>92.6</v>
      </c>
      <c r="E9" s="22">
        <v>14.4</v>
      </c>
      <c r="F9" s="29">
        <v>0</v>
      </c>
      <c r="H9" t="s">
        <v>90</v>
      </c>
      <c r="I9" s="43">
        <v>20</v>
      </c>
      <c r="Q9" t="s">
        <v>610</v>
      </c>
      <c r="U9" t="s">
        <v>577</v>
      </c>
    </row>
    <row r="10" spans="1:69" ht="17.25" thickTop="1" thickBot="1" x14ac:dyDescent="0.3">
      <c r="A10" s="24" t="s">
        <v>53</v>
      </c>
      <c r="B10" s="25" t="s">
        <v>54</v>
      </c>
      <c r="C10" s="20">
        <f t="shared" si="0"/>
        <v>157</v>
      </c>
      <c r="D10" s="26">
        <v>142.6</v>
      </c>
      <c r="E10" s="27">
        <v>14.4</v>
      </c>
      <c r="F10" s="30">
        <v>0</v>
      </c>
      <c r="U10" t="s">
        <v>578</v>
      </c>
    </row>
    <row r="11" spans="1:69" ht="17.25" thickTop="1" thickBot="1" x14ac:dyDescent="0.3">
      <c r="A11" s="24" t="s">
        <v>55</v>
      </c>
      <c r="B11" s="25" t="s">
        <v>56</v>
      </c>
      <c r="C11" s="20">
        <f t="shared" si="0"/>
        <v>107</v>
      </c>
      <c r="D11" s="26">
        <v>92.6</v>
      </c>
      <c r="E11" s="27">
        <v>14.4</v>
      </c>
      <c r="F11" s="30">
        <v>0</v>
      </c>
      <c r="H11" s="88" t="s">
        <v>302</v>
      </c>
      <c r="U11" t="s">
        <v>579</v>
      </c>
    </row>
    <row r="12" spans="1:69" ht="17.25" thickTop="1" thickBot="1" x14ac:dyDescent="0.3">
      <c r="A12" s="24" t="s">
        <v>57</v>
      </c>
      <c r="B12" s="25" t="s">
        <v>58</v>
      </c>
      <c r="C12" s="20">
        <f t="shared" si="0"/>
        <v>157</v>
      </c>
      <c r="D12" s="26">
        <v>142.6</v>
      </c>
      <c r="E12" s="27">
        <v>14.4</v>
      </c>
      <c r="F12" s="30">
        <v>0</v>
      </c>
      <c r="H12" t="s">
        <v>304</v>
      </c>
      <c r="I12" s="43">
        <v>4.7</v>
      </c>
      <c r="U12" t="s">
        <v>608</v>
      </c>
    </row>
    <row r="13" spans="1:69" ht="17.25" thickTop="1" thickBot="1" x14ac:dyDescent="0.3">
      <c r="A13" s="24" t="s">
        <v>59</v>
      </c>
      <c r="B13" s="25" t="s">
        <v>60</v>
      </c>
      <c r="C13" s="20">
        <f t="shared" si="0"/>
        <v>157</v>
      </c>
      <c r="D13" s="26">
        <v>142.6</v>
      </c>
      <c r="E13" s="27">
        <v>14.4</v>
      </c>
      <c r="F13" s="30">
        <v>0</v>
      </c>
      <c r="H13" t="s">
        <v>306</v>
      </c>
      <c r="I13" s="43">
        <v>2.7</v>
      </c>
      <c r="M13" t="s">
        <v>508</v>
      </c>
      <c r="N13" t="s">
        <v>514</v>
      </c>
    </row>
    <row r="14" spans="1:69" ht="17.25" thickTop="1" thickBot="1" x14ac:dyDescent="0.3">
      <c r="A14" s="24" t="s">
        <v>61</v>
      </c>
      <c r="B14" s="25" t="s">
        <v>62</v>
      </c>
      <c r="C14" s="20">
        <f t="shared" si="0"/>
        <v>141.5</v>
      </c>
      <c r="D14" s="26">
        <v>134.9</v>
      </c>
      <c r="E14" s="27">
        <v>6.6</v>
      </c>
      <c r="F14" s="30">
        <v>0</v>
      </c>
      <c r="H14" t="s">
        <v>305</v>
      </c>
      <c r="I14" s="95">
        <v>0</v>
      </c>
      <c r="M14" t="s">
        <v>509</v>
      </c>
      <c r="N14" s="159" t="s">
        <v>515</v>
      </c>
    </row>
    <row r="15" spans="1:69" ht="17.25" thickTop="1" thickBot="1" x14ac:dyDescent="0.3">
      <c r="A15" s="24" t="s">
        <v>63</v>
      </c>
      <c r="B15" s="25" t="s">
        <v>64</v>
      </c>
      <c r="C15" s="20">
        <f t="shared" si="0"/>
        <v>141.5</v>
      </c>
      <c r="D15" s="26">
        <v>134.9</v>
      </c>
      <c r="E15" s="27">
        <v>6.6</v>
      </c>
      <c r="F15" s="30">
        <v>0</v>
      </c>
      <c r="M15" t="s">
        <v>510</v>
      </c>
      <c r="N15" s="159" t="s">
        <v>541</v>
      </c>
    </row>
    <row r="16" spans="1:69" ht="17.25" thickTop="1" thickBot="1" x14ac:dyDescent="0.3">
      <c r="A16" s="24" t="s">
        <v>65</v>
      </c>
      <c r="B16" s="25" t="s">
        <v>66</v>
      </c>
      <c r="C16" s="20">
        <f t="shared" si="0"/>
        <v>141.5</v>
      </c>
      <c r="D16" s="26">
        <v>134.9</v>
      </c>
      <c r="E16" s="27">
        <v>6.6</v>
      </c>
      <c r="F16" s="30">
        <v>0</v>
      </c>
      <c r="M16" t="s">
        <v>511</v>
      </c>
      <c r="N16" s="159" t="s">
        <v>539</v>
      </c>
    </row>
    <row r="17" spans="1:14" ht="17.25" thickTop="1" thickBot="1" x14ac:dyDescent="0.3">
      <c r="A17" s="31" t="s">
        <v>67</v>
      </c>
      <c r="B17" s="32" t="s">
        <v>68</v>
      </c>
      <c r="C17" s="20">
        <f t="shared" si="0"/>
        <v>141.5</v>
      </c>
      <c r="D17" s="26">
        <v>134.9</v>
      </c>
      <c r="E17" s="27">
        <v>6.6</v>
      </c>
      <c r="F17" s="33">
        <v>0</v>
      </c>
      <c r="M17" t="s">
        <v>512</v>
      </c>
      <c r="N17" s="159" t="s">
        <v>540</v>
      </c>
    </row>
    <row r="18" spans="1:14" ht="17.25" thickTop="1" thickBot="1" x14ac:dyDescent="0.3">
      <c r="A18" s="18" t="s">
        <v>69</v>
      </c>
      <c r="B18" s="19" t="s">
        <v>70</v>
      </c>
      <c r="C18" s="20">
        <f t="shared" si="0"/>
        <v>14.4</v>
      </c>
      <c r="D18" s="21">
        <v>0</v>
      </c>
      <c r="E18" s="22">
        <v>14.4</v>
      </c>
      <c r="F18" s="29">
        <v>0</v>
      </c>
      <c r="M18" t="s">
        <v>513</v>
      </c>
      <c r="N18" s="159" t="s">
        <v>542</v>
      </c>
    </row>
    <row r="19" spans="1:14" ht="17.25" thickTop="1" thickBot="1" x14ac:dyDescent="0.3">
      <c r="A19" s="24" t="s">
        <v>71</v>
      </c>
      <c r="B19" s="25" t="s">
        <v>72</v>
      </c>
      <c r="C19" s="20">
        <f t="shared" si="0"/>
        <v>14.4</v>
      </c>
      <c r="D19" s="26">
        <v>0</v>
      </c>
      <c r="E19" s="27">
        <v>14.4</v>
      </c>
      <c r="F19" s="30">
        <v>0</v>
      </c>
      <c r="M19" t="s">
        <v>547</v>
      </c>
      <c r="N19" s="159" t="s">
        <v>518</v>
      </c>
    </row>
    <row r="20" spans="1:14" ht="17.25" thickTop="1" thickBot="1" x14ac:dyDescent="0.3">
      <c r="A20" s="24" t="s">
        <v>73</v>
      </c>
      <c r="B20" s="25" t="s">
        <v>74</v>
      </c>
      <c r="C20" s="20">
        <f t="shared" si="0"/>
        <v>14.4</v>
      </c>
      <c r="D20" s="26">
        <v>0</v>
      </c>
      <c r="E20" s="27">
        <v>14.4</v>
      </c>
      <c r="F20" s="30">
        <v>0</v>
      </c>
      <c r="N20" s="159" t="s">
        <v>519</v>
      </c>
    </row>
    <row r="21" spans="1:14" ht="17.25" thickTop="1" thickBot="1" x14ac:dyDescent="0.3">
      <c r="A21" s="24" t="s">
        <v>75</v>
      </c>
      <c r="B21" s="25" t="s">
        <v>76</v>
      </c>
      <c r="C21" s="20">
        <f t="shared" si="0"/>
        <v>6.6</v>
      </c>
      <c r="D21" s="26">
        <v>0</v>
      </c>
      <c r="E21" s="27">
        <v>6.6</v>
      </c>
      <c r="F21" s="30">
        <v>0</v>
      </c>
      <c r="N21" s="159" t="s">
        <v>520</v>
      </c>
    </row>
    <row r="22" spans="1:14" ht="17.25" thickTop="1" thickBot="1" x14ac:dyDescent="0.3">
      <c r="A22" s="24" t="s">
        <v>77</v>
      </c>
      <c r="B22" s="25" t="s">
        <v>78</v>
      </c>
      <c r="C22" s="20">
        <f t="shared" si="0"/>
        <v>6.6</v>
      </c>
      <c r="D22" s="26">
        <v>0</v>
      </c>
      <c r="E22" s="27">
        <v>6.6</v>
      </c>
      <c r="F22" s="30">
        <v>0</v>
      </c>
      <c r="N22" s="159" t="s">
        <v>521</v>
      </c>
    </row>
    <row r="23" spans="1:14" ht="17.25" thickTop="1" thickBot="1" x14ac:dyDescent="0.3">
      <c r="A23" s="24" t="s">
        <v>79</v>
      </c>
      <c r="B23" s="25" t="s">
        <v>80</v>
      </c>
      <c r="C23" s="20">
        <f t="shared" si="0"/>
        <v>6.6</v>
      </c>
      <c r="D23" s="26">
        <v>0</v>
      </c>
      <c r="E23" s="27">
        <v>6.6</v>
      </c>
      <c r="F23" s="30">
        <v>0</v>
      </c>
      <c r="N23" s="159" t="s">
        <v>522</v>
      </c>
    </row>
    <row r="24" spans="1:14" ht="17.25" thickTop="1" thickBot="1" x14ac:dyDescent="0.3">
      <c r="A24" s="31" t="s">
        <v>81</v>
      </c>
      <c r="B24" s="32" t="s">
        <v>82</v>
      </c>
      <c r="C24" s="20">
        <f t="shared" si="0"/>
        <v>6.6</v>
      </c>
      <c r="D24" s="34">
        <v>0</v>
      </c>
      <c r="E24" s="35">
        <v>6.6</v>
      </c>
      <c r="F24" s="33">
        <v>0</v>
      </c>
      <c r="N24" s="159" t="s">
        <v>543</v>
      </c>
    </row>
    <row r="25" spans="1:14" ht="17.25" thickTop="1" thickBot="1" x14ac:dyDescent="0.3">
      <c r="A25" s="36" t="s">
        <v>83</v>
      </c>
      <c r="B25" s="37" t="s">
        <v>84</v>
      </c>
      <c r="C25" s="20">
        <f t="shared" si="0"/>
        <v>14.4</v>
      </c>
      <c r="D25" s="38">
        <v>0</v>
      </c>
      <c r="E25" s="39">
        <v>14.4</v>
      </c>
      <c r="F25" s="40">
        <v>0</v>
      </c>
      <c r="N25" s="159" t="s">
        <v>544</v>
      </c>
    </row>
    <row r="26" spans="1:14" ht="16.5" thickTop="1" x14ac:dyDescent="0.25">
      <c r="A26" s="36" t="s">
        <v>85</v>
      </c>
      <c r="B26" s="37" t="s">
        <v>86</v>
      </c>
      <c r="C26" s="20">
        <f t="shared" si="0"/>
        <v>14.4</v>
      </c>
      <c r="D26" s="41">
        <v>0</v>
      </c>
      <c r="E26" s="39">
        <v>14.4</v>
      </c>
      <c r="F26" s="42">
        <v>0</v>
      </c>
      <c r="N26" s="159" t="s">
        <v>545</v>
      </c>
    </row>
    <row r="27" spans="1:14" x14ac:dyDescent="0.25">
      <c r="N27" s="159" t="s">
        <v>523</v>
      </c>
    </row>
    <row r="28" spans="1:14" x14ac:dyDescent="0.25">
      <c r="N28" s="159" t="s">
        <v>524</v>
      </c>
    </row>
    <row r="29" spans="1:14" x14ac:dyDescent="0.25">
      <c r="N29" s="159" t="s">
        <v>525</v>
      </c>
    </row>
    <row r="30" spans="1:14" x14ac:dyDescent="0.25">
      <c r="N30" s="159" t="s">
        <v>526</v>
      </c>
    </row>
    <row r="31" spans="1:14" x14ac:dyDescent="0.25">
      <c r="N31" s="159" t="s">
        <v>546</v>
      </c>
    </row>
    <row r="32" spans="1:14" x14ac:dyDescent="0.25">
      <c r="N32" s="159" t="s">
        <v>527</v>
      </c>
    </row>
    <row r="33" spans="14:14" x14ac:dyDescent="0.25">
      <c r="N33" s="159" t="s">
        <v>528</v>
      </c>
    </row>
    <row r="34" spans="14:14" x14ac:dyDescent="0.25">
      <c r="N34" s="159" t="s">
        <v>529</v>
      </c>
    </row>
    <row r="35" spans="14:14" x14ac:dyDescent="0.25">
      <c r="N35" s="159" t="s">
        <v>530</v>
      </c>
    </row>
    <row r="36" spans="14:14" x14ac:dyDescent="0.25">
      <c r="N36" s="159" t="s">
        <v>531</v>
      </c>
    </row>
    <row r="37" spans="14:14" x14ac:dyDescent="0.25">
      <c r="N37" s="159" t="s">
        <v>532</v>
      </c>
    </row>
    <row r="38" spans="14:14" x14ac:dyDescent="0.25">
      <c r="N38" s="159" t="s">
        <v>533</v>
      </c>
    </row>
    <row r="39" spans="14:14" x14ac:dyDescent="0.25">
      <c r="N39" s="159" t="s">
        <v>534</v>
      </c>
    </row>
    <row r="40" spans="14:14" x14ac:dyDescent="0.25">
      <c r="N40" s="159" t="s">
        <v>535</v>
      </c>
    </row>
    <row r="41" spans="14:14" x14ac:dyDescent="0.25">
      <c r="N41" s="159" t="s">
        <v>488</v>
      </c>
    </row>
    <row r="42" spans="14:14" x14ac:dyDescent="0.25">
      <c r="N42" s="159" t="s">
        <v>536</v>
      </c>
    </row>
    <row r="43" spans="14:14" x14ac:dyDescent="0.25">
      <c r="N43" s="159" t="s">
        <v>537</v>
      </c>
    </row>
    <row r="44" spans="14:14" x14ac:dyDescent="0.25">
      <c r="N44" s="160">
        <v>1664</v>
      </c>
    </row>
    <row r="45" spans="14:14" x14ac:dyDescent="0.25">
      <c r="N45" s="159" t="s">
        <v>538</v>
      </c>
    </row>
  </sheetData>
  <sheetProtection sheet="1" objects="1" scenarios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6EDB6-1B6F-4ABA-9A97-02A789D2FDA9}">
  <sheetPr codeName="Feuil3"/>
  <dimension ref="C6"/>
  <sheetViews>
    <sheetView tabSelected="1" workbookViewId="0">
      <selection activeCell="I16" sqref="I16"/>
    </sheetView>
  </sheetViews>
  <sheetFormatPr baseColWidth="10" defaultRowHeight="15" x14ac:dyDescent="0.25"/>
  <sheetData>
    <row r="6" spans="3:3" x14ac:dyDescent="0.25">
      <c r="C6" t="s">
        <v>475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90827-3CB4-4B93-87E1-F121EA8597D6}">
  <sheetPr codeName="Feuil16"/>
  <dimension ref="A1:J6"/>
  <sheetViews>
    <sheetView workbookViewId="0">
      <selection activeCell="A31" sqref="A31"/>
    </sheetView>
  </sheetViews>
  <sheetFormatPr baseColWidth="10" defaultColWidth="0" defaultRowHeight="15" x14ac:dyDescent="0.25"/>
  <cols>
    <col min="1" max="2" width="11.5703125" style="1" customWidth="1"/>
    <col min="3" max="3" width="35.5703125" style="1" bestFit="1" customWidth="1"/>
    <col min="4" max="4" width="52.85546875" style="1" bestFit="1" customWidth="1"/>
    <col min="5" max="5" width="16.140625" style="1" bestFit="1" customWidth="1"/>
    <col min="6" max="6" width="11.5703125" style="1" hidden="1" customWidth="1"/>
    <col min="7" max="7" width="11.5703125" style="203" customWidth="1"/>
    <col min="8" max="10" width="11.42578125" style="1" customWidth="1"/>
    <col min="11" max="16384" width="11.42578125" style="1" hidden="1"/>
  </cols>
  <sheetData>
    <row r="1" spans="1:10" ht="15" customHeight="1" x14ac:dyDescent="0.25">
      <c r="A1" s="206" t="s">
        <v>548</v>
      </c>
      <c r="B1" s="206"/>
      <c r="C1" s="206"/>
      <c r="D1" s="206"/>
      <c r="E1" s="206"/>
      <c r="F1" s="206"/>
      <c r="G1" s="206"/>
      <c r="H1" s="190"/>
      <c r="I1" s="190"/>
      <c r="J1" s="190"/>
    </row>
    <row r="2" spans="1:10" ht="15" customHeight="1" x14ac:dyDescent="0.25">
      <c r="A2" s="206"/>
      <c r="B2" s="206"/>
      <c r="C2" s="206"/>
      <c r="D2" s="206"/>
      <c r="E2" s="206"/>
      <c r="F2" s="206"/>
      <c r="G2" s="206"/>
      <c r="H2" s="190"/>
      <c r="I2" s="190"/>
      <c r="J2" s="190"/>
    </row>
    <row r="3" spans="1:10" ht="15" customHeight="1" x14ac:dyDescent="0.25">
      <c r="A3" s="206"/>
      <c r="B3" s="206"/>
      <c r="C3" s="206"/>
      <c r="D3" s="206"/>
      <c r="E3" s="206"/>
      <c r="F3" s="206"/>
      <c r="G3" s="206"/>
      <c r="H3" s="190"/>
      <c r="I3" s="190"/>
      <c r="J3" s="190"/>
    </row>
    <row r="4" spans="1:10" s="103" customFormat="1" hidden="1" x14ac:dyDescent="0.25">
      <c r="A4" s="103" t="s">
        <v>116</v>
      </c>
      <c r="B4" s="103" t="s">
        <v>117</v>
      </c>
      <c r="C4" s="103" t="s">
        <v>118</v>
      </c>
      <c r="D4" s="104" t="s">
        <v>119</v>
      </c>
      <c r="E4" s="103" t="s">
        <v>120</v>
      </c>
      <c r="F4" s="103" t="s">
        <v>121</v>
      </c>
      <c r="G4" s="204" t="s">
        <v>122</v>
      </c>
    </row>
    <row r="5" spans="1:10" x14ac:dyDescent="0.25">
      <c r="A5" s="103" t="s">
        <v>108</v>
      </c>
      <c r="B5" s="103" t="s">
        <v>517</v>
      </c>
      <c r="C5" s="103" t="s">
        <v>549</v>
      </c>
      <c r="D5" s="104" t="s">
        <v>550</v>
      </c>
      <c r="E5" s="103" t="s">
        <v>551</v>
      </c>
      <c r="F5" s="103"/>
      <c r="G5" s="204" t="s">
        <v>11</v>
      </c>
    </row>
    <row r="6" spans="1:10" hidden="1" x14ac:dyDescent="0.25">
      <c r="G6" s="203">
        <f t="shared" ref="G6" si="0">_xlfn.NUMBERVALUE(F6)</f>
        <v>0</v>
      </c>
    </row>
  </sheetData>
  <mergeCells count="1">
    <mergeCell ref="A1:G3"/>
  </mergeCells>
  <printOptions horizontalCentered="1"/>
  <pageMargins left="0" right="0" top="0" bottom="0" header="0.31496062992125984" footer="0.31496062992125984"/>
  <pageSetup paperSize="9" orientation="landscape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16F4F-E740-483A-98E0-27BB332700E5}">
  <sheetPr codeName="Feuil2">
    <pageSetUpPr fitToPage="1"/>
  </sheetPr>
  <dimension ref="A1:BQ7"/>
  <sheetViews>
    <sheetView workbookViewId="0">
      <selection activeCell="A33" sqref="A33"/>
    </sheetView>
  </sheetViews>
  <sheetFormatPr baseColWidth="10" defaultRowHeight="15" x14ac:dyDescent="0.25"/>
  <cols>
    <col min="1" max="1" width="27.7109375" style="1" bestFit="1" customWidth="1"/>
    <col min="2" max="2" width="13.140625" style="1" customWidth="1"/>
    <col min="3" max="3" width="11.5703125" style="1" customWidth="1"/>
    <col min="4" max="5" width="19.140625" style="1" hidden="1" customWidth="1"/>
    <col min="6" max="7" width="11.5703125" style="1" hidden="1" customWidth="1"/>
    <col min="8" max="8" width="31" style="1" customWidth="1"/>
    <col min="9" max="9" width="9.85546875" style="1" customWidth="1"/>
    <col min="10" max="10" width="19.140625" style="1" customWidth="1"/>
    <col min="11" max="11" width="15" style="1" bestFit="1" customWidth="1"/>
    <col min="12" max="12" width="12.5703125" style="1" customWidth="1"/>
    <col min="13" max="13" width="34.42578125" style="1" customWidth="1"/>
    <col min="14" max="14" width="12.85546875" style="1" customWidth="1"/>
    <col min="15" max="15" width="12.5703125" style="1" hidden="1" customWidth="1"/>
    <col min="16" max="17" width="12.5703125" style="1" customWidth="1"/>
    <col min="18" max="18" width="13" style="1" customWidth="1"/>
    <col min="19" max="19" width="16.85546875" style="1" customWidth="1"/>
    <col min="20" max="20" width="12.5703125" style="1" customWidth="1"/>
    <col min="21" max="21" width="12.5703125" style="1" hidden="1" customWidth="1"/>
    <col min="22" max="23" width="12.5703125" style="1" customWidth="1"/>
    <col min="24" max="24" width="12.7109375" style="1" customWidth="1"/>
    <col min="25" max="25" width="17.28515625" style="1" customWidth="1"/>
    <col min="26" max="26" width="13.42578125" style="1" customWidth="1"/>
    <col min="27" max="27" width="12.5703125" style="1" hidden="1" customWidth="1"/>
    <col min="28" max="29" width="12.5703125" style="1" customWidth="1"/>
    <col min="30" max="30" width="13" style="1" customWidth="1"/>
    <col min="31" max="31" width="14.85546875" style="1" customWidth="1"/>
    <col min="32" max="39" width="12.5703125" style="1" customWidth="1"/>
    <col min="40" max="40" width="12.5703125" style="1" hidden="1" customWidth="1"/>
    <col min="41" max="41" width="12.5703125" style="1" customWidth="1"/>
    <col min="42" max="42" width="12.7109375" style="1" customWidth="1"/>
    <col min="43" max="43" width="13.42578125" style="1" customWidth="1"/>
    <col min="44" max="51" width="12.5703125" style="1" customWidth="1"/>
    <col min="52" max="52" width="21.7109375" style="1" customWidth="1"/>
    <col min="53" max="53" width="12.5703125" style="1" hidden="1" customWidth="1"/>
    <col min="54" max="54" width="12.5703125" style="1" customWidth="1"/>
    <col min="55" max="55" width="13.42578125" style="1" customWidth="1"/>
    <col min="56" max="56" width="15.5703125" style="1" customWidth="1"/>
    <col min="57" max="57" width="17.85546875" style="1" customWidth="1"/>
    <col min="58" max="58" width="18.7109375" style="1" customWidth="1"/>
    <col min="59" max="59" width="18.5703125" style="1" customWidth="1"/>
    <col min="60" max="60" width="14" style="1" customWidth="1"/>
    <col min="61" max="61" width="12.5703125" style="1" customWidth="1"/>
    <col min="62" max="62" width="14" style="1" customWidth="1"/>
    <col min="63" max="64" width="12.5703125" style="1" customWidth="1"/>
    <col min="65" max="65" width="13.5703125" style="1" customWidth="1"/>
    <col min="66" max="66" width="13.42578125" style="1" customWidth="1"/>
    <col min="67" max="67" width="12.5703125" style="1" customWidth="1"/>
    <col min="68" max="68" width="16.42578125" style="1" customWidth="1"/>
    <col min="69" max="69" width="15" style="1" bestFit="1" customWidth="1"/>
    <col min="70" max="16384" width="11.42578125" style="1"/>
  </cols>
  <sheetData>
    <row r="1" spans="1:69" ht="43.5" customHeight="1" x14ac:dyDescent="0.25">
      <c r="B1" s="56" t="s">
        <v>29</v>
      </c>
      <c r="C1" s="57">
        <v>2019</v>
      </c>
      <c r="BN1" s="1" t="s">
        <v>311</v>
      </c>
      <c r="BP1" s="1" t="s">
        <v>312</v>
      </c>
    </row>
    <row r="2" spans="1:69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  <c r="AE2" s="1">
        <v>31</v>
      </c>
      <c r="AF2" s="1">
        <v>32</v>
      </c>
      <c r="AG2" s="1">
        <v>33</v>
      </c>
      <c r="AH2" s="1">
        <v>34</v>
      </c>
      <c r="AI2" s="1">
        <v>35</v>
      </c>
      <c r="AJ2" s="1">
        <v>36</v>
      </c>
      <c r="AK2" s="1">
        <v>37</v>
      </c>
      <c r="AL2" s="1">
        <v>38</v>
      </c>
      <c r="AM2" s="1">
        <v>39</v>
      </c>
      <c r="AN2" s="1">
        <v>40</v>
      </c>
      <c r="AO2" s="1">
        <v>41</v>
      </c>
      <c r="AP2" s="1">
        <v>42</v>
      </c>
      <c r="AQ2" s="1">
        <v>43</v>
      </c>
      <c r="AR2" s="1">
        <v>44</v>
      </c>
      <c r="AS2" s="1">
        <v>45</v>
      </c>
      <c r="AT2" s="1">
        <v>46</v>
      </c>
      <c r="AU2" s="1">
        <v>47</v>
      </c>
      <c r="AV2" s="1">
        <v>48</v>
      </c>
      <c r="AW2" s="1">
        <v>49</v>
      </c>
      <c r="AX2" s="1">
        <v>50</v>
      </c>
      <c r="AY2" s="1">
        <v>51</v>
      </c>
      <c r="AZ2" s="1">
        <v>52</v>
      </c>
      <c r="BA2" s="1">
        <v>53</v>
      </c>
      <c r="BB2" s="1">
        <v>54</v>
      </c>
      <c r="BC2" s="1">
        <v>55</v>
      </c>
      <c r="BD2" s="1">
        <v>56</v>
      </c>
      <c r="BE2" s="1">
        <v>57</v>
      </c>
      <c r="BF2" s="1">
        <v>58</v>
      </c>
      <c r="BG2" s="1">
        <v>59</v>
      </c>
      <c r="BH2" s="1">
        <v>60</v>
      </c>
      <c r="BI2" s="1">
        <v>61</v>
      </c>
      <c r="BJ2" s="1">
        <v>62</v>
      </c>
      <c r="BK2" s="1">
        <v>63</v>
      </c>
      <c r="BL2" s="1">
        <v>64</v>
      </c>
      <c r="BM2" s="1">
        <v>65</v>
      </c>
      <c r="BN2" s="1">
        <v>66</v>
      </c>
      <c r="BO2" s="1">
        <v>67</v>
      </c>
      <c r="BP2" s="1">
        <v>68</v>
      </c>
      <c r="BQ2" s="1">
        <v>69</v>
      </c>
    </row>
    <row r="3" spans="1:69" ht="34.5" customHeight="1" x14ac:dyDescent="0.25">
      <c r="N3" s="207" t="s">
        <v>104</v>
      </c>
      <c r="O3" s="208"/>
      <c r="P3" s="208"/>
      <c r="Q3" s="208"/>
      <c r="R3" s="208"/>
      <c r="S3" s="208"/>
      <c r="T3" s="208"/>
      <c r="U3" s="208"/>
      <c r="V3" s="208"/>
      <c r="W3" s="208"/>
      <c r="X3" s="208"/>
      <c r="Y3" s="208"/>
      <c r="Z3" s="208"/>
      <c r="AA3" s="208"/>
      <c r="AB3" s="208"/>
      <c r="AC3" s="208"/>
      <c r="AD3" s="208"/>
      <c r="AE3" s="208"/>
      <c r="AF3" s="53"/>
      <c r="AG3" s="210" t="s">
        <v>92</v>
      </c>
      <c r="AH3" s="210"/>
      <c r="AI3" s="210"/>
      <c r="AJ3" s="210"/>
      <c r="AK3" s="210"/>
      <c r="AL3" s="210"/>
      <c r="AM3" s="210"/>
      <c r="AN3" s="210"/>
      <c r="AO3" s="210"/>
      <c r="AP3" s="210"/>
      <c r="AQ3" s="210"/>
      <c r="AR3" s="211" t="s">
        <v>98</v>
      </c>
      <c r="AS3" s="212"/>
      <c r="AT3" s="212"/>
      <c r="AU3" s="212"/>
      <c r="AV3" s="212"/>
      <c r="AW3" s="212"/>
      <c r="AX3" s="212"/>
      <c r="AY3" s="212"/>
      <c r="AZ3" s="212"/>
      <c r="BA3" s="212"/>
      <c r="BB3" s="212"/>
      <c r="BC3" s="213" t="s">
        <v>102</v>
      </c>
      <c r="BD3" s="213"/>
      <c r="BE3" s="213"/>
      <c r="BF3" s="213"/>
      <c r="BG3" s="209" t="s">
        <v>111</v>
      </c>
      <c r="BH3" s="209"/>
      <c r="BI3" s="209"/>
      <c r="BJ3" s="209"/>
      <c r="BK3" s="209"/>
      <c r="BL3" s="209"/>
      <c r="BM3" s="209"/>
    </row>
    <row r="4" spans="1:69" ht="48.75" customHeight="1" x14ac:dyDescent="0.25">
      <c r="A4" s="1" t="s">
        <v>0</v>
      </c>
      <c r="B4" s="193" t="s">
        <v>115</v>
      </c>
      <c r="C4" s="1" t="s">
        <v>1</v>
      </c>
      <c r="D4" s="195" t="s">
        <v>2</v>
      </c>
      <c r="E4" s="195" t="s">
        <v>2</v>
      </c>
      <c r="F4" s="195" t="s">
        <v>3</v>
      </c>
      <c r="G4" s="195" t="s">
        <v>3</v>
      </c>
      <c r="H4" s="1" t="s">
        <v>4</v>
      </c>
      <c r="I4" s="5" t="s">
        <v>5</v>
      </c>
      <c r="J4" s="1" t="s">
        <v>6</v>
      </c>
      <c r="K4" s="1" t="s">
        <v>7</v>
      </c>
      <c r="L4" s="1" t="s">
        <v>8</v>
      </c>
      <c r="M4" s="1" t="s">
        <v>9</v>
      </c>
      <c r="N4" s="7" t="s">
        <v>10</v>
      </c>
      <c r="O4" s="8" t="s">
        <v>11</v>
      </c>
      <c r="P4" s="8" t="s">
        <v>12</v>
      </c>
      <c r="Q4" s="8" t="s">
        <v>13</v>
      </c>
      <c r="R4" s="8" t="s">
        <v>14</v>
      </c>
      <c r="S4" s="7" t="s">
        <v>15</v>
      </c>
      <c r="T4" s="9" t="s">
        <v>16</v>
      </c>
      <c r="U4" s="10" t="s">
        <v>11</v>
      </c>
      <c r="V4" s="10" t="s">
        <v>17</v>
      </c>
      <c r="W4" s="10" t="s">
        <v>18</v>
      </c>
      <c r="X4" s="10" t="s">
        <v>19</v>
      </c>
      <c r="Y4" s="9" t="s">
        <v>20</v>
      </c>
      <c r="Z4" s="11" t="s">
        <v>21</v>
      </c>
      <c r="AA4" s="12" t="s">
        <v>11</v>
      </c>
      <c r="AB4" s="12" t="s">
        <v>22</v>
      </c>
      <c r="AC4" s="12" t="s">
        <v>23</v>
      </c>
      <c r="AD4" s="12" t="s">
        <v>24</v>
      </c>
      <c r="AE4" s="11" t="s">
        <v>25</v>
      </c>
      <c r="AF4" s="11" t="s">
        <v>434</v>
      </c>
      <c r="AG4" s="45" t="s">
        <v>26</v>
      </c>
      <c r="AH4" s="45" t="s">
        <v>27</v>
      </c>
      <c r="AI4" s="46" t="s">
        <v>28</v>
      </c>
      <c r="AJ4" s="46" t="s">
        <v>30</v>
      </c>
      <c r="AK4" s="45" t="s">
        <v>31</v>
      </c>
      <c r="AL4" s="45" t="s">
        <v>32</v>
      </c>
      <c r="AM4" s="45" t="s">
        <v>33</v>
      </c>
      <c r="AN4" s="45" t="s">
        <v>34</v>
      </c>
      <c r="AO4" s="45" t="s">
        <v>35</v>
      </c>
      <c r="AP4" s="45" t="s">
        <v>91</v>
      </c>
      <c r="AQ4" s="45" t="s">
        <v>93</v>
      </c>
      <c r="AR4" s="48" t="s">
        <v>87</v>
      </c>
      <c r="AS4" s="49" t="s">
        <v>11</v>
      </c>
      <c r="AT4" s="48" t="s">
        <v>94</v>
      </c>
      <c r="AU4" s="49" t="s">
        <v>11</v>
      </c>
      <c r="AV4" s="48" t="s">
        <v>95</v>
      </c>
      <c r="AW4" s="49" t="s">
        <v>11</v>
      </c>
      <c r="AX4" s="48" t="s">
        <v>96</v>
      </c>
      <c r="AY4" s="49" t="s">
        <v>11</v>
      </c>
      <c r="AZ4" s="49" t="s">
        <v>97</v>
      </c>
      <c r="BA4" s="49" t="s">
        <v>11</v>
      </c>
      <c r="BB4" s="49" t="s">
        <v>11</v>
      </c>
      <c r="BC4" s="50" t="s">
        <v>99</v>
      </c>
      <c r="BD4" s="50" t="s">
        <v>100</v>
      </c>
      <c r="BE4" s="50" t="s">
        <v>101</v>
      </c>
      <c r="BF4" s="52" t="s">
        <v>103</v>
      </c>
      <c r="BG4" s="5" t="s">
        <v>105</v>
      </c>
      <c r="BH4" s="5" t="s">
        <v>106</v>
      </c>
      <c r="BI4" s="1" t="s">
        <v>11</v>
      </c>
      <c r="BJ4" s="5" t="s">
        <v>107</v>
      </c>
      <c r="BK4" s="1" t="s">
        <v>108</v>
      </c>
      <c r="BL4" s="5" t="s">
        <v>110</v>
      </c>
      <c r="BM4" s="5" t="s">
        <v>109</v>
      </c>
      <c r="BN4" s="5" t="s">
        <v>112</v>
      </c>
      <c r="BO4" s="1" t="s">
        <v>113</v>
      </c>
      <c r="BP4" s="5" t="s">
        <v>114</v>
      </c>
      <c r="BQ4" s="1" t="s">
        <v>185</v>
      </c>
    </row>
    <row r="5" spans="1:69" s="2" customFormat="1" ht="21" x14ac:dyDescent="0.25">
      <c r="A5" s="194" t="s">
        <v>116</v>
      </c>
      <c r="B5" s="2" t="s">
        <v>117</v>
      </c>
      <c r="C5" s="2" t="s">
        <v>118</v>
      </c>
      <c r="D5" s="2" t="s">
        <v>119</v>
      </c>
      <c r="E5" s="194" t="s">
        <v>120</v>
      </c>
      <c r="F5" s="2" t="s">
        <v>121</v>
      </c>
      <c r="G5" s="194" t="s">
        <v>122</v>
      </c>
      <c r="H5" s="2" t="s">
        <v>123</v>
      </c>
      <c r="I5" s="4" t="s">
        <v>124</v>
      </c>
      <c r="J5" s="2" t="s">
        <v>125</v>
      </c>
      <c r="K5" s="3" t="s">
        <v>126</v>
      </c>
      <c r="L5" s="3" t="s">
        <v>127</v>
      </c>
      <c r="M5" s="2" t="s">
        <v>128</v>
      </c>
      <c r="N5" s="2" t="s">
        <v>129</v>
      </c>
      <c r="O5" s="2" t="s">
        <v>130</v>
      </c>
      <c r="P5" s="196" t="s">
        <v>131</v>
      </c>
      <c r="Q5" s="2" t="s">
        <v>132</v>
      </c>
      <c r="R5" s="2" t="s">
        <v>133</v>
      </c>
      <c r="S5" s="2" t="s">
        <v>134</v>
      </c>
      <c r="T5" s="2" t="s">
        <v>135</v>
      </c>
      <c r="U5" s="2" t="s">
        <v>136</v>
      </c>
      <c r="V5" s="196" t="s">
        <v>137</v>
      </c>
      <c r="W5" s="2" t="s">
        <v>138</v>
      </c>
      <c r="X5" s="2" t="s">
        <v>139</v>
      </c>
      <c r="Y5" s="2" t="s">
        <v>140</v>
      </c>
      <c r="Z5" s="2" t="s">
        <v>141</v>
      </c>
      <c r="AA5" s="2" t="s">
        <v>142</v>
      </c>
      <c r="AB5" s="196" t="s">
        <v>143</v>
      </c>
      <c r="AC5" s="2" t="s">
        <v>144</v>
      </c>
      <c r="AD5" s="2" t="s">
        <v>145</v>
      </c>
      <c r="AE5" s="2" t="s">
        <v>146</v>
      </c>
      <c r="AF5" s="197" t="s">
        <v>147</v>
      </c>
      <c r="AG5" s="13" t="s">
        <v>148</v>
      </c>
      <c r="AH5" s="194" t="s">
        <v>149</v>
      </c>
      <c r="AI5" s="194" t="s">
        <v>150</v>
      </c>
      <c r="AJ5" s="194" t="s">
        <v>151</v>
      </c>
      <c r="AK5" s="194" t="s">
        <v>152</v>
      </c>
      <c r="AL5" s="2" t="s">
        <v>153</v>
      </c>
      <c r="AM5" s="194" t="s">
        <v>154</v>
      </c>
      <c r="AN5" s="2" t="s">
        <v>155</v>
      </c>
      <c r="AO5" s="194" t="s">
        <v>156</v>
      </c>
      <c r="AP5" s="194" t="s">
        <v>157</v>
      </c>
      <c r="AQ5" s="198" t="s">
        <v>158</v>
      </c>
      <c r="AR5" s="2" t="s">
        <v>159</v>
      </c>
      <c r="AS5" s="196" t="s">
        <v>160</v>
      </c>
      <c r="AT5" s="2" t="s">
        <v>161</v>
      </c>
      <c r="AU5" s="196" t="s">
        <v>162</v>
      </c>
      <c r="AV5" s="2" t="s">
        <v>163</v>
      </c>
      <c r="AW5" s="196" t="s">
        <v>164</v>
      </c>
      <c r="AX5" s="2" t="s">
        <v>165</v>
      </c>
      <c r="AY5" s="196" t="s">
        <v>166</v>
      </c>
      <c r="AZ5" s="2" t="s">
        <v>167</v>
      </c>
      <c r="BA5" s="2" t="s">
        <v>168</v>
      </c>
      <c r="BB5" s="196" t="s">
        <v>169</v>
      </c>
      <c r="BC5" s="198" t="s">
        <v>170</v>
      </c>
      <c r="BD5" s="196" t="s">
        <v>171</v>
      </c>
      <c r="BE5" s="196" t="s">
        <v>172</v>
      </c>
      <c r="BF5" s="199" t="s">
        <v>173</v>
      </c>
      <c r="BG5" s="2" t="s">
        <v>174</v>
      </c>
      <c r="BH5" s="2" t="s">
        <v>175</v>
      </c>
      <c r="BI5" s="2" t="s">
        <v>176</v>
      </c>
      <c r="BJ5" s="196" t="s">
        <v>177</v>
      </c>
      <c r="BK5" s="2" t="s">
        <v>178</v>
      </c>
      <c r="BL5" s="2" t="s">
        <v>179</v>
      </c>
      <c r="BM5" s="2" t="s">
        <v>180</v>
      </c>
      <c r="BN5" s="200" t="s">
        <v>181</v>
      </c>
      <c r="BO5" s="197" t="s">
        <v>182</v>
      </c>
      <c r="BP5" s="201" t="s">
        <v>183</v>
      </c>
      <c r="BQ5" s="2" t="s">
        <v>184</v>
      </c>
    </row>
    <row r="6" spans="1:69" ht="21" hidden="1" x14ac:dyDescent="0.25">
      <c r="A6" s="59" t="str">
        <f>CONCATENATE(E6," ", G6)</f>
        <v xml:space="preserve"> </v>
      </c>
      <c r="B6" s="13"/>
      <c r="C6" s="2"/>
      <c r="D6" s="2"/>
      <c r="E6" s="2" t="str">
        <f>UPPER(D6)</f>
        <v/>
      </c>
      <c r="F6" s="2"/>
      <c r="G6" s="2" t="str">
        <f>PROPER(F6)</f>
        <v/>
      </c>
      <c r="H6" s="2"/>
      <c r="I6" s="4"/>
      <c r="J6" s="2"/>
      <c r="K6" s="3"/>
      <c r="L6" s="3"/>
      <c r="M6" s="2"/>
      <c r="N6" s="2"/>
      <c r="O6" s="2"/>
      <c r="P6" s="6">
        <f>IF(O6="",0,_xlfn.NUMBERVALUE(O6))</f>
        <v>0</v>
      </c>
      <c r="Q6" s="2"/>
      <c r="R6" s="2"/>
      <c r="S6" s="2"/>
      <c r="T6" s="2"/>
      <c r="U6" s="2"/>
      <c r="V6" s="6">
        <f>IF(U6="",0,_xlfn.NUMBERVALUE(U6))</f>
        <v>0</v>
      </c>
      <c r="W6" s="2"/>
      <c r="X6" s="2"/>
      <c r="Y6" s="2"/>
      <c r="Z6" s="2"/>
      <c r="AA6" s="2"/>
      <c r="AB6" s="6">
        <f>IF(AA6="",0,_xlfn.NUMBERVALUE(AA6))</f>
        <v>0</v>
      </c>
      <c r="AC6" s="2"/>
      <c r="AD6" s="2"/>
      <c r="AE6" s="2"/>
      <c r="AF6" s="54">
        <f>AB6+V6+P6</f>
        <v>0</v>
      </c>
      <c r="AG6" s="13"/>
      <c r="AH6" s="2" t="str">
        <f>IF(AG6="","",YEAR(AG6))</f>
        <v/>
      </c>
      <c r="AI6" s="2" t="str">
        <f t="shared" ref="AI6" si="0">IF(AH6="","",C$1-AH6)</f>
        <v/>
      </c>
      <c r="AJ6" s="2" t="str">
        <f t="shared" ref="AJ6" si="1">IF(AI6="","",IF(AI6&gt;=40,"Veteran",IF(AND(AI6&gt;=9,AI6&lt;11),"Benjamin",IF(AND(AI6&gt;=11,AI6&lt;13),"Minime",IF(AND(AI6&gt;=13,AI6&lt;15),"Cadet",IF(AND(AI6&gt;=15,AI6&lt;18),"Junior",IF(AND(AI6&gt;=18,AI6&lt;40),"Senior","Poussin")))))))</f>
        <v/>
      </c>
      <c r="AK6" s="2" t="str">
        <f>UPPER(MID(AJ6,1,1))</f>
        <v/>
      </c>
      <c r="AL6" s="2"/>
      <c r="AM6" s="2" t="str">
        <f>UPPER(MID(AL6,1,1))</f>
        <v/>
      </c>
      <c r="AN6" s="2"/>
      <c r="AO6" s="2" t="str">
        <f>UPPER(MID(AN6,1,1))</f>
        <v/>
      </c>
      <c r="AP6" s="2" t="str">
        <f t="shared" ref="AP6" si="2">IF(AM6="v","v",IF(AM6="B","Bureau",CONCATENATE(AM6,AO6,AK6)))</f>
        <v/>
      </c>
      <c r="AQ6" s="47">
        <f>IF(AP6="",0,IF(AP6="v",parametre!C$25,IF(AP6="Bureau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f>
        <v>0</v>
      </c>
      <c r="AR6" s="2"/>
      <c r="AS6" s="6">
        <f>IF(AR6="",0,IF(AR6="oui",120,0))</f>
        <v>0</v>
      </c>
      <c r="AT6" s="2"/>
      <c r="AU6" s="6">
        <f>IF(AT6="",0,IF(AT6="non",0,IF(AT6="oui",IF(AJ6="veteran",parametre!I$7,IF(AJ6="senior",parametre!I$7,parametre!K$7)))))</f>
        <v>0</v>
      </c>
      <c r="AV6" s="2"/>
      <c r="AW6" s="6">
        <f>IF(AV6="",0,IF(AV6="oui",parametre!I$8,0))</f>
        <v>0</v>
      </c>
      <c r="AX6" s="2"/>
      <c r="AY6" s="6">
        <f>IF(AX6="",0,IF(AX6="oui",parametre!I$9,0))</f>
        <v>0</v>
      </c>
      <c r="AZ6" s="2"/>
      <c r="BA6" s="2"/>
      <c r="BB6" s="6">
        <f>IF(BA6="",0,_xlfn.NUMBERVALUE(BA6))</f>
        <v>0</v>
      </c>
      <c r="BC6" s="47" t="str">
        <f>IF(AP6="","",IF(AP6="v",parametre!C$25,IF(AP6="Bureau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f>
        <v/>
      </c>
      <c r="BD6" s="6" t="str">
        <f>IF(AP6="","",IF(AP6="v",parametre!D$25,IF(AP6="Bureau",parametre!D$26,IF(AP6="tv",parametre!D$2,IF(AP6="ts",parametre!D$3,IF(AP6="tj",parametre!D$4,IF(AP6="tc",parametre!D$5,IF(AP6="tm",parametre!D$6,IF(AP6="tb",parametre!D$7,IF(AP6="tp",parametre!D$8,IF(AP6="plv",parametre!D$9,IF(AP6="pev",parametre!D$10,IF(AP6="pls",parametre!D$11,IF(AP6="pes",parametre!D$12,IF(AP6="pej",parametre!D$13,IF(AP6="pec",parametre!D$14,IF(AP6="pem",parametre!D$15,IF(AP6="peb",parametre!D$16,IF(AP6="pep",parametre!D$17,IF(AP6="ev",parametre!D$18,IF(AP6="es",parametre!D$19,IF(AP6="ej",parametre!D$20,IF(AP6="ec",parametre!D$21,IF(AP6="em",parametre!D$22,IF(AP6="eb",parametre!D$23,IF(AP6="ep",parametre!D$24,0))))))))))))))))))))))))))</f>
        <v/>
      </c>
      <c r="BE6" s="6" t="str">
        <f>IF(AP6="","",IF(AP6="v",parametre!E$25,IF(AP6="Bureau",parametre!E$26,IF(AP6="tv",parametre!E$2,IF(AP6="ts",parametre!E$3,IF(AP6="tj",parametre!E$4,IF(AP6="tc",parametre!E$5,IF(AP6="tm",parametre!E$6,IF(AP6="tb",parametre!E$7,IF(AP6="tp",parametre!E$8,IF(AP6="plv",parametre!E$9,IF(AP6="pev",parametre!E$10,IF(AP6="pls",parametre!E$11,IF(AP6="pes",parametre!E$12,IF(AP6="pej",parametre!E$13,IF(AP6="pec",parametre!E$14,IF(AP6="pem",parametre!E$15,IF(AP6="peb",parametre!E$16,IF(AP6="pep",parametre!E$17,IF(AP6="ev",parametre!E$18,IF(AP6="es",parametre!E$19,IF(AP6="ej",parametre!E$20,IF(AP6="ec",parametre!E$21,IF(AP6="em",parametre!E$22,IF(AP6="eb",parametre!E$23,IF(AP6="ep",parametre!E$24,0))))))))))))))))))))))))))</f>
        <v/>
      </c>
      <c r="BF6" s="51">
        <f t="shared" ref="BF6" si="3">IF(AP6="",0,BC6+AS6+AU6+AW6-AY6-BB6)</f>
        <v>0</v>
      </c>
      <c r="BG6" s="2"/>
      <c r="BH6" s="2"/>
      <c r="BI6" s="2"/>
      <c r="BJ6" s="6">
        <f>_xlfn.NUMBERVALUE(BI6)</f>
        <v>0</v>
      </c>
      <c r="BK6" s="2"/>
      <c r="BL6" s="2"/>
      <c r="BM6" s="2"/>
      <c r="BN6" s="55">
        <f>BF6+BJ6</f>
        <v>0</v>
      </c>
      <c r="BO6" s="54">
        <f>AF6</f>
        <v>0</v>
      </c>
      <c r="BP6" s="51">
        <f t="shared" ref="BP6" si="4">BN6-BO6-BJ6</f>
        <v>0</v>
      </c>
      <c r="BQ6" s="2"/>
    </row>
    <row r="7" spans="1:69" ht="21" hidden="1" x14ac:dyDescent="0.25">
      <c r="A7" s="59" t="str">
        <f>CONCATENATE(E7," ", G7)</f>
        <v xml:space="preserve"> </v>
      </c>
      <c r="B7" s="2"/>
      <c r="C7" s="2"/>
      <c r="D7" s="2"/>
      <c r="E7" s="2" t="str">
        <f>UPPER(D7)</f>
        <v/>
      </c>
      <c r="F7" s="2"/>
      <c r="G7" s="2" t="str">
        <f>PROPER(F7)</f>
        <v/>
      </c>
      <c r="H7" s="2"/>
      <c r="I7" s="4"/>
      <c r="J7" s="2"/>
      <c r="K7" s="3"/>
      <c r="L7" s="3"/>
      <c r="M7" s="2"/>
      <c r="N7" s="2"/>
      <c r="O7" s="2"/>
      <c r="P7" s="6">
        <f>IF(O7="",0,_xlfn.NUMBERVALUE(O7))</f>
        <v>0</v>
      </c>
      <c r="Q7" s="2"/>
      <c r="R7" s="2"/>
      <c r="S7" s="2"/>
      <c r="T7" s="2"/>
      <c r="U7" s="2"/>
      <c r="V7" s="6">
        <f>IF(U7="",0,_xlfn.NUMBERVALUE(U7))</f>
        <v>0</v>
      </c>
      <c r="W7" s="2"/>
      <c r="X7" s="2"/>
      <c r="Y7" s="2"/>
      <c r="Z7" s="2"/>
      <c r="AA7" s="2"/>
      <c r="AB7" s="6">
        <f>IF(AA7="",0,_xlfn.NUMBERVALUE(AA7))</f>
        <v>0</v>
      </c>
      <c r="AC7" s="2"/>
      <c r="AD7" s="2"/>
      <c r="AE7" s="2"/>
      <c r="AF7" s="54">
        <f>AB7+V7+P7</f>
        <v>0</v>
      </c>
      <c r="AG7" s="13"/>
      <c r="AH7" s="2" t="str">
        <f>IF(AG7="","",YEAR(AG7))</f>
        <v/>
      </c>
      <c r="AI7" s="202" t="str">
        <f>IF(AH7="","",C$1-AH7)</f>
        <v/>
      </c>
      <c r="AJ7" s="202" t="str">
        <f>IF(AI7="","",IF(AI7&gt;=40,"Veteran",IF(AND(AI7&gt;=9,AI7&lt;11),"Benjamin",IF(AND(AI7&gt;=11,AI7&lt;13),"Minime",IF(AND(AI7&gt;=13,AI7&lt;15),"Cadet",IF(AND(AI7&gt;=15,AI7&lt;18),"Junior",IF(AND(AI7&gt;=18,AI7&lt;40),"Senior","Poussin")))))))</f>
        <v/>
      </c>
      <c r="AK7" s="2" t="str">
        <f>UPPER(MID(AJ7,1,1))</f>
        <v/>
      </c>
      <c r="AL7" s="2"/>
      <c r="AM7" s="2" t="str">
        <f>UPPER(MID(AL7,1,1))</f>
        <v/>
      </c>
      <c r="AN7" s="2"/>
      <c r="AO7" s="2" t="str">
        <f>UPPER(MID(AN7,1,1))</f>
        <v/>
      </c>
      <c r="AP7" s="202" t="str">
        <f>IF(AM7="v","v",IF(AM7="B","Bureau",CONCATENATE(AM7,AO7,AK7)))</f>
        <v/>
      </c>
      <c r="AQ7" s="47">
        <f>IF(AP7="",0,IF(AP7="v",parametre!C$25,IF(AP7="Bureau",parametre!C$26,IF(AP7="tv",parametre!C$2,IF(AP7="ts",parametre!C$3,IF(AP7="tj",parametre!C$4,IF(AP7="tc",parametre!C$5,IF(AP7="tm",parametre!C$6,IF(AP7="tb",parametre!C$7,IF(AP7="tp",parametre!C$8,IF(AP7="plv",parametre!C$9,IF(AP7="pev",parametre!C$10,IF(AP7="pls",parametre!C$11,IF(AP7="pes",parametre!C$12,IF(AP7="pej",parametre!C$13,IF(AP7="pec",parametre!C$14,IF(AP7="pem",parametre!C$15,IF(AP7="peb",parametre!C$16,IF(AP7="pep",parametre!C$17,IF(AP7="ev",parametre!C$18,IF(AP7="es",parametre!C$19,IF(AP7="ej",parametre!C$20,IF(AP7="ec",parametre!C$21,IF(AP7="em",parametre!C$22,IF(AP7="eb",parametre!C$23,IF(AP7="ep",parametre!C$24,0))))))))))))))))))))))))))</f>
        <v>0</v>
      </c>
      <c r="AR7" s="2" t="s">
        <v>194</v>
      </c>
      <c r="AS7" s="6">
        <f>IF(AR7="",0,IF(AR7="oui",120,0))</f>
        <v>0</v>
      </c>
      <c r="AT7" s="2" t="s">
        <v>194</v>
      </c>
      <c r="AU7" s="6">
        <f>IF(AT7="",0,IF(AT7="non",0,IF(AT7="oui",IF(AJ7="veteran",parametre!I$7,IF(AJ7="senior",parametre!I$7,parametre!K$7)))))</f>
        <v>0</v>
      </c>
      <c r="AV7" s="2" t="s">
        <v>194</v>
      </c>
      <c r="AW7" s="6">
        <f>IF(AV7="",0,IF(AV7="oui",parametre!I$8,0))</f>
        <v>0</v>
      </c>
      <c r="AX7" s="2" t="s">
        <v>194</v>
      </c>
      <c r="AY7" s="6">
        <f>IF(AX7="",0,IF(AX7="oui",parametre!I$9,0))</f>
        <v>0</v>
      </c>
      <c r="AZ7" s="2"/>
      <c r="BA7" s="2">
        <v>0</v>
      </c>
      <c r="BB7" s="6">
        <f>IF(BA7="",0,_xlfn.NUMBERVALUE(BA7))</f>
        <v>0</v>
      </c>
      <c r="BC7" s="47" t="str">
        <f>IF(AP7="","",IF(AP7="v",parametre!C$25,IF(AP7="Bureau",parametre!C$26,IF(AP7="tv",parametre!C$2,IF(AP7="ts",parametre!C$3,IF(AP7="tj",parametre!C$4,IF(AP7="tc",parametre!C$5,IF(AP7="tm",parametre!C$6,IF(AP7="tb",parametre!C$7,IF(AP7="tp",parametre!C$8,IF(AP7="plv",parametre!C$9,IF(AP7="pev",parametre!C$10,IF(AP7="pls",parametre!C$11,IF(AP7="pes",parametre!C$12,IF(AP7="pej",parametre!C$13,IF(AP7="pec",parametre!C$14,IF(AP7="pem",parametre!C$15,IF(AP7="peb",parametre!C$16,IF(AP7="pep",parametre!C$17,IF(AP7="ev",parametre!C$18,IF(AP7="es",parametre!C$19,IF(AP7="ej",parametre!C$20,IF(AP7="ec",parametre!C$21,IF(AP7="em",parametre!C$22,IF(AP7="eb",parametre!C$23,IF(AP7="ep",parametre!C$24,0))))))))))))))))))))))))))</f>
        <v/>
      </c>
      <c r="BD7" s="6" t="str">
        <f>IF(AP7="","",IF(AP7="v",parametre!D$25,IF(AP7="Bureau",parametre!D$26,IF(AP7="tv",parametre!D$2,IF(AP7="ts",parametre!D$3,IF(AP7="tj",parametre!D$4,IF(AP7="tc",parametre!D$5,IF(AP7="tm",parametre!D$6,IF(AP7="tb",parametre!D$7,IF(AP7="tp",parametre!D$8,IF(AP7="plv",parametre!D$9,IF(AP7="pev",parametre!D$10,IF(AP7="pls",parametre!D$11,IF(AP7="pes",parametre!D$12,IF(AP7="pej",parametre!D$13,IF(AP7="pec",parametre!D$14,IF(AP7="pem",parametre!D$15,IF(AP7="peb",parametre!D$16,IF(AP7="pep",parametre!D$17,IF(AP7="ev",parametre!D$18,IF(AP7="es",parametre!D$19,IF(AP7="ej",parametre!D$20,IF(AP7="ec",parametre!D$21,IF(AP7="em",parametre!D$22,IF(AP7="eb",parametre!D$23,IF(AP7="ep",parametre!D$24,0))))))))))))))))))))))))))</f>
        <v/>
      </c>
      <c r="BE7" s="6" t="str">
        <f>IF(AP7="","",IF(AP7="v",parametre!E$25,IF(AP7="Bureau",parametre!E$26,IF(AP7="tv",parametre!E$2,IF(AP7="ts",parametre!E$3,IF(AP7="tj",parametre!E$4,IF(AP7="tc",parametre!E$5,IF(AP7="tm",parametre!E$6,IF(AP7="tb",parametre!E$7,IF(AP7="tp",parametre!E$8,IF(AP7="plv",parametre!E$9,IF(AP7="pev",parametre!E$10,IF(AP7="pls",parametre!E$11,IF(AP7="pes",parametre!E$12,IF(AP7="pej",parametre!E$13,IF(AP7="pec",parametre!E$14,IF(AP7="pem",parametre!E$15,IF(AP7="peb",parametre!E$16,IF(AP7="pep",parametre!E$17,IF(AP7="ev",parametre!E$18,IF(AP7="es",parametre!E$19,IF(AP7="ej",parametre!E$20,IF(AP7="ec",parametre!E$21,IF(AP7="em",parametre!E$22,IF(AP7="eb",parametre!E$23,IF(AP7="ep",parametre!E$24,0))))))))))))))))))))))))))</f>
        <v/>
      </c>
      <c r="BF7" s="51">
        <f>IF(AP7="",0,BC7+AS7+AU7+AW7-AY7-BB7)</f>
        <v>0</v>
      </c>
      <c r="BG7" s="2"/>
      <c r="BH7" s="2"/>
      <c r="BI7" s="2">
        <v>0</v>
      </c>
      <c r="BJ7" s="6">
        <f>_xlfn.NUMBERVALUE(BI7)</f>
        <v>0</v>
      </c>
      <c r="BK7" s="2"/>
      <c r="BL7" s="2"/>
      <c r="BM7" s="2"/>
      <c r="BN7" s="55">
        <f>BF7+BJ7</f>
        <v>0</v>
      </c>
      <c r="BO7" s="54">
        <f>AF7</f>
        <v>0</v>
      </c>
      <c r="BP7" s="58">
        <f>BN7-BO7-BJ7</f>
        <v>0</v>
      </c>
      <c r="BQ7" s="2"/>
    </row>
  </sheetData>
  <mergeCells count="5">
    <mergeCell ref="N3:AE3"/>
    <mergeCell ref="BG3:BM3"/>
    <mergeCell ref="AG3:AQ3"/>
    <mergeCell ref="AR3:BB3"/>
    <mergeCell ref="BC3:BF3"/>
  </mergeCells>
  <pageMargins left="0.70866141732283472" right="0.70866141732283472" top="0.74803149606299213" bottom="0.74803149606299213" header="0.31496062992125984" footer="0.31496062992125984"/>
  <pageSetup paperSize="9" scale="15" fitToHeight="0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4987B-EF52-4CD9-AA8B-4C459534AF52}">
  <sheetPr codeName="Feuil7"/>
  <dimension ref="A1:L1721"/>
  <sheetViews>
    <sheetView topLeftCell="A29" workbookViewId="0">
      <selection activeCell="C54" sqref="C54"/>
    </sheetView>
  </sheetViews>
  <sheetFormatPr baseColWidth="10" defaultColWidth="0" defaultRowHeight="15" x14ac:dyDescent="0.25"/>
  <cols>
    <col min="1" max="1" width="11.5703125" style="61" customWidth="1"/>
    <col min="2" max="2" width="27.7109375" style="61" customWidth="1"/>
    <col min="3" max="6" width="11.5703125" style="61" customWidth="1"/>
    <col min="7" max="12" width="11.42578125" style="61" customWidth="1"/>
    <col min="13" max="16384" width="11.42578125" style="61" hidden="1"/>
  </cols>
  <sheetData>
    <row r="1" spans="1:8" x14ac:dyDescent="0.25">
      <c r="A1" s="214" t="s">
        <v>257</v>
      </c>
      <c r="B1" s="214"/>
      <c r="C1" s="214"/>
      <c r="D1" s="214"/>
      <c r="E1" s="214"/>
      <c r="F1" s="214"/>
      <c r="G1" s="214"/>
      <c r="H1" s="214"/>
    </row>
    <row r="2" spans="1:8" x14ac:dyDescent="0.25">
      <c r="A2" s="214"/>
      <c r="B2" s="214"/>
      <c r="C2" s="214"/>
      <c r="D2" s="214"/>
      <c r="E2" s="214"/>
      <c r="F2" s="214"/>
      <c r="G2" s="214"/>
      <c r="H2" s="214"/>
    </row>
    <row r="3" spans="1:8" x14ac:dyDescent="0.25">
      <c r="A3" s="214"/>
      <c r="B3" s="214"/>
      <c r="C3" s="214"/>
      <c r="D3" s="214"/>
      <c r="E3" s="214"/>
      <c r="F3" s="214"/>
      <c r="G3" s="214"/>
      <c r="H3" s="214"/>
    </row>
    <row r="4" spans="1:8" x14ac:dyDescent="0.25">
      <c r="A4" s="214"/>
      <c r="B4" s="214"/>
      <c r="C4" s="214"/>
      <c r="D4" s="214"/>
      <c r="E4" s="214"/>
      <c r="F4" s="214"/>
      <c r="G4" s="214"/>
      <c r="H4" s="214"/>
    </row>
    <row r="5" spans="1:8" s="1" customFormat="1" ht="30" x14ac:dyDescent="0.25">
      <c r="A5" s="1" t="s">
        <v>258</v>
      </c>
      <c r="B5" s="1" t="s">
        <v>259</v>
      </c>
      <c r="C5" s="5" t="s">
        <v>260</v>
      </c>
      <c r="D5" s="5" t="s">
        <v>260</v>
      </c>
      <c r="E5" s="1" t="s">
        <v>262</v>
      </c>
      <c r="F5" s="1" t="s">
        <v>261</v>
      </c>
    </row>
    <row r="6" spans="1:8" hidden="1" x14ac:dyDescent="0.25">
      <c r="A6" s="87" t="s">
        <v>116</v>
      </c>
      <c r="B6" s="61" t="s">
        <v>117</v>
      </c>
      <c r="C6" s="61" t="s">
        <v>118</v>
      </c>
      <c r="D6" s="64" t="s">
        <v>119</v>
      </c>
      <c r="E6" s="61" t="s">
        <v>120</v>
      </c>
      <c r="F6" s="61" t="s">
        <v>121</v>
      </c>
    </row>
    <row r="7" spans="1:8" hidden="1" x14ac:dyDescent="0.25">
      <c r="A7" s="87"/>
      <c r="D7" s="64">
        <f t="shared" ref="D7:D51" si="0">_xlfn.NUMBERVALUE(C7)</f>
        <v>0</v>
      </c>
    </row>
    <row r="8" spans="1:8" x14ac:dyDescent="0.25">
      <c r="A8" s="120" t="s">
        <v>336</v>
      </c>
      <c r="B8" s="1" t="s">
        <v>380</v>
      </c>
      <c r="C8" s="89" t="s">
        <v>408</v>
      </c>
      <c r="D8" s="64">
        <f t="shared" si="0"/>
        <v>22.43</v>
      </c>
      <c r="E8" s="1" t="s">
        <v>424</v>
      </c>
      <c r="F8" s="1" t="s">
        <v>425</v>
      </c>
    </row>
    <row r="9" spans="1:8" x14ac:dyDescent="0.25">
      <c r="A9" s="120" t="s">
        <v>317</v>
      </c>
      <c r="B9" s="1" t="s">
        <v>360</v>
      </c>
      <c r="C9" s="89">
        <v>37.9</v>
      </c>
      <c r="D9" s="64">
        <f t="shared" si="0"/>
        <v>37.9</v>
      </c>
      <c r="E9" s="1" t="s">
        <v>424</v>
      </c>
      <c r="F9" s="1"/>
    </row>
    <row r="10" spans="1:8" x14ac:dyDescent="0.25">
      <c r="A10" s="120" t="s">
        <v>326</v>
      </c>
      <c r="B10" s="1" t="s">
        <v>369</v>
      </c>
      <c r="C10" s="89">
        <v>32.9</v>
      </c>
      <c r="D10" s="64">
        <f t="shared" si="0"/>
        <v>32.9</v>
      </c>
      <c r="E10" s="1" t="s">
        <v>424</v>
      </c>
      <c r="F10" s="1" t="s">
        <v>425</v>
      </c>
    </row>
    <row r="11" spans="1:8" x14ac:dyDescent="0.25">
      <c r="A11" s="120" t="s">
        <v>263</v>
      </c>
      <c r="B11" s="1" t="s">
        <v>357</v>
      </c>
      <c r="C11" s="89">
        <v>34.9</v>
      </c>
      <c r="D11" s="64">
        <f t="shared" si="0"/>
        <v>34.9</v>
      </c>
      <c r="E11" s="1" t="s">
        <v>424</v>
      </c>
      <c r="F11" s="1" t="s">
        <v>426</v>
      </c>
    </row>
    <row r="12" spans="1:8" x14ac:dyDescent="0.25">
      <c r="A12" s="120" t="s">
        <v>334</v>
      </c>
      <c r="B12" s="1" t="s">
        <v>377</v>
      </c>
      <c r="C12" s="89" t="s">
        <v>407</v>
      </c>
      <c r="D12" s="64">
        <f t="shared" si="0"/>
        <v>38.9</v>
      </c>
      <c r="E12" s="1" t="s">
        <v>424</v>
      </c>
      <c r="F12" s="1" t="s">
        <v>431</v>
      </c>
    </row>
    <row r="13" spans="1:8" x14ac:dyDescent="0.25">
      <c r="A13" s="120" t="s">
        <v>322</v>
      </c>
      <c r="B13" s="1" t="s">
        <v>365</v>
      </c>
      <c r="C13" s="89" t="s">
        <v>271</v>
      </c>
      <c r="D13" s="64">
        <f t="shared" si="0"/>
        <v>39.9</v>
      </c>
      <c r="E13" s="1" t="s">
        <v>424</v>
      </c>
      <c r="F13" s="1" t="s">
        <v>429</v>
      </c>
    </row>
    <row r="14" spans="1:8" x14ac:dyDescent="0.25">
      <c r="A14" s="120" t="s">
        <v>318</v>
      </c>
      <c r="B14" s="1" t="s">
        <v>361</v>
      </c>
      <c r="C14" s="89" t="s">
        <v>399</v>
      </c>
      <c r="D14" s="64">
        <f t="shared" si="0"/>
        <v>32.950000000000003</v>
      </c>
      <c r="E14" s="1" t="s">
        <v>424</v>
      </c>
      <c r="F14" s="1" t="s">
        <v>270</v>
      </c>
    </row>
    <row r="15" spans="1:8" x14ac:dyDescent="0.25">
      <c r="A15" s="120" t="s">
        <v>328</v>
      </c>
      <c r="B15" s="1" t="s">
        <v>371</v>
      </c>
      <c r="C15" s="89" t="s">
        <v>405</v>
      </c>
      <c r="D15" s="64">
        <f t="shared" si="0"/>
        <v>38.950000000000003</v>
      </c>
      <c r="E15" s="1" t="s">
        <v>424</v>
      </c>
      <c r="F15" s="1" t="s">
        <v>270</v>
      </c>
    </row>
    <row r="16" spans="1:8" x14ac:dyDescent="0.25">
      <c r="A16" s="120" t="s">
        <v>321</v>
      </c>
      <c r="B16" s="1" t="s">
        <v>364</v>
      </c>
      <c r="C16" s="89" t="s">
        <v>402</v>
      </c>
      <c r="D16" s="64">
        <f t="shared" si="0"/>
        <v>36</v>
      </c>
      <c r="E16" s="1" t="s">
        <v>424</v>
      </c>
      <c r="F16" s="1" t="s">
        <v>428</v>
      </c>
    </row>
    <row r="17" spans="1:6" x14ac:dyDescent="0.25">
      <c r="A17" s="120" t="s">
        <v>354</v>
      </c>
      <c r="B17" s="1" t="s">
        <v>398</v>
      </c>
      <c r="C17" s="89" t="s">
        <v>423</v>
      </c>
      <c r="D17" s="64">
        <f t="shared" si="0"/>
        <v>46.9</v>
      </c>
      <c r="E17" s="1" t="s">
        <v>424</v>
      </c>
      <c r="F17" s="1" t="s">
        <v>264</v>
      </c>
    </row>
    <row r="18" spans="1:6" x14ac:dyDescent="0.25">
      <c r="A18" s="120" t="s">
        <v>315</v>
      </c>
      <c r="B18" s="1" t="s">
        <v>358</v>
      </c>
      <c r="C18" s="89">
        <v>89.9</v>
      </c>
      <c r="D18" s="64">
        <f t="shared" si="0"/>
        <v>89.9</v>
      </c>
      <c r="E18" s="1" t="s">
        <v>424</v>
      </c>
      <c r="F18" s="1" t="s">
        <v>270</v>
      </c>
    </row>
    <row r="19" spans="1:6" x14ac:dyDescent="0.25">
      <c r="A19" s="120" t="s">
        <v>316</v>
      </c>
      <c r="B19" s="1" t="s">
        <v>359</v>
      </c>
      <c r="C19" s="89">
        <v>21.9</v>
      </c>
      <c r="D19" s="64">
        <f t="shared" si="0"/>
        <v>21.9</v>
      </c>
      <c r="E19" s="1" t="s">
        <v>424</v>
      </c>
      <c r="F19" s="1" t="s">
        <v>425</v>
      </c>
    </row>
    <row r="20" spans="1:6" x14ac:dyDescent="0.25">
      <c r="A20" s="120" t="s">
        <v>348</v>
      </c>
      <c r="B20" s="1" t="s">
        <v>392</v>
      </c>
      <c r="C20" s="89" t="s">
        <v>417</v>
      </c>
      <c r="D20" s="64">
        <f t="shared" si="0"/>
        <v>10</v>
      </c>
      <c r="E20" s="1" t="s">
        <v>424</v>
      </c>
      <c r="F20" s="1" t="s">
        <v>433</v>
      </c>
    </row>
    <row r="21" spans="1:6" x14ac:dyDescent="0.25">
      <c r="A21" s="120" t="s">
        <v>313</v>
      </c>
      <c r="B21" s="1" t="s">
        <v>355</v>
      </c>
      <c r="C21" s="89">
        <v>39.9</v>
      </c>
      <c r="D21" s="64">
        <f t="shared" si="0"/>
        <v>39.9</v>
      </c>
      <c r="E21" s="1" t="s">
        <v>424</v>
      </c>
      <c r="F21" s="1" t="s">
        <v>425</v>
      </c>
    </row>
    <row r="22" spans="1:6" x14ac:dyDescent="0.25">
      <c r="A22" s="120" t="s">
        <v>325</v>
      </c>
      <c r="B22" s="1" t="s">
        <v>368</v>
      </c>
      <c r="C22" s="89">
        <v>36.9</v>
      </c>
      <c r="D22" s="64">
        <f t="shared" si="0"/>
        <v>36.9</v>
      </c>
      <c r="E22" s="1" t="s">
        <v>424</v>
      </c>
      <c r="F22" s="1" t="s">
        <v>430</v>
      </c>
    </row>
    <row r="23" spans="1:6" x14ac:dyDescent="0.25">
      <c r="A23" s="120" t="s">
        <v>314</v>
      </c>
      <c r="B23" s="1" t="s">
        <v>356</v>
      </c>
      <c r="C23" s="89">
        <v>29.9</v>
      </c>
      <c r="D23" s="64">
        <f t="shared" si="0"/>
        <v>29.9</v>
      </c>
      <c r="E23" s="1" t="s">
        <v>424</v>
      </c>
      <c r="F23" s="1" t="s">
        <v>425</v>
      </c>
    </row>
    <row r="24" spans="1:6" x14ac:dyDescent="0.25">
      <c r="A24" s="120" t="s">
        <v>338</v>
      </c>
      <c r="B24" s="1" t="s">
        <v>382</v>
      </c>
      <c r="C24" s="89" t="s">
        <v>410</v>
      </c>
      <c r="D24" s="64">
        <f t="shared" si="0"/>
        <v>26.95</v>
      </c>
      <c r="E24" s="1" t="s">
        <v>424</v>
      </c>
      <c r="F24" s="1" t="s">
        <v>270</v>
      </c>
    </row>
    <row r="25" spans="1:6" x14ac:dyDescent="0.25">
      <c r="A25" s="120" t="s">
        <v>337</v>
      </c>
      <c r="B25" s="1" t="s">
        <v>381</v>
      </c>
      <c r="C25" s="89" t="s">
        <v>409</v>
      </c>
      <c r="D25" s="64">
        <f t="shared" si="0"/>
        <v>24.9</v>
      </c>
      <c r="E25" s="1" t="s">
        <v>424</v>
      </c>
      <c r="F25" s="1" t="s">
        <v>433</v>
      </c>
    </row>
    <row r="26" spans="1:6" x14ac:dyDescent="0.25">
      <c r="A26" s="120" t="s">
        <v>323</v>
      </c>
      <c r="B26" s="1" t="s">
        <v>366</v>
      </c>
      <c r="C26" s="89" t="s">
        <v>403</v>
      </c>
      <c r="D26" s="64">
        <f t="shared" si="0"/>
        <v>64.900000000000006</v>
      </c>
      <c r="E26" s="1" t="s">
        <v>424</v>
      </c>
      <c r="F26" s="1" t="s">
        <v>425</v>
      </c>
    </row>
    <row r="27" spans="1:6" x14ac:dyDescent="0.25">
      <c r="A27" s="120" t="s">
        <v>351</v>
      </c>
      <c r="B27" s="1" t="s">
        <v>395</v>
      </c>
      <c r="C27" s="89" t="s">
        <v>420</v>
      </c>
      <c r="D27" s="64">
        <f t="shared" si="0"/>
        <v>52.9</v>
      </c>
      <c r="E27" s="1" t="s">
        <v>424</v>
      </c>
      <c r="F27" s="1" t="s">
        <v>264</v>
      </c>
    </row>
    <row r="28" spans="1:6" x14ac:dyDescent="0.25">
      <c r="A28" s="120" t="s">
        <v>353</v>
      </c>
      <c r="B28" s="1" t="s">
        <v>397</v>
      </c>
      <c r="C28" s="89" t="s">
        <v>422</v>
      </c>
      <c r="D28" s="64">
        <f t="shared" si="0"/>
        <v>59.9</v>
      </c>
      <c r="E28" s="1" t="s">
        <v>424</v>
      </c>
      <c r="F28" s="1" t="s">
        <v>269</v>
      </c>
    </row>
    <row r="29" spans="1:6" x14ac:dyDescent="0.25">
      <c r="A29" s="120" t="s">
        <v>352</v>
      </c>
      <c r="B29" s="1" t="s">
        <v>396</v>
      </c>
      <c r="C29" s="89" t="s">
        <v>421</v>
      </c>
      <c r="D29" s="64">
        <f t="shared" si="0"/>
        <v>49.95</v>
      </c>
      <c r="E29" s="1" t="s">
        <v>424</v>
      </c>
      <c r="F29" s="1" t="s">
        <v>270</v>
      </c>
    </row>
    <row r="30" spans="1:6" x14ac:dyDescent="0.25">
      <c r="A30" s="120" t="s">
        <v>339</v>
      </c>
      <c r="B30" s="1" t="s">
        <v>383</v>
      </c>
      <c r="C30" s="89" t="s">
        <v>411</v>
      </c>
      <c r="D30" s="64">
        <f t="shared" si="0"/>
        <v>895</v>
      </c>
      <c r="E30" s="1" t="s">
        <v>424</v>
      </c>
      <c r="F30" s="1" t="s">
        <v>264</v>
      </c>
    </row>
    <row r="31" spans="1:6" x14ac:dyDescent="0.25">
      <c r="A31" s="120" t="s">
        <v>335</v>
      </c>
      <c r="B31" s="1" t="s">
        <v>379</v>
      </c>
      <c r="C31" s="89" t="s">
        <v>271</v>
      </c>
      <c r="D31" s="64">
        <f t="shared" si="0"/>
        <v>39.9</v>
      </c>
      <c r="E31" s="1" t="s">
        <v>424</v>
      </c>
      <c r="F31" s="1" t="s">
        <v>425</v>
      </c>
    </row>
    <row r="32" spans="1:6" x14ac:dyDescent="0.25">
      <c r="A32" s="120" t="s">
        <v>343</v>
      </c>
      <c r="B32" s="1" t="s">
        <v>387</v>
      </c>
      <c r="C32" s="89" t="s">
        <v>414</v>
      </c>
      <c r="D32" s="64">
        <f t="shared" si="0"/>
        <v>35.9</v>
      </c>
      <c r="E32" s="1" t="s">
        <v>424</v>
      </c>
      <c r="F32" s="1" t="s">
        <v>425</v>
      </c>
    </row>
    <row r="33" spans="1:6" x14ac:dyDescent="0.25">
      <c r="A33" s="120" t="s">
        <v>342</v>
      </c>
      <c r="B33" s="1" t="s">
        <v>386</v>
      </c>
      <c r="C33" s="89" t="s">
        <v>407</v>
      </c>
      <c r="D33" s="64">
        <f t="shared" si="0"/>
        <v>38.9</v>
      </c>
      <c r="E33" s="1" t="s">
        <v>424</v>
      </c>
      <c r="F33" s="1" t="s">
        <v>425</v>
      </c>
    </row>
    <row r="34" spans="1:6" x14ac:dyDescent="0.25">
      <c r="A34" s="120" t="s">
        <v>340</v>
      </c>
      <c r="B34" s="1" t="s">
        <v>384</v>
      </c>
      <c r="C34" s="89" t="s">
        <v>412</v>
      </c>
      <c r="D34" s="64">
        <f t="shared" si="0"/>
        <v>56</v>
      </c>
      <c r="E34" s="1" t="s">
        <v>424</v>
      </c>
      <c r="F34" s="1" t="s">
        <v>264</v>
      </c>
    </row>
    <row r="35" spans="1:6" x14ac:dyDescent="0.25">
      <c r="A35" s="120" t="s">
        <v>341</v>
      </c>
      <c r="B35" s="1" t="s">
        <v>385</v>
      </c>
      <c r="C35" s="89" t="s">
        <v>413</v>
      </c>
      <c r="D35" s="64">
        <f t="shared" si="0"/>
        <v>215.1</v>
      </c>
      <c r="E35" s="1" t="s">
        <v>424</v>
      </c>
      <c r="F35" s="1" t="s">
        <v>425</v>
      </c>
    </row>
    <row r="36" spans="1:6" x14ac:dyDescent="0.25">
      <c r="A36" s="120" t="s">
        <v>349</v>
      </c>
      <c r="B36" s="1" t="s">
        <v>393</v>
      </c>
      <c r="C36" s="89" t="s">
        <v>418</v>
      </c>
      <c r="D36" s="64">
        <f t="shared" si="0"/>
        <v>21</v>
      </c>
      <c r="E36" s="1" t="s">
        <v>424</v>
      </c>
      <c r="F36" s="1" t="s">
        <v>425</v>
      </c>
    </row>
    <row r="37" spans="1:6" x14ac:dyDescent="0.25">
      <c r="A37" s="120" t="s">
        <v>324</v>
      </c>
      <c r="B37" s="1" t="s">
        <v>367</v>
      </c>
      <c r="C37" s="89">
        <v>79.95</v>
      </c>
      <c r="D37" s="64">
        <f t="shared" si="0"/>
        <v>79.95</v>
      </c>
      <c r="E37" s="1" t="s">
        <v>424</v>
      </c>
      <c r="F37" s="1" t="s">
        <v>270</v>
      </c>
    </row>
    <row r="38" spans="1:6" x14ac:dyDescent="0.25">
      <c r="A38" s="120" t="s">
        <v>320</v>
      </c>
      <c r="B38" s="1" t="s">
        <v>363</v>
      </c>
      <c r="C38" s="89" t="s">
        <v>401</v>
      </c>
      <c r="D38" s="64">
        <f t="shared" si="0"/>
        <v>13</v>
      </c>
      <c r="E38" s="1" t="s">
        <v>424</v>
      </c>
      <c r="F38" s="1" t="s">
        <v>427</v>
      </c>
    </row>
    <row r="39" spans="1:6" x14ac:dyDescent="0.25">
      <c r="A39" s="120" t="s">
        <v>320</v>
      </c>
      <c r="B39" s="1" t="s">
        <v>378</v>
      </c>
      <c r="C39" s="89" t="s">
        <v>406</v>
      </c>
      <c r="D39" s="64">
        <f t="shared" si="0"/>
        <v>13</v>
      </c>
      <c r="E39" s="1" t="s">
        <v>424</v>
      </c>
      <c r="F39" s="1" t="s">
        <v>432</v>
      </c>
    </row>
    <row r="40" spans="1:6" x14ac:dyDescent="0.25">
      <c r="A40" s="120" t="s">
        <v>327</v>
      </c>
      <c r="B40" s="1" t="s">
        <v>370</v>
      </c>
      <c r="C40" s="89" t="s">
        <v>404</v>
      </c>
      <c r="D40" s="64">
        <f t="shared" si="0"/>
        <v>6.9</v>
      </c>
      <c r="E40" s="1" t="s">
        <v>424</v>
      </c>
      <c r="F40" s="1" t="s">
        <v>425</v>
      </c>
    </row>
    <row r="41" spans="1:6" x14ac:dyDescent="0.25">
      <c r="A41" s="120" t="s">
        <v>319</v>
      </c>
      <c r="B41" s="1" t="s">
        <v>362</v>
      </c>
      <c r="C41" s="89" t="s">
        <v>400</v>
      </c>
      <c r="D41" s="64">
        <f t="shared" si="0"/>
        <v>3.9</v>
      </c>
      <c r="E41" s="1" t="s">
        <v>424</v>
      </c>
      <c r="F41" s="1" t="s">
        <v>425</v>
      </c>
    </row>
    <row r="42" spans="1:6" x14ac:dyDescent="0.25">
      <c r="A42" s="120" t="s">
        <v>344</v>
      </c>
      <c r="B42" s="1" t="s">
        <v>388</v>
      </c>
      <c r="C42" s="89" t="s">
        <v>404</v>
      </c>
      <c r="D42" s="64">
        <f t="shared" si="0"/>
        <v>6.9</v>
      </c>
      <c r="E42" s="1" t="s">
        <v>424</v>
      </c>
      <c r="F42" s="1" t="s">
        <v>427</v>
      </c>
    </row>
    <row r="43" spans="1:6" x14ac:dyDescent="0.25">
      <c r="A43" s="120" t="s">
        <v>347</v>
      </c>
      <c r="B43" s="1" t="s">
        <v>391</v>
      </c>
      <c r="C43" s="89" t="s">
        <v>416</v>
      </c>
      <c r="D43" s="64">
        <f t="shared" si="0"/>
        <v>2</v>
      </c>
      <c r="E43" s="1" t="s">
        <v>424</v>
      </c>
      <c r="F43" s="1" t="s">
        <v>264</v>
      </c>
    </row>
    <row r="44" spans="1:6" x14ac:dyDescent="0.25">
      <c r="A44" s="120" t="s">
        <v>345</v>
      </c>
      <c r="B44" s="1" t="s">
        <v>389</v>
      </c>
      <c r="C44" s="89" t="s">
        <v>415</v>
      </c>
      <c r="D44" s="64">
        <f t="shared" si="0"/>
        <v>7.9</v>
      </c>
      <c r="E44" s="1" t="s">
        <v>424</v>
      </c>
      <c r="F44" s="1" t="s">
        <v>264</v>
      </c>
    </row>
    <row r="45" spans="1:6" x14ac:dyDescent="0.25">
      <c r="A45" s="120" t="s">
        <v>346</v>
      </c>
      <c r="B45" s="1" t="s">
        <v>390</v>
      </c>
      <c r="C45" s="89" t="s">
        <v>415</v>
      </c>
      <c r="D45" s="64">
        <f t="shared" si="0"/>
        <v>7.9</v>
      </c>
      <c r="E45" s="1" t="s">
        <v>424</v>
      </c>
      <c r="F45" s="1" t="s">
        <v>264</v>
      </c>
    </row>
    <row r="46" spans="1:6" x14ac:dyDescent="0.25">
      <c r="A46" s="120" t="s">
        <v>329</v>
      </c>
      <c r="B46" s="1" t="s">
        <v>372</v>
      </c>
      <c r="C46" s="89" t="s">
        <v>406</v>
      </c>
      <c r="D46" s="64">
        <f t="shared" si="0"/>
        <v>13</v>
      </c>
      <c r="E46" s="1" t="s">
        <v>424</v>
      </c>
      <c r="F46" s="1" t="s">
        <v>427</v>
      </c>
    </row>
    <row r="47" spans="1:6" x14ac:dyDescent="0.25">
      <c r="A47" s="120" t="s">
        <v>330</v>
      </c>
      <c r="B47" s="1" t="s">
        <v>373</v>
      </c>
      <c r="C47" s="89" t="s">
        <v>406</v>
      </c>
      <c r="D47" s="64">
        <f t="shared" si="0"/>
        <v>13</v>
      </c>
      <c r="E47" s="1" t="s">
        <v>424</v>
      </c>
      <c r="F47" s="1" t="s">
        <v>427</v>
      </c>
    </row>
    <row r="48" spans="1:6" x14ac:dyDescent="0.25">
      <c r="A48" s="120" t="s">
        <v>331</v>
      </c>
      <c r="B48" s="1" t="s">
        <v>374</v>
      </c>
      <c r="C48" s="89" t="s">
        <v>401</v>
      </c>
      <c r="D48" s="64">
        <f t="shared" si="0"/>
        <v>13</v>
      </c>
      <c r="E48" s="1" t="s">
        <v>424</v>
      </c>
      <c r="F48" s="1" t="s">
        <v>427</v>
      </c>
    </row>
    <row r="49" spans="1:6" x14ac:dyDescent="0.25">
      <c r="A49" s="120" t="s">
        <v>332</v>
      </c>
      <c r="B49" s="1" t="s">
        <v>375</v>
      </c>
      <c r="C49" s="89" t="s">
        <v>401</v>
      </c>
      <c r="D49" s="64">
        <f t="shared" si="0"/>
        <v>13</v>
      </c>
      <c r="E49" s="1" t="s">
        <v>424</v>
      </c>
      <c r="F49" s="1" t="s">
        <v>427</v>
      </c>
    </row>
    <row r="50" spans="1:6" x14ac:dyDescent="0.25">
      <c r="A50" s="120" t="s">
        <v>333</v>
      </c>
      <c r="B50" s="1" t="s">
        <v>376</v>
      </c>
      <c r="C50" s="89" t="s">
        <v>401</v>
      </c>
      <c r="D50" s="64">
        <f t="shared" si="0"/>
        <v>13</v>
      </c>
      <c r="E50" s="1" t="s">
        <v>424</v>
      </c>
      <c r="F50" s="1" t="s">
        <v>427</v>
      </c>
    </row>
    <row r="51" spans="1:6" x14ac:dyDescent="0.25">
      <c r="A51" s="120" t="s">
        <v>350</v>
      </c>
      <c r="B51" s="1" t="s">
        <v>394</v>
      </c>
      <c r="C51" s="89" t="s">
        <v>419</v>
      </c>
      <c r="D51" s="64">
        <f t="shared" si="0"/>
        <v>9.0299999999999994</v>
      </c>
      <c r="E51" s="1" t="s">
        <v>424</v>
      </c>
      <c r="F51" s="1" t="s">
        <v>425</v>
      </c>
    </row>
    <row r="52" spans="1:6" x14ac:dyDescent="0.25">
      <c r="A52" s="87" t="s">
        <v>444</v>
      </c>
      <c r="B52" s="61" t="s">
        <v>445</v>
      </c>
      <c r="C52" s="61">
        <v>10</v>
      </c>
      <c r="D52" s="64">
        <f>_xlfn.NUMBERVALUE(C52)</f>
        <v>10</v>
      </c>
      <c r="E52" s="61" t="s">
        <v>424</v>
      </c>
    </row>
    <row r="53" spans="1:6" x14ac:dyDescent="0.25">
      <c r="A53" s="87" t="s">
        <v>575</v>
      </c>
      <c r="B53" s="61" t="s">
        <v>576</v>
      </c>
      <c r="C53" s="61">
        <v>44.9</v>
      </c>
      <c r="D53" s="64">
        <f>_xlfn.NUMBERVALUE(C53)</f>
        <v>44.9</v>
      </c>
      <c r="E53" s="61" t="s">
        <v>265</v>
      </c>
      <c r="F53" s="61" t="s">
        <v>429</v>
      </c>
    </row>
    <row r="54" spans="1:6" x14ac:dyDescent="0.25">
      <c r="A54" s="87"/>
    </row>
    <row r="55" spans="1:6" x14ac:dyDescent="0.25">
      <c r="A55" s="87"/>
    </row>
    <row r="56" spans="1:6" x14ac:dyDescent="0.25">
      <c r="A56" s="87"/>
    </row>
    <row r="57" spans="1:6" x14ac:dyDescent="0.25">
      <c r="A57" s="87"/>
    </row>
    <row r="58" spans="1:6" x14ac:dyDescent="0.25">
      <c r="A58" s="87"/>
    </row>
    <row r="59" spans="1:6" x14ac:dyDescent="0.25">
      <c r="A59" s="87"/>
    </row>
    <row r="60" spans="1:6" x14ac:dyDescent="0.25">
      <c r="A60" s="87"/>
    </row>
    <row r="61" spans="1:6" x14ac:dyDescent="0.25">
      <c r="A61" s="87"/>
    </row>
    <row r="62" spans="1:6" x14ac:dyDescent="0.25">
      <c r="A62" s="87"/>
    </row>
    <row r="63" spans="1:6" x14ac:dyDescent="0.25">
      <c r="A63" s="87"/>
    </row>
    <row r="64" spans="1:6" x14ac:dyDescent="0.25">
      <c r="A64" s="87"/>
    </row>
    <row r="65" spans="1:1" x14ac:dyDescent="0.25">
      <c r="A65" s="87"/>
    </row>
    <row r="66" spans="1:1" x14ac:dyDescent="0.25">
      <c r="A66" s="87"/>
    </row>
    <row r="67" spans="1:1" x14ac:dyDescent="0.25">
      <c r="A67" s="87"/>
    </row>
    <row r="68" spans="1:1" x14ac:dyDescent="0.25">
      <c r="A68" s="87"/>
    </row>
    <row r="69" spans="1:1" x14ac:dyDescent="0.25">
      <c r="A69" s="87"/>
    </row>
    <row r="70" spans="1:1" x14ac:dyDescent="0.25">
      <c r="A70" s="87"/>
    </row>
    <row r="71" spans="1:1" x14ac:dyDescent="0.25">
      <c r="A71" s="87"/>
    </row>
    <row r="72" spans="1:1" x14ac:dyDescent="0.25">
      <c r="A72" s="87"/>
    </row>
    <row r="73" spans="1:1" x14ac:dyDescent="0.25">
      <c r="A73" s="87"/>
    </row>
    <row r="74" spans="1:1" x14ac:dyDescent="0.25">
      <c r="A74" s="87"/>
    </row>
    <row r="75" spans="1:1" x14ac:dyDescent="0.25">
      <c r="A75" s="87"/>
    </row>
    <row r="76" spans="1:1" x14ac:dyDescent="0.25">
      <c r="A76" s="87"/>
    </row>
    <row r="77" spans="1:1" x14ac:dyDescent="0.25">
      <c r="A77" s="87"/>
    </row>
    <row r="78" spans="1:1" x14ac:dyDescent="0.25">
      <c r="A78" s="87"/>
    </row>
    <row r="79" spans="1:1" x14ac:dyDescent="0.25">
      <c r="A79" s="87"/>
    </row>
    <row r="80" spans="1:1" x14ac:dyDescent="0.25">
      <c r="A80" s="87"/>
    </row>
    <row r="81" spans="1:1" x14ac:dyDescent="0.25">
      <c r="A81" s="87"/>
    </row>
    <row r="82" spans="1:1" x14ac:dyDescent="0.25">
      <c r="A82" s="87"/>
    </row>
    <row r="83" spans="1:1" x14ac:dyDescent="0.25">
      <c r="A83" s="87"/>
    </row>
    <row r="84" spans="1:1" x14ac:dyDescent="0.25">
      <c r="A84" s="87"/>
    </row>
    <row r="85" spans="1:1" x14ac:dyDescent="0.25">
      <c r="A85" s="87"/>
    </row>
    <row r="86" spans="1:1" x14ac:dyDescent="0.25">
      <c r="A86" s="87"/>
    </row>
    <row r="87" spans="1:1" x14ac:dyDescent="0.25">
      <c r="A87" s="87"/>
    </row>
    <row r="88" spans="1:1" x14ac:dyDescent="0.25">
      <c r="A88" s="87"/>
    </row>
    <row r="89" spans="1:1" x14ac:dyDescent="0.25">
      <c r="A89" s="87"/>
    </row>
    <row r="90" spans="1:1" x14ac:dyDescent="0.25">
      <c r="A90" s="87"/>
    </row>
    <row r="91" spans="1:1" x14ac:dyDescent="0.25">
      <c r="A91" s="87"/>
    </row>
    <row r="92" spans="1:1" x14ac:dyDescent="0.25">
      <c r="A92" s="87"/>
    </row>
    <row r="93" spans="1:1" x14ac:dyDescent="0.25">
      <c r="A93" s="87"/>
    </row>
    <row r="94" spans="1:1" x14ac:dyDescent="0.25">
      <c r="A94" s="87"/>
    </row>
    <row r="95" spans="1:1" x14ac:dyDescent="0.25">
      <c r="A95" s="87"/>
    </row>
    <row r="96" spans="1:1" x14ac:dyDescent="0.25">
      <c r="A96" s="87"/>
    </row>
    <row r="97" spans="1:1" x14ac:dyDescent="0.25">
      <c r="A97" s="87"/>
    </row>
    <row r="98" spans="1:1" x14ac:dyDescent="0.25">
      <c r="A98" s="87"/>
    </row>
    <row r="99" spans="1:1" x14ac:dyDescent="0.25">
      <c r="A99" s="87"/>
    </row>
    <row r="100" spans="1:1" x14ac:dyDescent="0.25">
      <c r="A100" s="87"/>
    </row>
    <row r="101" spans="1:1" x14ac:dyDescent="0.25">
      <c r="A101" s="87"/>
    </row>
    <row r="102" spans="1:1" x14ac:dyDescent="0.25">
      <c r="A102" s="87"/>
    </row>
    <row r="103" spans="1:1" x14ac:dyDescent="0.25">
      <c r="A103" s="87"/>
    </row>
    <row r="104" spans="1:1" x14ac:dyDescent="0.25">
      <c r="A104" s="87"/>
    </row>
    <row r="105" spans="1:1" x14ac:dyDescent="0.25">
      <c r="A105" s="87"/>
    </row>
    <row r="106" spans="1:1" x14ac:dyDescent="0.25">
      <c r="A106" s="87"/>
    </row>
    <row r="107" spans="1:1" x14ac:dyDescent="0.25">
      <c r="A107" s="87"/>
    </row>
    <row r="108" spans="1:1" x14ac:dyDescent="0.25">
      <c r="A108" s="87"/>
    </row>
    <row r="109" spans="1:1" x14ac:dyDescent="0.25">
      <c r="A109" s="87"/>
    </row>
    <row r="110" spans="1:1" x14ac:dyDescent="0.25">
      <c r="A110" s="87"/>
    </row>
    <row r="111" spans="1:1" x14ac:dyDescent="0.25">
      <c r="A111" s="87"/>
    </row>
    <row r="112" spans="1:1" x14ac:dyDescent="0.25">
      <c r="A112" s="87"/>
    </row>
    <row r="113" spans="1:1" x14ac:dyDescent="0.25">
      <c r="A113" s="87"/>
    </row>
    <row r="114" spans="1:1" x14ac:dyDescent="0.25">
      <c r="A114" s="87"/>
    </row>
    <row r="115" spans="1:1" x14ac:dyDescent="0.25">
      <c r="A115" s="87"/>
    </row>
    <row r="116" spans="1:1" x14ac:dyDescent="0.25">
      <c r="A116" s="87"/>
    </row>
    <row r="117" spans="1:1" x14ac:dyDescent="0.25">
      <c r="A117" s="87"/>
    </row>
    <row r="118" spans="1:1" x14ac:dyDescent="0.25">
      <c r="A118" s="87"/>
    </row>
    <row r="119" spans="1:1" x14ac:dyDescent="0.25">
      <c r="A119" s="87"/>
    </row>
    <row r="120" spans="1:1" x14ac:dyDescent="0.25">
      <c r="A120" s="87"/>
    </row>
    <row r="121" spans="1:1" x14ac:dyDescent="0.25">
      <c r="A121" s="87"/>
    </row>
    <row r="122" spans="1:1" x14ac:dyDescent="0.25">
      <c r="A122" s="87"/>
    </row>
    <row r="123" spans="1:1" x14ac:dyDescent="0.25">
      <c r="A123" s="87"/>
    </row>
    <row r="124" spans="1:1" x14ac:dyDescent="0.25">
      <c r="A124" s="87"/>
    </row>
    <row r="125" spans="1:1" x14ac:dyDescent="0.25">
      <c r="A125" s="87"/>
    </row>
    <row r="126" spans="1:1" x14ac:dyDescent="0.25">
      <c r="A126" s="87"/>
    </row>
    <row r="127" spans="1:1" x14ac:dyDescent="0.25">
      <c r="A127" s="87"/>
    </row>
    <row r="128" spans="1:1" x14ac:dyDescent="0.25">
      <c r="A128" s="87"/>
    </row>
    <row r="129" spans="1:1" x14ac:dyDescent="0.25">
      <c r="A129" s="87"/>
    </row>
    <row r="130" spans="1:1" x14ac:dyDescent="0.25">
      <c r="A130" s="87"/>
    </row>
    <row r="131" spans="1:1" x14ac:dyDescent="0.25">
      <c r="A131" s="87"/>
    </row>
    <row r="132" spans="1:1" x14ac:dyDescent="0.25">
      <c r="A132" s="87"/>
    </row>
    <row r="133" spans="1:1" x14ac:dyDescent="0.25">
      <c r="A133" s="87"/>
    </row>
    <row r="134" spans="1:1" x14ac:dyDescent="0.25">
      <c r="A134" s="87"/>
    </row>
    <row r="135" spans="1:1" x14ac:dyDescent="0.25">
      <c r="A135" s="87"/>
    </row>
    <row r="136" spans="1:1" x14ac:dyDescent="0.25">
      <c r="A136" s="87"/>
    </row>
    <row r="137" spans="1:1" x14ac:dyDescent="0.25">
      <c r="A137" s="87"/>
    </row>
    <row r="138" spans="1:1" x14ac:dyDescent="0.25">
      <c r="A138" s="87"/>
    </row>
    <row r="139" spans="1:1" x14ac:dyDescent="0.25">
      <c r="A139" s="87"/>
    </row>
    <row r="140" spans="1:1" x14ac:dyDescent="0.25">
      <c r="A140" s="87"/>
    </row>
    <row r="141" spans="1:1" x14ac:dyDescent="0.25">
      <c r="A141" s="87"/>
    </row>
    <row r="142" spans="1:1" x14ac:dyDescent="0.25">
      <c r="A142" s="87"/>
    </row>
    <row r="143" spans="1:1" x14ac:dyDescent="0.25">
      <c r="A143" s="87"/>
    </row>
    <row r="144" spans="1:1" x14ac:dyDescent="0.25">
      <c r="A144" s="87"/>
    </row>
    <row r="145" spans="1:1" x14ac:dyDescent="0.25">
      <c r="A145" s="87"/>
    </row>
    <row r="146" spans="1:1" x14ac:dyDescent="0.25">
      <c r="A146" s="87"/>
    </row>
    <row r="147" spans="1:1" x14ac:dyDescent="0.25">
      <c r="A147" s="87"/>
    </row>
    <row r="148" spans="1:1" x14ac:dyDescent="0.25">
      <c r="A148" s="87"/>
    </row>
    <row r="149" spans="1:1" x14ac:dyDescent="0.25">
      <c r="A149" s="87"/>
    </row>
    <row r="150" spans="1:1" x14ac:dyDescent="0.25">
      <c r="A150" s="87"/>
    </row>
    <row r="151" spans="1:1" x14ac:dyDescent="0.25">
      <c r="A151" s="87"/>
    </row>
    <row r="152" spans="1:1" x14ac:dyDescent="0.25">
      <c r="A152" s="87"/>
    </row>
    <row r="153" spans="1:1" x14ac:dyDescent="0.25">
      <c r="A153" s="87"/>
    </row>
    <row r="154" spans="1:1" x14ac:dyDescent="0.25">
      <c r="A154" s="87"/>
    </row>
    <row r="155" spans="1:1" x14ac:dyDescent="0.25">
      <c r="A155" s="87"/>
    </row>
    <row r="156" spans="1:1" x14ac:dyDescent="0.25">
      <c r="A156" s="87"/>
    </row>
    <row r="157" spans="1:1" x14ac:dyDescent="0.25">
      <c r="A157" s="87"/>
    </row>
    <row r="158" spans="1:1" x14ac:dyDescent="0.25">
      <c r="A158" s="87"/>
    </row>
    <row r="159" spans="1:1" x14ac:dyDescent="0.25">
      <c r="A159" s="87"/>
    </row>
    <row r="160" spans="1:1" x14ac:dyDescent="0.25">
      <c r="A160" s="87"/>
    </row>
    <row r="161" spans="1:1" x14ac:dyDescent="0.25">
      <c r="A161" s="87"/>
    </row>
    <row r="162" spans="1:1" x14ac:dyDescent="0.25">
      <c r="A162" s="87"/>
    </row>
    <row r="163" spans="1:1" x14ac:dyDescent="0.25">
      <c r="A163" s="87"/>
    </row>
    <row r="164" spans="1:1" x14ac:dyDescent="0.25">
      <c r="A164" s="87"/>
    </row>
    <row r="165" spans="1:1" x14ac:dyDescent="0.25">
      <c r="A165" s="87"/>
    </row>
    <row r="166" spans="1:1" x14ac:dyDescent="0.25">
      <c r="A166" s="87"/>
    </row>
    <row r="167" spans="1:1" x14ac:dyDescent="0.25">
      <c r="A167" s="87"/>
    </row>
    <row r="168" spans="1:1" x14ac:dyDescent="0.25">
      <c r="A168" s="87"/>
    </row>
    <row r="169" spans="1:1" x14ac:dyDescent="0.25">
      <c r="A169" s="87"/>
    </row>
    <row r="170" spans="1:1" x14ac:dyDescent="0.25">
      <c r="A170" s="87"/>
    </row>
    <row r="171" spans="1:1" x14ac:dyDescent="0.25">
      <c r="A171" s="87"/>
    </row>
    <row r="172" spans="1:1" x14ac:dyDescent="0.25">
      <c r="A172" s="87"/>
    </row>
    <row r="173" spans="1:1" x14ac:dyDescent="0.25">
      <c r="A173" s="87"/>
    </row>
    <row r="174" spans="1:1" x14ac:dyDescent="0.25">
      <c r="A174" s="87"/>
    </row>
    <row r="175" spans="1:1" x14ac:dyDescent="0.25">
      <c r="A175" s="87"/>
    </row>
    <row r="176" spans="1:1" x14ac:dyDescent="0.25">
      <c r="A176" s="87"/>
    </row>
    <row r="177" spans="1:1" x14ac:dyDescent="0.25">
      <c r="A177" s="87"/>
    </row>
    <row r="178" spans="1:1" x14ac:dyDescent="0.25">
      <c r="A178" s="87"/>
    </row>
    <row r="179" spans="1:1" x14ac:dyDescent="0.25">
      <c r="A179" s="87"/>
    </row>
    <row r="180" spans="1:1" x14ac:dyDescent="0.25">
      <c r="A180" s="87"/>
    </row>
    <row r="181" spans="1:1" x14ac:dyDescent="0.25">
      <c r="A181" s="87"/>
    </row>
    <row r="182" spans="1:1" x14ac:dyDescent="0.25">
      <c r="A182" s="87"/>
    </row>
    <row r="183" spans="1:1" x14ac:dyDescent="0.25">
      <c r="A183" s="87"/>
    </row>
    <row r="184" spans="1:1" x14ac:dyDescent="0.25">
      <c r="A184" s="87"/>
    </row>
    <row r="185" spans="1:1" x14ac:dyDescent="0.25">
      <c r="A185" s="87"/>
    </row>
    <row r="186" spans="1:1" x14ac:dyDescent="0.25">
      <c r="A186" s="87"/>
    </row>
    <row r="187" spans="1:1" x14ac:dyDescent="0.25">
      <c r="A187" s="87"/>
    </row>
    <row r="188" spans="1:1" x14ac:dyDescent="0.25">
      <c r="A188" s="87"/>
    </row>
    <row r="189" spans="1:1" x14ac:dyDescent="0.25">
      <c r="A189" s="87"/>
    </row>
    <row r="190" spans="1:1" x14ac:dyDescent="0.25">
      <c r="A190" s="87"/>
    </row>
    <row r="191" spans="1:1" x14ac:dyDescent="0.25">
      <c r="A191" s="87"/>
    </row>
    <row r="192" spans="1:1" x14ac:dyDescent="0.25">
      <c r="A192" s="87"/>
    </row>
    <row r="193" spans="1:1" x14ac:dyDescent="0.25">
      <c r="A193" s="87"/>
    </row>
    <row r="194" spans="1:1" x14ac:dyDescent="0.25">
      <c r="A194" s="87"/>
    </row>
    <row r="195" spans="1:1" x14ac:dyDescent="0.25">
      <c r="A195" s="87"/>
    </row>
    <row r="196" spans="1:1" x14ac:dyDescent="0.25">
      <c r="A196" s="87"/>
    </row>
    <row r="197" spans="1:1" x14ac:dyDescent="0.25">
      <c r="A197" s="87"/>
    </row>
    <row r="198" spans="1:1" x14ac:dyDescent="0.25">
      <c r="A198" s="87"/>
    </row>
    <row r="199" spans="1:1" x14ac:dyDescent="0.25">
      <c r="A199" s="87"/>
    </row>
    <row r="200" spans="1:1" x14ac:dyDescent="0.25">
      <c r="A200" s="87"/>
    </row>
    <row r="201" spans="1:1" x14ac:dyDescent="0.25">
      <c r="A201" s="87"/>
    </row>
    <row r="202" spans="1:1" x14ac:dyDescent="0.25">
      <c r="A202" s="87"/>
    </row>
    <row r="203" spans="1:1" x14ac:dyDescent="0.25">
      <c r="A203" s="87"/>
    </row>
    <row r="204" spans="1:1" x14ac:dyDescent="0.25">
      <c r="A204" s="87"/>
    </row>
    <row r="205" spans="1:1" x14ac:dyDescent="0.25">
      <c r="A205" s="87"/>
    </row>
    <row r="206" spans="1:1" x14ac:dyDescent="0.25">
      <c r="A206" s="87"/>
    </row>
    <row r="207" spans="1:1" x14ac:dyDescent="0.25">
      <c r="A207" s="87"/>
    </row>
    <row r="208" spans="1:1" x14ac:dyDescent="0.25">
      <c r="A208" s="87"/>
    </row>
    <row r="209" spans="1:1" x14ac:dyDescent="0.25">
      <c r="A209" s="87"/>
    </row>
    <row r="210" spans="1:1" x14ac:dyDescent="0.25">
      <c r="A210" s="87"/>
    </row>
    <row r="211" spans="1:1" x14ac:dyDescent="0.25">
      <c r="A211" s="87"/>
    </row>
    <row r="212" spans="1:1" x14ac:dyDescent="0.25">
      <c r="A212" s="87"/>
    </row>
    <row r="213" spans="1:1" x14ac:dyDescent="0.25">
      <c r="A213" s="87"/>
    </row>
    <row r="214" spans="1:1" x14ac:dyDescent="0.25">
      <c r="A214" s="87"/>
    </row>
    <row r="215" spans="1:1" x14ac:dyDescent="0.25">
      <c r="A215" s="87"/>
    </row>
    <row r="216" spans="1:1" x14ac:dyDescent="0.25">
      <c r="A216" s="87"/>
    </row>
    <row r="217" spans="1:1" x14ac:dyDescent="0.25">
      <c r="A217" s="87"/>
    </row>
    <row r="218" spans="1:1" x14ac:dyDescent="0.25">
      <c r="A218" s="87"/>
    </row>
    <row r="219" spans="1:1" x14ac:dyDescent="0.25">
      <c r="A219" s="87"/>
    </row>
    <row r="220" spans="1:1" x14ac:dyDescent="0.25">
      <c r="A220" s="87"/>
    </row>
    <row r="221" spans="1:1" x14ac:dyDescent="0.25">
      <c r="A221" s="87"/>
    </row>
    <row r="222" spans="1:1" x14ac:dyDescent="0.25">
      <c r="A222" s="87"/>
    </row>
    <row r="223" spans="1:1" x14ac:dyDescent="0.25">
      <c r="A223" s="87"/>
    </row>
    <row r="224" spans="1:1" x14ac:dyDescent="0.25">
      <c r="A224" s="87"/>
    </row>
    <row r="225" spans="1:1" x14ac:dyDescent="0.25">
      <c r="A225" s="87"/>
    </row>
    <row r="226" spans="1:1" x14ac:dyDescent="0.25">
      <c r="A226" s="87"/>
    </row>
    <row r="227" spans="1:1" x14ac:dyDescent="0.25">
      <c r="A227" s="87"/>
    </row>
    <row r="228" spans="1:1" x14ac:dyDescent="0.25">
      <c r="A228" s="87"/>
    </row>
    <row r="229" spans="1:1" x14ac:dyDescent="0.25">
      <c r="A229" s="87"/>
    </row>
    <row r="230" spans="1:1" x14ac:dyDescent="0.25">
      <c r="A230" s="87"/>
    </row>
    <row r="231" spans="1:1" x14ac:dyDescent="0.25">
      <c r="A231" s="87"/>
    </row>
    <row r="232" spans="1:1" x14ac:dyDescent="0.25">
      <c r="A232" s="87"/>
    </row>
    <row r="233" spans="1:1" x14ac:dyDescent="0.25">
      <c r="A233" s="87"/>
    </row>
    <row r="234" spans="1:1" x14ac:dyDescent="0.25">
      <c r="A234" s="87"/>
    </row>
    <row r="235" spans="1:1" x14ac:dyDescent="0.25">
      <c r="A235" s="87"/>
    </row>
    <row r="236" spans="1:1" x14ac:dyDescent="0.25">
      <c r="A236" s="87"/>
    </row>
    <row r="237" spans="1:1" x14ac:dyDescent="0.25">
      <c r="A237" s="87"/>
    </row>
    <row r="238" spans="1:1" x14ac:dyDescent="0.25">
      <c r="A238" s="87"/>
    </row>
    <row r="239" spans="1:1" x14ac:dyDescent="0.25">
      <c r="A239" s="87"/>
    </row>
    <row r="240" spans="1:1" x14ac:dyDescent="0.25">
      <c r="A240" s="87"/>
    </row>
    <row r="241" spans="1:1" x14ac:dyDescent="0.25">
      <c r="A241" s="87"/>
    </row>
    <row r="242" spans="1:1" x14ac:dyDescent="0.25">
      <c r="A242" s="87"/>
    </row>
    <row r="243" spans="1:1" x14ac:dyDescent="0.25">
      <c r="A243" s="87"/>
    </row>
    <row r="244" spans="1:1" x14ac:dyDescent="0.25">
      <c r="A244" s="87"/>
    </row>
    <row r="245" spans="1:1" x14ac:dyDescent="0.25">
      <c r="A245" s="87"/>
    </row>
    <row r="246" spans="1:1" x14ac:dyDescent="0.25">
      <c r="A246" s="87"/>
    </row>
    <row r="247" spans="1:1" x14ac:dyDescent="0.25">
      <c r="A247" s="87"/>
    </row>
    <row r="248" spans="1:1" x14ac:dyDescent="0.25">
      <c r="A248" s="87"/>
    </row>
    <row r="249" spans="1:1" x14ac:dyDescent="0.25">
      <c r="A249" s="87"/>
    </row>
    <row r="250" spans="1:1" x14ac:dyDescent="0.25">
      <c r="A250" s="87"/>
    </row>
    <row r="251" spans="1:1" x14ac:dyDescent="0.25">
      <c r="A251" s="87"/>
    </row>
    <row r="252" spans="1:1" x14ac:dyDescent="0.25">
      <c r="A252" s="87"/>
    </row>
    <row r="253" spans="1:1" x14ac:dyDescent="0.25">
      <c r="A253" s="87"/>
    </row>
    <row r="254" spans="1:1" x14ac:dyDescent="0.25">
      <c r="A254" s="87"/>
    </row>
    <row r="255" spans="1:1" x14ac:dyDescent="0.25">
      <c r="A255" s="87"/>
    </row>
    <row r="256" spans="1:1" x14ac:dyDescent="0.25">
      <c r="A256" s="87"/>
    </row>
    <row r="257" spans="1:1" x14ac:dyDescent="0.25">
      <c r="A257" s="87"/>
    </row>
    <row r="258" spans="1:1" x14ac:dyDescent="0.25">
      <c r="A258" s="87"/>
    </row>
    <row r="259" spans="1:1" x14ac:dyDescent="0.25">
      <c r="A259" s="87"/>
    </row>
    <row r="260" spans="1:1" x14ac:dyDescent="0.25">
      <c r="A260" s="87"/>
    </row>
    <row r="261" spans="1:1" x14ac:dyDescent="0.25">
      <c r="A261" s="87"/>
    </row>
    <row r="262" spans="1:1" x14ac:dyDescent="0.25">
      <c r="A262" s="87"/>
    </row>
    <row r="263" spans="1:1" x14ac:dyDescent="0.25">
      <c r="A263" s="87"/>
    </row>
    <row r="264" spans="1:1" x14ac:dyDescent="0.25">
      <c r="A264" s="87"/>
    </row>
    <row r="265" spans="1:1" x14ac:dyDescent="0.25">
      <c r="A265" s="87"/>
    </row>
    <row r="266" spans="1:1" x14ac:dyDescent="0.25">
      <c r="A266" s="87"/>
    </row>
    <row r="267" spans="1:1" x14ac:dyDescent="0.25">
      <c r="A267" s="87"/>
    </row>
    <row r="268" spans="1:1" x14ac:dyDescent="0.25">
      <c r="A268" s="87"/>
    </row>
    <row r="269" spans="1:1" x14ac:dyDescent="0.25">
      <c r="A269" s="87"/>
    </row>
    <row r="270" spans="1:1" x14ac:dyDescent="0.25">
      <c r="A270" s="87"/>
    </row>
    <row r="271" spans="1:1" x14ac:dyDescent="0.25">
      <c r="A271" s="87"/>
    </row>
    <row r="272" spans="1:1" x14ac:dyDescent="0.25">
      <c r="A272" s="87"/>
    </row>
    <row r="273" spans="1:1" x14ac:dyDescent="0.25">
      <c r="A273" s="87"/>
    </row>
    <row r="274" spans="1:1" x14ac:dyDescent="0.25">
      <c r="A274" s="87"/>
    </row>
    <row r="275" spans="1:1" x14ac:dyDescent="0.25">
      <c r="A275" s="87"/>
    </row>
    <row r="276" spans="1:1" x14ac:dyDescent="0.25">
      <c r="A276" s="87"/>
    </row>
    <row r="277" spans="1:1" x14ac:dyDescent="0.25">
      <c r="A277" s="87"/>
    </row>
    <row r="278" spans="1:1" x14ac:dyDescent="0.25">
      <c r="A278" s="87"/>
    </row>
    <row r="279" spans="1:1" x14ac:dyDescent="0.25">
      <c r="A279" s="87"/>
    </row>
    <row r="280" spans="1:1" x14ac:dyDescent="0.25">
      <c r="A280" s="87"/>
    </row>
    <row r="281" spans="1:1" x14ac:dyDescent="0.25">
      <c r="A281" s="87"/>
    </row>
    <row r="282" spans="1:1" x14ac:dyDescent="0.25">
      <c r="A282" s="87"/>
    </row>
    <row r="283" spans="1:1" x14ac:dyDescent="0.25">
      <c r="A283" s="87"/>
    </row>
    <row r="284" spans="1:1" x14ac:dyDescent="0.25">
      <c r="A284" s="87"/>
    </row>
    <row r="285" spans="1:1" x14ac:dyDescent="0.25">
      <c r="A285" s="87"/>
    </row>
    <row r="286" spans="1:1" x14ac:dyDescent="0.25">
      <c r="A286" s="87"/>
    </row>
    <row r="287" spans="1:1" x14ac:dyDescent="0.25">
      <c r="A287" s="87"/>
    </row>
    <row r="288" spans="1:1" x14ac:dyDescent="0.25">
      <c r="A288" s="87"/>
    </row>
    <row r="289" spans="1:1" x14ac:dyDescent="0.25">
      <c r="A289" s="87"/>
    </row>
    <row r="290" spans="1:1" x14ac:dyDescent="0.25">
      <c r="A290" s="87"/>
    </row>
    <row r="291" spans="1:1" x14ac:dyDescent="0.25">
      <c r="A291" s="87"/>
    </row>
    <row r="292" spans="1:1" x14ac:dyDescent="0.25">
      <c r="A292" s="87"/>
    </row>
    <row r="293" spans="1:1" x14ac:dyDescent="0.25">
      <c r="A293" s="87"/>
    </row>
    <row r="294" spans="1:1" x14ac:dyDescent="0.25">
      <c r="A294" s="87"/>
    </row>
    <row r="295" spans="1:1" x14ac:dyDescent="0.25">
      <c r="A295" s="87"/>
    </row>
    <row r="296" spans="1:1" x14ac:dyDescent="0.25">
      <c r="A296" s="87"/>
    </row>
    <row r="297" spans="1:1" x14ac:dyDescent="0.25">
      <c r="A297" s="87"/>
    </row>
    <row r="298" spans="1:1" x14ac:dyDescent="0.25">
      <c r="A298" s="87"/>
    </row>
    <row r="299" spans="1:1" x14ac:dyDescent="0.25">
      <c r="A299" s="87"/>
    </row>
    <row r="300" spans="1:1" x14ac:dyDescent="0.25">
      <c r="A300" s="87"/>
    </row>
    <row r="301" spans="1:1" x14ac:dyDescent="0.25">
      <c r="A301" s="87"/>
    </row>
    <row r="302" spans="1:1" x14ac:dyDescent="0.25">
      <c r="A302" s="87"/>
    </row>
    <row r="303" spans="1:1" x14ac:dyDescent="0.25">
      <c r="A303" s="87"/>
    </row>
    <row r="304" spans="1:1" x14ac:dyDescent="0.25">
      <c r="A304" s="87"/>
    </row>
    <row r="305" spans="1:1" x14ac:dyDescent="0.25">
      <c r="A305" s="87"/>
    </row>
    <row r="306" spans="1:1" x14ac:dyDescent="0.25">
      <c r="A306" s="87"/>
    </row>
    <row r="307" spans="1:1" x14ac:dyDescent="0.25">
      <c r="A307" s="87"/>
    </row>
    <row r="308" spans="1:1" x14ac:dyDescent="0.25">
      <c r="A308" s="87"/>
    </row>
    <row r="309" spans="1:1" x14ac:dyDescent="0.25">
      <c r="A309" s="87"/>
    </row>
    <row r="310" spans="1:1" x14ac:dyDescent="0.25">
      <c r="A310" s="87"/>
    </row>
    <row r="311" spans="1:1" x14ac:dyDescent="0.25">
      <c r="A311" s="87"/>
    </row>
    <row r="312" spans="1:1" x14ac:dyDescent="0.25">
      <c r="A312" s="87"/>
    </row>
    <row r="313" spans="1:1" x14ac:dyDescent="0.25">
      <c r="A313" s="87"/>
    </row>
    <row r="314" spans="1:1" x14ac:dyDescent="0.25">
      <c r="A314" s="87"/>
    </row>
    <row r="315" spans="1:1" x14ac:dyDescent="0.25">
      <c r="A315" s="87"/>
    </row>
    <row r="316" spans="1:1" x14ac:dyDescent="0.25">
      <c r="A316" s="87"/>
    </row>
    <row r="317" spans="1:1" x14ac:dyDescent="0.25">
      <c r="A317" s="87"/>
    </row>
    <row r="318" spans="1:1" x14ac:dyDescent="0.25">
      <c r="A318" s="87"/>
    </row>
    <row r="319" spans="1:1" x14ac:dyDescent="0.25">
      <c r="A319" s="87"/>
    </row>
    <row r="320" spans="1:1" x14ac:dyDescent="0.25">
      <c r="A320" s="87"/>
    </row>
    <row r="321" spans="1:1" x14ac:dyDescent="0.25">
      <c r="A321" s="87"/>
    </row>
    <row r="322" spans="1:1" x14ac:dyDescent="0.25">
      <c r="A322" s="87"/>
    </row>
    <row r="323" spans="1:1" x14ac:dyDescent="0.25">
      <c r="A323" s="87"/>
    </row>
    <row r="324" spans="1:1" x14ac:dyDescent="0.25">
      <c r="A324" s="87"/>
    </row>
    <row r="325" spans="1:1" x14ac:dyDescent="0.25">
      <c r="A325" s="87"/>
    </row>
    <row r="326" spans="1:1" x14ac:dyDescent="0.25">
      <c r="A326" s="87"/>
    </row>
    <row r="327" spans="1:1" x14ac:dyDescent="0.25">
      <c r="A327" s="87"/>
    </row>
    <row r="328" spans="1:1" x14ac:dyDescent="0.25">
      <c r="A328" s="87"/>
    </row>
    <row r="329" spans="1:1" x14ac:dyDescent="0.25">
      <c r="A329" s="87"/>
    </row>
    <row r="330" spans="1:1" x14ac:dyDescent="0.25">
      <c r="A330" s="87"/>
    </row>
    <row r="331" spans="1:1" x14ac:dyDescent="0.25">
      <c r="A331" s="87"/>
    </row>
    <row r="332" spans="1:1" x14ac:dyDescent="0.25">
      <c r="A332" s="87"/>
    </row>
    <row r="333" spans="1:1" x14ac:dyDescent="0.25">
      <c r="A333" s="87"/>
    </row>
    <row r="334" spans="1:1" x14ac:dyDescent="0.25">
      <c r="A334" s="87"/>
    </row>
    <row r="335" spans="1:1" x14ac:dyDescent="0.25">
      <c r="A335" s="87"/>
    </row>
    <row r="336" spans="1:1" x14ac:dyDescent="0.25">
      <c r="A336" s="87"/>
    </row>
    <row r="337" spans="1:1" x14ac:dyDescent="0.25">
      <c r="A337" s="87"/>
    </row>
    <row r="338" spans="1:1" x14ac:dyDescent="0.25">
      <c r="A338" s="87"/>
    </row>
    <row r="339" spans="1:1" x14ac:dyDescent="0.25">
      <c r="A339" s="87"/>
    </row>
    <row r="340" spans="1:1" x14ac:dyDescent="0.25">
      <c r="A340" s="87"/>
    </row>
    <row r="341" spans="1:1" x14ac:dyDescent="0.25">
      <c r="A341" s="87"/>
    </row>
    <row r="342" spans="1:1" x14ac:dyDescent="0.25">
      <c r="A342" s="87"/>
    </row>
    <row r="343" spans="1:1" x14ac:dyDescent="0.25">
      <c r="A343" s="87"/>
    </row>
    <row r="344" spans="1:1" x14ac:dyDescent="0.25">
      <c r="A344" s="87"/>
    </row>
    <row r="345" spans="1:1" x14ac:dyDescent="0.25">
      <c r="A345" s="87"/>
    </row>
    <row r="346" spans="1:1" x14ac:dyDescent="0.25">
      <c r="A346" s="87"/>
    </row>
    <row r="347" spans="1:1" x14ac:dyDescent="0.25">
      <c r="A347" s="87"/>
    </row>
    <row r="348" spans="1:1" x14ac:dyDescent="0.25">
      <c r="A348" s="87"/>
    </row>
    <row r="349" spans="1:1" x14ac:dyDescent="0.25">
      <c r="A349" s="87"/>
    </row>
    <row r="350" spans="1:1" x14ac:dyDescent="0.25">
      <c r="A350" s="87"/>
    </row>
    <row r="351" spans="1:1" x14ac:dyDescent="0.25">
      <c r="A351" s="87"/>
    </row>
    <row r="352" spans="1:1" x14ac:dyDescent="0.25">
      <c r="A352" s="87"/>
    </row>
    <row r="353" spans="1:1" x14ac:dyDescent="0.25">
      <c r="A353" s="87"/>
    </row>
    <row r="354" spans="1:1" x14ac:dyDescent="0.25">
      <c r="A354" s="87"/>
    </row>
    <row r="355" spans="1:1" x14ac:dyDescent="0.25">
      <c r="A355" s="87"/>
    </row>
    <row r="356" spans="1:1" x14ac:dyDescent="0.25">
      <c r="A356" s="87"/>
    </row>
    <row r="357" spans="1:1" x14ac:dyDescent="0.25">
      <c r="A357" s="87"/>
    </row>
    <row r="358" spans="1:1" x14ac:dyDescent="0.25">
      <c r="A358" s="87"/>
    </row>
    <row r="359" spans="1:1" x14ac:dyDescent="0.25">
      <c r="A359" s="87"/>
    </row>
    <row r="360" spans="1:1" x14ac:dyDescent="0.25">
      <c r="A360" s="87"/>
    </row>
    <row r="361" spans="1:1" x14ac:dyDescent="0.25">
      <c r="A361" s="87"/>
    </row>
    <row r="362" spans="1:1" x14ac:dyDescent="0.25">
      <c r="A362" s="87"/>
    </row>
    <row r="363" spans="1:1" x14ac:dyDescent="0.25">
      <c r="A363" s="87"/>
    </row>
    <row r="364" spans="1:1" x14ac:dyDescent="0.25">
      <c r="A364" s="87"/>
    </row>
    <row r="365" spans="1:1" x14ac:dyDescent="0.25">
      <c r="A365" s="87"/>
    </row>
    <row r="366" spans="1:1" x14ac:dyDescent="0.25">
      <c r="A366" s="87"/>
    </row>
    <row r="367" spans="1:1" x14ac:dyDescent="0.25">
      <c r="A367" s="87"/>
    </row>
    <row r="368" spans="1:1" x14ac:dyDescent="0.25">
      <c r="A368" s="87"/>
    </row>
    <row r="369" spans="1:1" x14ac:dyDescent="0.25">
      <c r="A369" s="87"/>
    </row>
    <row r="370" spans="1:1" x14ac:dyDescent="0.25">
      <c r="A370" s="87"/>
    </row>
    <row r="371" spans="1:1" x14ac:dyDescent="0.25">
      <c r="A371" s="87"/>
    </row>
    <row r="372" spans="1:1" x14ac:dyDescent="0.25">
      <c r="A372" s="87"/>
    </row>
    <row r="373" spans="1:1" x14ac:dyDescent="0.25">
      <c r="A373" s="87"/>
    </row>
    <row r="374" spans="1:1" x14ac:dyDescent="0.25">
      <c r="A374" s="87"/>
    </row>
    <row r="375" spans="1:1" x14ac:dyDescent="0.25">
      <c r="A375" s="87"/>
    </row>
    <row r="376" spans="1:1" x14ac:dyDescent="0.25">
      <c r="A376" s="87"/>
    </row>
    <row r="377" spans="1:1" x14ac:dyDescent="0.25">
      <c r="A377" s="87"/>
    </row>
    <row r="378" spans="1:1" x14ac:dyDescent="0.25">
      <c r="A378" s="87"/>
    </row>
    <row r="379" spans="1:1" x14ac:dyDescent="0.25">
      <c r="A379" s="87"/>
    </row>
    <row r="380" spans="1:1" x14ac:dyDescent="0.25">
      <c r="A380" s="87"/>
    </row>
    <row r="381" spans="1:1" x14ac:dyDescent="0.25">
      <c r="A381" s="87"/>
    </row>
    <row r="382" spans="1:1" x14ac:dyDescent="0.25">
      <c r="A382" s="87"/>
    </row>
    <row r="383" spans="1:1" x14ac:dyDescent="0.25">
      <c r="A383" s="87"/>
    </row>
    <row r="384" spans="1:1" x14ac:dyDescent="0.25">
      <c r="A384" s="87"/>
    </row>
    <row r="385" spans="1:1" x14ac:dyDescent="0.25">
      <c r="A385" s="87"/>
    </row>
    <row r="386" spans="1:1" x14ac:dyDescent="0.25">
      <c r="A386" s="87"/>
    </row>
    <row r="387" spans="1:1" x14ac:dyDescent="0.25">
      <c r="A387" s="87"/>
    </row>
    <row r="388" spans="1:1" x14ac:dyDescent="0.25">
      <c r="A388" s="87"/>
    </row>
    <row r="389" spans="1:1" x14ac:dyDescent="0.25">
      <c r="A389" s="87"/>
    </row>
    <row r="390" spans="1:1" x14ac:dyDescent="0.25">
      <c r="A390" s="87"/>
    </row>
    <row r="391" spans="1:1" x14ac:dyDescent="0.25">
      <c r="A391" s="87"/>
    </row>
    <row r="392" spans="1:1" x14ac:dyDescent="0.25">
      <c r="A392" s="87"/>
    </row>
    <row r="393" spans="1:1" x14ac:dyDescent="0.25">
      <c r="A393" s="87"/>
    </row>
    <row r="394" spans="1:1" x14ac:dyDescent="0.25">
      <c r="A394" s="87"/>
    </row>
    <row r="395" spans="1:1" x14ac:dyDescent="0.25">
      <c r="A395" s="87"/>
    </row>
    <row r="396" spans="1:1" x14ac:dyDescent="0.25">
      <c r="A396" s="87"/>
    </row>
    <row r="397" spans="1:1" x14ac:dyDescent="0.25">
      <c r="A397" s="87"/>
    </row>
    <row r="398" spans="1:1" x14ac:dyDescent="0.25">
      <c r="A398" s="87"/>
    </row>
    <row r="399" spans="1:1" x14ac:dyDescent="0.25">
      <c r="A399" s="87"/>
    </row>
    <row r="400" spans="1:1" x14ac:dyDescent="0.25">
      <c r="A400" s="87"/>
    </row>
    <row r="401" spans="1:1" x14ac:dyDescent="0.25">
      <c r="A401" s="87"/>
    </row>
    <row r="402" spans="1:1" x14ac:dyDescent="0.25">
      <c r="A402" s="87"/>
    </row>
    <row r="403" spans="1:1" x14ac:dyDescent="0.25">
      <c r="A403" s="87"/>
    </row>
    <row r="404" spans="1:1" x14ac:dyDescent="0.25">
      <c r="A404" s="87"/>
    </row>
    <row r="405" spans="1:1" x14ac:dyDescent="0.25">
      <c r="A405" s="87"/>
    </row>
    <row r="406" spans="1:1" x14ac:dyDescent="0.25">
      <c r="A406" s="87"/>
    </row>
    <row r="407" spans="1:1" x14ac:dyDescent="0.25">
      <c r="A407" s="87"/>
    </row>
    <row r="408" spans="1:1" x14ac:dyDescent="0.25">
      <c r="A408" s="87"/>
    </row>
    <row r="409" spans="1:1" x14ac:dyDescent="0.25">
      <c r="A409" s="87"/>
    </row>
    <row r="410" spans="1:1" x14ac:dyDescent="0.25">
      <c r="A410" s="87"/>
    </row>
    <row r="411" spans="1:1" x14ac:dyDescent="0.25">
      <c r="A411" s="87"/>
    </row>
    <row r="412" spans="1:1" x14ac:dyDescent="0.25">
      <c r="A412" s="87"/>
    </row>
    <row r="413" spans="1:1" x14ac:dyDescent="0.25">
      <c r="A413" s="87"/>
    </row>
    <row r="414" spans="1:1" x14ac:dyDescent="0.25">
      <c r="A414" s="87"/>
    </row>
    <row r="415" spans="1:1" x14ac:dyDescent="0.25">
      <c r="A415" s="87"/>
    </row>
    <row r="416" spans="1:1" x14ac:dyDescent="0.25">
      <c r="A416" s="87"/>
    </row>
    <row r="417" spans="1:1" x14ac:dyDescent="0.25">
      <c r="A417" s="87"/>
    </row>
    <row r="418" spans="1:1" x14ac:dyDescent="0.25">
      <c r="A418" s="87"/>
    </row>
    <row r="419" spans="1:1" x14ac:dyDescent="0.25">
      <c r="A419" s="87"/>
    </row>
    <row r="420" spans="1:1" x14ac:dyDescent="0.25">
      <c r="A420" s="87"/>
    </row>
    <row r="421" spans="1:1" x14ac:dyDescent="0.25">
      <c r="A421" s="87"/>
    </row>
    <row r="422" spans="1:1" x14ac:dyDescent="0.25">
      <c r="A422" s="87"/>
    </row>
    <row r="423" spans="1:1" x14ac:dyDescent="0.25">
      <c r="A423" s="87"/>
    </row>
    <row r="424" spans="1:1" x14ac:dyDescent="0.25">
      <c r="A424" s="87"/>
    </row>
    <row r="425" spans="1:1" x14ac:dyDescent="0.25">
      <c r="A425" s="87"/>
    </row>
    <row r="426" spans="1:1" x14ac:dyDescent="0.25">
      <c r="A426" s="87"/>
    </row>
    <row r="427" spans="1:1" x14ac:dyDescent="0.25">
      <c r="A427" s="87"/>
    </row>
    <row r="428" spans="1:1" x14ac:dyDescent="0.25">
      <c r="A428" s="87"/>
    </row>
    <row r="429" spans="1:1" x14ac:dyDescent="0.25">
      <c r="A429" s="87"/>
    </row>
    <row r="430" spans="1:1" x14ac:dyDescent="0.25">
      <c r="A430" s="87"/>
    </row>
    <row r="431" spans="1:1" x14ac:dyDescent="0.25">
      <c r="A431" s="87"/>
    </row>
    <row r="432" spans="1:1" x14ac:dyDescent="0.25">
      <c r="A432" s="87"/>
    </row>
    <row r="433" spans="1:1" x14ac:dyDescent="0.25">
      <c r="A433" s="87"/>
    </row>
    <row r="434" spans="1:1" x14ac:dyDescent="0.25">
      <c r="A434" s="87"/>
    </row>
    <row r="435" spans="1:1" x14ac:dyDescent="0.25">
      <c r="A435" s="87"/>
    </row>
    <row r="436" spans="1:1" x14ac:dyDescent="0.25">
      <c r="A436" s="87"/>
    </row>
    <row r="437" spans="1:1" x14ac:dyDescent="0.25">
      <c r="A437" s="87"/>
    </row>
    <row r="438" spans="1:1" x14ac:dyDescent="0.25">
      <c r="A438" s="87"/>
    </row>
    <row r="439" spans="1:1" x14ac:dyDescent="0.25">
      <c r="A439" s="87"/>
    </row>
    <row r="440" spans="1:1" x14ac:dyDescent="0.25">
      <c r="A440" s="87"/>
    </row>
    <row r="441" spans="1:1" x14ac:dyDescent="0.25">
      <c r="A441" s="87"/>
    </row>
    <row r="442" spans="1:1" x14ac:dyDescent="0.25">
      <c r="A442" s="87"/>
    </row>
    <row r="443" spans="1:1" x14ac:dyDescent="0.25">
      <c r="A443" s="87"/>
    </row>
    <row r="444" spans="1:1" x14ac:dyDescent="0.25">
      <c r="A444" s="87"/>
    </row>
    <row r="445" spans="1:1" x14ac:dyDescent="0.25">
      <c r="A445" s="87"/>
    </row>
    <row r="446" spans="1:1" x14ac:dyDescent="0.25">
      <c r="A446" s="87"/>
    </row>
    <row r="447" spans="1:1" x14ac:dyDescent="0.25">
      <c r="A447" s="87"/>
    </row>
    <row r="448" spans="1:1" x14ac:dyDescent="0.25">
      <c r="A448" s="87"/>
    </row>
    <row r="449" spans="1:1" x14ac:dyDescent="0.25">
      <c r="A449" s="87"/>
    </row>
    <row r="450" spans="1:1" x14ac:dyDescent="0.25">
      <c r="A450" s="87"/>
    </row>
    <row r="451" spans="1:1" x14ac:dyDescent="0.25">
      <c r="A451" s="87"/>
    </row>
    <row r="452" spans="1:1" x14ac:dyDescent="0.25">
      <c r="A452" s="87"/>
    </row>
    <row r="453" spans="1:1" x14ac:dyDescent="0.25">
      <c r="A453" s="87"/>
    </row>
    <row r="454" spans="1:1" x14ac:dyDescent="0.25">
      <c r="A454" s="87"/>
    </row>
    <row r="455" spans="1:1" x14ac:dyDescent="0.25">
      <c r="A455" s="87"/>
    </row>
    <row r="456" spans="1:1" x14ac:dyDescent="0.25">
      <c r="A456" s="87"/>
    </row>
    <row r="457" spans="1:1" x14ac:dyDescent="0.25">
      <c r="A457" s="87"/>
    </row>
    <row r="458" spans="1:1" x14ac:dyDescent="0.25">
      <c r="A458" s="87"/>
    </row>
    <row r="459" spans="1:1" x14ac:dyDescent="0.25">
      <c r="A459" s="87"/>
    </row>
    <row r="460" spans="1:1" x14ac:dyDescent="0.25">
      <c r="A460" s="87"/>
    </row>
    <row r="461" spans="1:1" x14ac:dyDescent="0.25">
      <c r="A461" s="87"/>
    </row>
    <row r="462" spans="1:1" x14ac:dyDescent="0.25">
      <c r="A462" s="87"/>
    </row>
    <row r="463" spans="1:1" x14ac:dyDescent="0.25">
      <c r="A463" s="87"/>
    </row>
    <row r="464" spans="1:1" x14ac:dyDescent="0.25">
      <c r="A464" s="87"/>
    </row>
    <row r="465" spans="1:1" x14ac:dyDescent="0.25">
      <c r="A465" s="87"/>
    </row>
    <row r="466" spans="1:1" x14ac:dyDescent="0.25">
      <c r="A466" s="87"/>
    </row>
    <row r="467" spans="1:1" x14ac:dyDescent="0.25">
      <c r="A467" s="87"/>
    </row>
    <row r="468" spans="1:1" x14ac:dyDescent="0.25">
      <c r="A468" s="87"/>
    </row>
    <row r="469" spans="1:1" x14ac:dyDescent="0.25">
      <c r="A469" s="87"/>
    </row>
    <row r="470" spans="1:1" x14ac:dyDescent="0.25">
      <c r="A470" s="87"/>
    </row>
    <row r="471" spans="1:1" x14ac:dyDescent="0.25">
      <c r="A471" s="87"/>
    </row>
    <row r="472" spans="1:1" x14ac:dyDescent="0.25">
      <c r="A472" s="87"/>
    </row>
    <row r="473" spans="1:1" x14ac:dyDescent="0.25">
      <c r="A473" s="87"/>
    </row>
    <row r="474" spans="1:1" x14ac:dyDescent="0.25">
      <c r="A474" s="87"/>
    </row>
    <row r="475" spans="1:1" x14ac:dyDescent="0.25">
      <c r="A475" s="87"/>
    </row>
    <row r="476" spans="1:1" x14ac:dyDescent="0.25">
      <c r="A476" s="87"/>
    </row>
    <row r="477" spans="1:1" x14ac:dyDescent="0.25">
      <c r="A477" s="87"/>
    </row>
    <row r="478" spans="1:1" x14ac:dyDescent="0.25">
      <c r="A478" s="87"/>
    </row>
    <row r="479" spans="1:1" x14ac:dyDescent="0.25">
      <c r="A479" s="87"/>
    </row>
    <row r="480" spans="1:1" x14ac:dyDescent="0.25">
      <c r="A480" s="87"/>
    </row>
    <row r="481" spans="1:1" x14ac:dyDescent="0.25">
      <c r="A481" s="87"/>
    </row>
    <row r="482" spans="1:1" x14ac:dyDescent="0.25">
      <c r="A482" s="87"/>
    </row>
    <row r="483" spans="1:1" x14ac:dyDescent="0.25">
      <c r="A483" s="87"/>
    </row>
    <row r="484" spans="1:1" x14ac:dyDescent="0.25">
      <c r="A484" s="87"/>
    </row>
    <row r="485" spans="1:1" x14ac:dyDescent="0.25">
      <c r="A485" s="87"/>
    </row>
    <row r="486" spans="1:1" x14ac:dyDescent="0.25">
      <c r="A486" s="87"/>
    </row>
    <row r="487" spans="1:1" x14ac:dyDescent="0.25">
      <c r="A487" s="87"/>
    </row>
    <row r="488" spans="1:1" x14ac:dyDescent="0.25">
      <c r="A488" s="87"/>
    </row>
    <row r="489" spans="1:1" x14ac:dyDescent="0.25">
      <c r="A489" s="87"/>
    </row>
    <row r="490" spans="1:1" x14ac:dyDescent="0.25">
      <c r="A490" s="87"/>
    </row>
    <row r="491" spans="1:1" x14ac:dyDescent="0.25">
      <c r="A491" s="87"/>
    </row>
    <row r="492" spans="1:1" x14ac:dyDescent="0.25">
      <c r="A492" s="87"/>
    </row>
    <row r="493" spans="1:1" x14ac:dyDescent="0.25">
      <c r="A493" s="87"/>
    </row>
    <row r="494" spans="1:1" x14ac:dyDescent="0.25">
      <c r="A494" s="87"/>
    </row>
    <row r="495" spans="1:1" x14ac:dyDescent="0.25">
      <c r="A495" s="87"/>
    </row>
    <row r="496" spans="1:1" x14ac:dyDescent="0.25">
      <c r="A496" s="87"/>
    </row>
    <row r="497" spans="1:1" x14ac:dyDescent="0.25">
      <c r="A497" s="87"/>
    </row>
    <row r="498" spans="1:1" x14ac:dyDescent="0.25">
      <c r="A498" s="87"/>
    </row>
    <row r="499" spans="1:1" x14ac:dyDescent="0.25">
      <c r="A499" s="87"/>
    </row>
    <row r="500" spans="1:1" x14ac:dyDescent="0.25">
      <c r="A500" s="87"/>
    </row>
    <row r="501" spans="1:1" x14ac:dyDescent="0.25">
      <c r="A501" s="87"/>
    </row>
    <row r="502" spans="1:1" x14ac:dyDescent="0.25">
      <c r="A502" s="87"/>
    </row>
    <row r="503" spans="1:1" x14ac:dyDescent="0.25">
      <c r="A503" s="87"/>
    </row>
    <row r="504" spans="1:1" x14ac:dyDescent="0.25">
      <c r="A504" s="87"/>
    </row>
    <row r="505" spans="1:1" x14ac:dyDescent="0.25">
      <c r="A505" s="87"/>
    </row>
    <row r="506" spans="1:1" x14ac:dyDescent="0.25">
      <c r="A506" s="87"/>
    </row>
    <row r="507" spans="1:1" x14ac:dyDescent="0.25">
      <c r="A507" s="87"/>
    </row>
    <row r="508" spans="1:1" x14ac:dyDescent="0.25">
      <c r="A508" s="87"/>
    </row>
    <row r="509" spans="1:1" x14ac:dyDescent="0.25">
      <c r="A509" s="87"/>
    </row>
    <row r="510" spans="1:1" x14ac:dyDescent="0.25">
      <c r="A510" s="87"/>
    </row>
    <row r="511" spans="1:1" x14ac:dyDescent="0.25">
      <c r="A511" s="87"/>
    </row>
    <row r="512" spans="1:1" x14ac:dyDescent="0.25">
      <c r="A512" s="87"/>
    </row>
    <row r="513" spans="1:1" x14ac:dyDescent="0.25">
      <c r="A513" s="87"/>
    </row>
    <row r="514" spans="1:1" x14ac:dyDescent="0.25">
      <c r="A514" s="87"/>
    </row>
    <row r="515" spans="1:1" x14ac:dyDescent="0.25">
      <c r="A515" s="87"/>
    </row>
    <row r="516" spans="1:1" x14ac:dyDescent="0.25">
      <c r="A516" s="87"/>
    </row>
    <row r="517" spans="1:1" x14ac:dyDescent="0.25">
      <c r="A517" s="87"/>
    </row>
    <row r="518" spans="1:1" x14ac:dyDescent="0.25">
      <c r="A518" s="87"/>
    </row>
    <row r="519" spans="1:1" x14ac:dyDescent="0.25">
      <c r="A519" s="87"/>
    </row>
    <row r="520" spans="1:1" x14ac:dyDescent="0.25">
      <c r="A520" s="87"/>
    </row>
    <row r="521" spans="1:1" x14ac:dyDescent="0.25">
      <c r="A521" s="87"/>
    </row>
    <row r="522" spans="1:1" x14ac:dyDescent="0.25">
      <c r="A522" s="87"/>
    </row>
    <row r="523" spans="1:1" x14ac:dyDescent="0.25">
      <c r="A523" s="87"/>
    </row>
    <row r="524" spans="1:1" x14ac:dyDescent="0.25">
      <c r="A524" s="87"/>
    </row>
    <row r="525" spans="1:1" x14ac:dyDescent="0.25">
      <c r="A525" s="87"/>
    </row>
    <row r="526" spans="1:1" x14ac:dyDescent="0.25">
      <c r="A526" s="87"/>
    </row>
    <row r="527" spans="1:1" x14ac:dyDescent="0.25">
      <c r="A527" s="87"/>
    </row>
    <row r="528" spans="1:1" x14ac:dyDescent="0.25">
      <c r="A528" s="87"/>
    </row>
    <row r="529" spans="1:1" x14ac:dyDescent="0.25">
      <c r="A529" s="87"/>
    </row>
    <row r="530" spans="1:1" x14ac:dyDescent="0.25">
      <c r="A530" s="87"/>
    </row>
    <row r="531" spans="1:1" x14ac:dyDescent="0.25">
      <c r="A531" s="87"/>
    </row>
    <row r="532" spans="1:1" x14ac:dyDescent="0.25">
      <c r="A532" s="87"/>
    </row>
    <row r="533" spans="1:1" x14ac:dyDescent="0.25">
      <c r="A533" s="87"/>
    </row>
    <row r="534" spans="1:1" x14ac:dyDescent="0.25">
      <c r="A534" s="87"/>
    </row>
    <row r="535" spans="1:1" x14ac:dyDescent="0.25">
      <c r="A535" s="87"/>
    </row>
    <row r="536" spans="1:1" x14ac:dyDescent="0.25">
      <c r="A536" s="87"/>
    </row>
    <row r="537" spans="1:1" x14ac:dyDescent="0.25">
      <c r="A537" s="87"/>
    </row>
    <row r="538" spans="1:1" x14ac:dyDescent="0.25">
      <c r="A538" s="87"/>
    </row>
    <row r="539" spans="1:1" x14ac:dyDescent="0.25">
      <c r="A539" s="87"/>
    </row>
    <row r="540" spans="1:1" x14ac:dyDescent="0.25">
      <c r="A540" s="87"/>
    </row>
    <row r="541" spans="1:1" x14ac:dyDescent="0.25">
      <c r="A541" s="87"/>
    </row>
    <row r="542" spans="1:1" x14ac:dyDescent="0.25">
      <c r="A542" s="87"/>
    </row>
    <row r="543" spans="1:1" x14ac:dyDescent="0.25">
      <c r="A543" s="87"/>
    </row>
    <row r="544" spans="1:1" x14ac:dyDescent="0.25">
      <c r="A544" s="87"/>
    </row>
    <row r="545" spans="1:1" x14ac:dyDescent="0.25">
      <c r="A545" s="87"/>
    </row>
    <row r="546" spans="1:1" x14ac:dyDescent="0.25">
      <c r="A546" s="87"/>
    </row>
    <row r="547" spans="1:1" x14ac:dyDescent="0.25">
      <c r="A547" s="87"/>
    </row>
    <row r="548" spans="1:1" x14ac:dyDescent="0.25">
      <c r="A548" s="87"/>
    </row>
    <row r="549" spans="1:1" x14ac:dyDescent="0.25">
      <c r="A549" s="87"/>
    </row>
    <row r="550" spans="1:1" x14ac:dyDescent="0.25">
      <c r="A550" s="87"/>
    </row>
    <row r="551" spans="1:1" x14ac:dyDescent="0.25">
      <c r="A551" s="87"/>
    </row>
    <row r="552" spans="1:1" x14ac:dyDescent="0.25">
      <c r="A552" s="87"/>
    </row>
    <row r="553" spans="1:1" x14ac:dyDescent="0.25">
      <c r="A553" s="87"/>
    </row>
    <row r="554" spans="1:1" x14ac:dyDescent="0.25">
      <c r="A554" s="87"/>
    </row>
    <row r="555" spans="1:1" x14ac:dyDescent="0.25">
      <c r="A555" s="87"/>
    </row>
    <row r="556" spans="1:1" x14ac:dyDescent="0.25">
      <c r="A556" s="87"/>
    </row>
    <row r="557" spans="1:1" x14ac:dyDescent="0.25">
      <c r="A557" s="87"/>
    </row>
    <row r="558" spans="1:1" x14ac:dyDescent="0.25">
      <c r="A558" s="87"/>
    </row>
    <row r="559" spans="1:1" x14ac:dyDescent="0.25">
      <c r="A559" s="87"/>
    </row>
    <row r="560" spans="1:1" x14ac:dyDescent="0.25">
      <c r="A560" s="87"/>
    </row>
    <row r="561" spans="1:1" x14ac:dyDescent="0.25">
      <c r="A561" s="87"/>
    </row>
    <row r="562" spans="1:1" x14ac:dyDescent="0.25">
      <c r="A562" s="87"/>
    </row>
    <row r="563" spans="1:1" x14ac:dyDescent="0.25">
      <c r="A563" s="87"/>
    </row>
    <row r="564" spans="1:1" x14ac:dyDescent="0.25">
      <c r="A564" s="87"/>
    </row>
    <row r="565" spans="1:1" x14ac:dyDescent="0.25">
      <c r="A565" s="87"/>
    </row>
    <row r="566" spans="1:1" x14ac:dyDescent="0.25">
      <c r="A566" s="87"/>
    </row>
    <row r="567" spans="1:1" x14ac:dyDescent="0.25">
      <c r="A567" s="87"/>
    </row>
    <row r="568" spans="1:1" x14ac:dyDescent="0.25">
      <c r="A568" s="87"/>
    </row>
    <row r="569" spans="1:1" x14ac:dyDescent="0.25">
      <c r="A569" s="87"/>
    </row>
    <row r="570" spans="1:1" x14ac:dyDescent="0.25">
      <c r="A570" s="87"/>
    </row>
    <row r="571" spans="1:1" x14ac:dyDescent="0.25">
      <c r="A571" s="87"/>
    </row>
    <row r="572" spans="1:1" x14ac:dyDescent="0.25">
      <c r="A572" s="87"/>
    </row>
    <row r="573" spans="1:1" x14ac:dyDescent="0.25">
      <c r="A573" s="87"/>
    </row>
    <row r="574" spans="1:1" x14ac:dyDescent="0.25">
      <c r="A574" s="87"/>
    </row>
    <row r="575" spans="1:1" x14ac:dyDescent="0.25">
      <c r="A575" s="87"/>
    </row>
    <row r="576" spans="1:1" x14ac:dyDescent="0.25">
      <c r="A576" s="87"/>
    </row>
    <row r="577" spans="1:1" x14ac:dyDescent="0.25">
      <c r="A577" s="87"/>
    </row>
    <row r="578" spans="1:1" x14ac:dyDescent="0.25">
      <c r="A578" s="87"/>
    </row>
    <row r="579" spans="1:1" x14ac:dyDescent="0.25">
      <c r="A579" s="87"/>
    </row>
    <row r="580" spans="1:1" x14ac:dyDescent="0.25">
      <c r="A580" s="87"/>
    </row>
    <row r="581" spans="1:1" x14ac:dyDescent="0.25">
      <c r="A581" s="87"/>
    </row>
    <row r="582" spans="1:1" x14ac:dyDescent="0.25">
      <c r="A582" s="87"/>
    </row>
    <row r="583" spans="1:1" x14ac:dyDescent="0.25">
      <c r="A583" s="87"/>
    </row>
    <row r="584" spans="1:1" x14ac:dyDescent="0.25">
      <c r="A584" s="87"/>
    </row>
    <row r="585" spans="1:1" x14ac:dyDescent="0.25">
      <c r="A585" s="87"/>
    </row>
    <row r="586" spans="1:1" x14ac:dyDescent="0.25">
      <c r="A586" s="87"/>
    </row>
    <row r="587" spans="1:1" x14ac:dyDescent="0.25">
      <c r="A587" s="87"/>
    </row>
    <row r="588" spans="1:1" x14ac:dyDescent="0.25">
      <c r="A588" s="87"/>
    </row>
    <row r="589" spans="1:1" x14ac:dyDescent="0.25">
      <c r="A589" s="87"/>
    </row>
    <row r="590" spans="1:1" x14ac:dyDescent="0.25">
      <c r="A590" s="87"/>
    </row>
    <row r="591" spans="1:1" x14ac:dyDescent="0.25">
      <c r="A591" s="87"/>
    </row>
    <row r="592" spans="1:1" x14ac:dyDescent="0.25">
      <c r="A592" s="87"/>
    </row>
    <row r="593" spans="1:1" x14ac:dyDescent="0.25">
      <c r="A593" s="87"/>
    </row>
    <row r="594" spans="1:1" x14ac:dyDescent="0.25">
      <c r="A594" s="87"/>
    </row>
    <row r="595" spans="1:1" x14ac:dyDescent="0.25">
      <c r="A595" s="87"/>
    </row>
    <row r="596" spans="1:1" x14ac:dyDescent="0.25">
      <c r="A596" s="87"/>
    </row>
    <row r="597" spans="1:1" x14ac:dyDescent="0.25">
      <c r="A597" s="87"/>
    </row>
    <row r="598" spans="1:1" x14ac:dyDescent="0.25">
      <c r="A598" s="87"/>
    </row>
    <row r="599" spans="1:1" x14ac:dyDescent="0.25">
      <c r="A599" s="87"/>
    </row>
    <row r="600" spans="1:1" x14ac:dyDescent="0.25">
      <c r="A600" s="87"/>
    </row>
    <row r="601" spans="1:1" x14ac:dyDescent="0.25">
      <c r="A601" s="87"/>
    </row>
    <row r="602" spans="1:1" x14ac:dyDescent="0.25">
      <c r="A602" s="87"/>
    </row>
    <row r="603" spans="1:1" x14ac:dyDescent="0.25">
      <c r="A603" s="87"/>
    </row>
    <row r="604" spans="1:1" x14ac:dyDescent="0.25">
      <c r="A604" s="87"/>
    </row>
    <row r="605" spans="1:1" x14ac:dyDescent="0.25">
      <c r="A605" s="87"/>
    </row>
    <row r="606" spans="1:1" x14ac:dyDescent="0.25">
      <c r="A606" s="87"/>
    </row>
    <row r="607" spans="1:1" x14ac:dyDescent="0.25">
      <c r="A607" s="87"/>
    </row>
    <row r="608" spans="1:1" x14ac:dyDescent="0.25">
      <c r="A608" s="87"/>
    </row>
    <row r="609" spans="1:1" x14ac:dyDescent="0.25">
      <c r="A609" s="87"/>
    </row>
    <row r="610" spans="1:1" x14ac:dyDescent="0.25">
      <c r="A610" s="87"/>
    </row>
    <row r="611" spans="1:1" x14ac:dyDescent="0.25">
      <c r="A611" s="87"/>
    </row>
    <row r="612" spans="1:1" x14ac:dyDescent="0.25">
      <c r="A612" s="87"/>
    </row>
    <row r="613" spans="1:1" x14ac:dyDescent="0.25">
      <c r="A613" s="87"/>
    </row>
    <row r="614" spans="1:1" x14ac:dyDescent="0.25">
      <c r="A614" s="87"/>
    </row>
    <row r="615" spans="1:1" x14ac:dyDescent="0.25">
      <c r="A615" s="87"/>
    </row>
    <row r="616" spans="1:1" x14ac:dyDescent="0.25">
      <c r="A616" s="87"/>
    </row>
    <row r="617" spans="1:1" x14ac:dyDescent="0.25">
      <c r="A617" s="87"/>
    </row>
    <row r="618" spans="1:1" x14ac:dyDescent="0.25">
      <c r="A618" s="87"/>
    </row>
    <row r="619" spans="1:1" x14ac:dyDescent="0.25">
      <c r="A619" s="87"/>
    </row>
    <row r="620" spans="1:1" x14ac:dyDescent="0.25">
      <c r="A620" s="87"/>
    </row>
    <row r="621" spans="1:1" x14ac:dyDescent="0.25">
      <c r="A621" s="87"/>
    </row>
    <row r="622" spans="1:1" x14ac:dyDescent="0.25">
      <c r="A622" s="87"/>
    </row>
    <row r="623" spans="1:1" x14ac:dyDescent="0.25">
      <c r="A623" s="87"/>
    </row>
    <row r="624" spans="1:1" x14ac:dyDescent="0.25">
      <c r="A624" s="87"/>
    </row>
    <row r="625" spans="1:1" x14ac:dyDescent="0.25">
      <c r="A625" s="87"/>
    </row>
    <row r="626" spans="1:1" x14ac:dyDescent="0.25">
      <c r="A626" s="87"/>
    </row>
    <row r="627" spans="1:1" x14ac:dyDescent="0.25">
      <c r="A627" s="87"/>
    </row>
    <row r="628" spans="1:1" x14ac:dyDescent="0.25">
      <c r="A628" s="87"/>
    </row>
    <row r="629" spans="1:1" x14ac:dyDescent="0.25">
      <c r="A629" s="87"/>
    </row>
    <row r="630" spans="1:1" x14ac:dyDescent="0.25">
      <c r="A630" s="87"/>
    </row>
    <row r="631" spans="1:1" x14ac:dyDescent="0.25">
      <c r="A631" s="87"/>
    </row>
    <row r="632" spans="1:1" x14ac:dyDescent="0.25">
      <c r="A632" s="87"/>
    </row>
    <row r="633" spans="1:1" x14ac:dyDescent="0.25">
      <c r="A633" s="87"/>
    </row>
    <row r="634" spans="1:1" x14ac:dyDescent="0.25">
      <c r="A634" s="87"/>
    </row>
    <row r="635" spans="1:1" x14ac:dyDescent="0.25">
      <c r="A635" s="87"/>
    </row>
    <row r="636" spans="1:1" x14ac:dyDescent="0.25">
      <c r="A636" s="87"/>
    </row>
    <row r="637" spans="1:1" x14ac:dyDescent="0.25">
      <c r="A637" s="87"/>
    </row>
    <row r="638" spans="1:1" x14ac:dyDescent="0.25">
      <c r="A638" s="87"/>
    </row>
    <row r="639" spans="1:1" x14ac:dyDescent="0.25">
      <c r="A639" s="87"/>
    </row>
    <row r="640" spans="1:1" x14ac:dyDescent="0.25">
      <c r="A640" s="87"/>
    </row>
    <row r="641" spans="1:1" x14ac:dyDescent="0.25">
      <c r="A641" s="87"/>
    </row>
    <row r="642" spans="1:1" x14ac:dyDescent="0.25">
      <c r="A642" s="87"/>
    </row>
    <row r="643" spans="1:1" x14ac:dyDescent="0.25">
      <c r="A643" s="87"/>
    </row>
    <row r="644" spans="1:1" x14ac:dyDescent="0.25">
      <c r="A644" s="87"/>
    </row>
    <row r="645" spans="1:1" x14ac:dyDescent="0.25">
      <c r="A645" s="87"/>
    </row>
    <row r="646" spans="1:1" x14ac:dyDescent="0.25">
      <c r="A646" s="87"/>
    </row>
    <row r="647" spans="1:1" x14ac:dyDescent="0.25">
      <c r="A647" s="87"/>
    </row>
    <row r="648" spans="1:1" x14ac:dyDescent="0.25">
      <c r="A648" s="87"/>
    </row>
    <row r="649" spans="1:1" x14ac:dyDescent="0.25">
      <c r="A649" s="87"/>
    </row>
    <row r="650" spans="1:1" x14ac:dyDescent="0.25">
      <c r="A650" s="87"/>
    </row>
    <row r="651" spans="1:1" x14ac:dyDescent="0.25">
      <c r="A651" s="87"/>
    </row>
    <row r="652" spans="1:1" x14ac:dyDescent="0.25">
      <c r="A652" s="87"/>
    </row>
    <row r="653" spans="1:1" x14ac:dyDescent="0.25">
      <c r="A653" s="87"/>
    </row>
    <row r="654" spans="1:1" x14ac:dyDescent="0.25">
      <c r="A654" s="87"/>
    </row>
    <row r="655" spans="1:1" x14ac:dyDescent="0.25">
      <c r="A655" s="87"/>
    </row>
    <row r="656" spans="1:1" x14ac:dyDescent="0.25">
      <c r="A656" s="87"/>
    </row>
    <row r="657" spans="1:1" x14ac:dyDescent="0.25">
      <c r="A657" s="87"/>
    </row>
    <row r="658" spans="1:1" x14ac:dyDescent="0.25">
      <c r="A658" s="87"/>
    </row>
    <row r="659" spans="1:1" x14ac:dyDescent="0.25">
      <c r="A659" s="87"/>
    </row>
    <row r="660" spans="1:1" x14ac:dyDescent="0.25">
      <c r="A660" s="87"/>
    </row>
    <row r="661" spans="1:1" x14ac:dyDescent="0.25">
      <c r="A661" s="87"/>
    </row>
    <row r="662" spans="1:1" x14ac:dyDescent="0.25">
      <c r="A662" s="87"/>
    </row>
    <row r="663" spans="1:1" x14ac:dyDescent="0.25">
      <c r="A663" s="87"/>
    </row>
    <row r="664" spans="1:1" x14ac:dyDescent="0.25">
      <c r="A664" s="87"/>
    </row>
    <row r="665" spans="1:1" x14ac:dyDescent="0.25">
      <c r="A665" s="87"/>
    </row>
    <row r="666" spans="1:1" x14ac:dyDescent="0.25">
      <c r="A666" s="87"/>
    </row>
    <row r="667" spans="1:1" x14ac:dyDescent="0.25">
      <c r="A667" s="87"/>
    </row>
    <row r="668" spans="1:1" x14ac:dyDescent="0.25">
      <c r="A668" s="87"/>
    </row>
    <row r="669" spans="1:1" x14ac:dyDescent="0.25">
      <c r="A669" s="87"/>
    </row>
    <row r="670" spans="1:1" x14ac:dyDescent="0.25">
      <c r="A670" s="87"/>
    </row>
    <row r="671" spans="1:1" x14ac:dyDescent="0.25">
      <c r="A671" s="87"/>
    </row>
    <row r="672" spans="1:1" x14ac:dyDescent="0.25">
      <c r="A672" s="87"/>
    </row>
    <row r="673" spans="1:1" x14ac:dyDescent="0.25">
      <c r="A673" s="87"/>
    </row>
    <row r="674" spans="1:1" x14ac:dyDescent="0.25">
      <c r="A674" s="87"/>
    </row>
    <row r="675" spans="1:1" x14ac:dyDescent="0.25">
      <c r="A675" s="87"/>
    </row>
    <row r="676" spans="1:1" x14ac:dyDescent="0.25">
      <c r="A676" s="87"/>
    </row>
    <row r="677" spans="1:1" x14ac:dyDescent="0.25">
      <c r="A677" s="87"/>
    </row>
    <row r="678" spans="1:1" x14ac:dyDescent="0.25">
      <c r="A678" s="87"/>
    </row>
    <row r="679" spans="1:1" x14ac:dyDescent="0.25">
      <c r="A679" s="87"/>
    </row>
    <row r="680" spans="1:1" x14ac:dyDescent="0.25">
      <c r="A680" s="87"/>
    </row>
    <row r="681" spans="1:1" x14ac:dyDescent="0.25">
      <c r="A681" s="87"/>
    </row>
    <row r="682" spans="1:1" x14ac:dyDescent="0.25">
      <c r="A682" s="87"/>
    </row>
    <row r="683" spans="1:1" x14ac:dyDescent="0.25">
      <c r="A683" s="87"/>
    </row>
    <row r="684" spans="1:1" x14ac:dyDescent="0.25">
      <c r="A684" s="87"/>
    </row>
    <row r="685" spans="1:1" x14ac:dyDescent="0.25">
      <c r="A685" s="87"/>
    </row>
    <row r="686" spans="1:1" x14ac:dyDescent="0.25">
      <c r="A686" s="87"/>
    </row>
    <row r="687" spans="1:1" x14ac:dyDescent="0.25">
      <c r="A687" s="87"/>
    </row>
    <row r="688" spans="1:1" x14ac:dyDescent="0.25">
      <c r="A688" s="87"/>
    </row>
    <row r="689" spans="1:1" x14ac:dyDescent="0.25">
      <c r="A689" s="87"/>
    </row>
    <row r="690" spans="1:1" x14ac:dyDescent="0.25">
      <c r="A690" s="87"/>
    </row>
    <row r="691" spans="1:1" x14ac:dyDescent="0.25">
      <c r="A691" s="87"/>
    </row>
    <row r="692" spans="1:1" x14ac:dyDescent="0.25">
      <c r="A692" s="87"/>
    </row>
    <row r="693" spans="1:1" x14ac:dyDescent="0.25">
      <c r="A693" s="87"/>
    </row>
    <row r="694" spans="1:1" x14ac:dyDescent="0.25">
      <c r="A694" s="87"/>
    </row>
    <row r="695" spans="1:1" x14ac:dyDescent="0.25">
      <c r="A695" s="87"/>
    </row>
    <row r="696" spans="1:1" x14ac:dyDescent="0.25">
      <c r="A696" s="87"/>
    </row>
    <row r="697" spans="1:1" x14ac:dyDescent="0.25">
      <c r="A697" s="87"/>
    </row>
    <row r="698" spans="1:1" x14ac:dyDescent="0.25">
      <c r="A698" s="87"/>
    </row>
    <row r="699" spans="1:1" x14ac:dyDescent="0.25">
      <c r="A699" s="87"/>
    </row>
    <row r="700" spans="1:1" x14ac:dyDescent="0.25">
      <c r="A700" s="87"/>
    </row>
    <row r="701" spans="1:1" x14ac:dyDescent="0.25">
      <c r="A701" s="87"/>
    </row>
    <row r="702" spans="1:1" x14ac:dyDescent="0.25">
      <c r="A702" s="87"/>
    </row>
    <row r="703" spans="1:1" x14ac:dyDescent="0.25">
      <c r="A703" s="87"/>
    </row>
    <row r="704" spans="1:1" x14ac:dyDescent="0.25">
      <c r="A704" s="87"/>
    </row>
    <row r="705" spans="1:1" x14ac:dyDescent="0.25">
      <c r="A705" s="87"/>
    </row>
    <row r="706" spans="1:1" x14ac:dyDescent="0.25">
      <c r="A706" s="87"/>
    </row>
    <row r="707" spans="1:1" x14ac:dyDescent="0.25">
      <c r="A707" s="87"/>
    </row>
    <row r="708" spans="1:1" x14ac:dyDescent="0.25">
      <c r="A708" s="87"/>
    </row>
    <row r="709" spans="1:1" x14ac:dyDescent="0.25">
      <c r="A709" s="87"/>
    </row>
    <row r="710" spans="1:1" x14ac:dyDescent="0.25">
      <c r="A710" s="87"/>
    </row>
    <row r="711" spans="1:1" x14ac:dyDescent="0.25">
      <c r="A711" s="87"/>
    </row>
    <row r="712" spans="1:1" x14ac:dyDescent="0.25">
      <c r="A712" s="87"/>
    </row>
    <row r="713" spans="1:1" x14ac:dyDescent="0.25">
      <c r="A713" s="87"/>
    </row>
    <row r="714" spans="1:1" x14ac:dyDescent="0.25">
      <c r="A714" s="87"/>
    </row>
    <row r="715" spans="1:1" x14ac:dyDescent="0.25">
      <c r="A715" s="87"/>
    </row>
    <row r="716" spans="1:1" x14ac:dyDescent="0.25">
      <c r="A716" s="87"/>
    </row>
    <row r="717" spans="1:1" x14ac:dyDescent="0.25">
      <c r="A717" s="87"/>
    </row>
    <row r="718" spans="1:1" x14ac:dyDescent="0.25">
      <c r="A718" s="87"/>
    </row>
    <row r="719" spans="1:1" x14ac:dyDescent="0.25">
      <c r="A719" s="87"/>
    </row>
    <row r="720" spans="1:1" x14ac:dyDescent="0.25">
      <c r="A720" s="87"/>
    </row>
    <row r="721" spans="1:1" x14ac:dyDescent="0.25">
      <c r="A721" s="87"/>
    </row>
    <row r="722" spans="1:1" x14ac:dyDescent="0.25">
      <c r="A722" s="87"/>
    </row>
    <row r="723" spans="1:1" x14ac:dyDescent="0.25">
      <c r="A723" s="87"/>
    </row>
    <row r="724" spans="1:1" x14ac:dyDescent="0.25">
      <c r="A724" s="87"/>
    </row>
    <row r="725" spans="1:1" x14ac:dyDescent="0.25">
      <c r="A725" s="87"/>
    </row>
    <row r="726" spans="1:1" x14ac:dyDescent="0.25">
      <c r="A726" s="87"/>
    </row>
    <row r="727" spans="1:1" x14ac:dyDescent="0.25">
      <c r="A727" s="87"/>
    </row>
    <row r="728" spans="1:1" x14ac:dyDescent="0.25">
      <c r="A728" s="87"/>
    </row>
    <row r="729" spans="1:1" x14ac:dyDescent="0.25">
      <c r="A729" s="87"/>
    </row>
    <row r="730" spans="1:1" x14ac:dyDescent="0.25">
      <c r="A730" s="87"/>
    </row>
    <row r="731" spans="1:1" x14ac:dyDescent="0.25">
      <c r="A731" s="87"/>
    </row>
    <row r="732" spans="1:1" x14ac:dyDescent="0.25">
      <c r="A732" s="87"/>
    </row>
    <row r="733" spans="1:1" x14ac:dyDescent="0.25">
      <c r="A733" s="87"/>
    </row>
    <row r="734" spans="1:1" x14ac:dyDescent="0.25">
      <c r="A734" s="87"/>
    </row>
    <row r="735" spans="1:1" x14ac:dyDescent="0.25">
      <c r="A735" s="87"/>
    </row>
    <row r="736" spans="1:1" x14ac:dyDescent="0.25">
      <c r="A736" s="87"/>
    </row>
    <row r="737" spans="1:1" x14ac:dyDescent="0.25">
      <c r="A737" s="87"/>
    </row>
    <row r="738" spans="1:1" x14ac:dyDescent="0.25">
      <c r="A738" s="87"/>
    </row>
    <row r="739" spans="1:1" x14ac:dyDescent="0.25">
      <c r="A739" s="87"/>
    </row>
    <row r="740" spans="1:1" x14ac:dyDescent="0.25">
      <c r="A740" s="87"/>
    </row>
    <row r="741" spans="1:1" x14ac:dyDescent="0.25">
      <c r="A741" s="87"/>
    </row>
    <row r="742" spans="1:1" x14ac:dyDescent="0.25">
      <c r="A742" s="87"/>
    </row>
    <row r="743" spans="1:1" x14ac:dyDescent="0.25">
      <c r="A743" s="87"/>
    </row>
    <row r="744" spans="1:1" x14ac:dyDescent="0.25">
      <c r="A744" s="87"/>
    </row>
    <row r="745" spans="1:1" x14ac:dyDescent="0.25">
      <c r="A745" s="87"/>
    </row>
    <row r="746" spans="1:1" x14ac:dyDescent="0.25">
      <c r="A746" s="87"/>
    </row>
    <row r="747" spans="1:1" x14ac:dyDescent="0.25">
      <c r="A747" s="87"/>
    </row>
    <row r="748" spans="1:1" x14ac:dyDescent="0.25">
      <c r="A748" s="87"/>
    </row>
    <row r="749" spans="1:1" x14ac:dyDescent="0.25">
      <c r="A749" s="87"/>
    </row>
    <row r="750" spans="1:1" x14ac:dyDescent="0.25">
      <c r="A750" s="87"/>
    </row>
    <row r="751" spans="1:1" x14ac:dyDescent="0.25">
      <c r="A751" s="87"/>
    </row>
    <row r="752" spans="1:1" x14ac:dyDescent="0.25">
      <c r="A752" s="87"/>
    </row>
    <row r="753" spans="1:1" x14ac:dyDescent="0.25">
      <c r="A753" s="87"/>
    </row>
    <row r="754" spans="1:1" x14ac:dyDescent="0.25">
      <c r="A754" s="87"/>
    </row>
    <row r="755" spans="1:1" x14ac:dyDescent="0.25">
      <c r="A755" s="87"/>
    </row>
    <row r="756" spans="1:1" x14ac:dyDescent="0.25">
      <c r="A756" s="87"/>
    </row>
    <row r="757" spans="1:1" x14ac:dyDescent="0.25">
      <c r="A757" s="87"/>
    </row>
    <row r="758" spans="1:1" x14ac:dyDescent="0.25">
      <c r="A758" s="87"/>
    </row>
    <row r="759" spans="1:1" x14ac:dyDescent="0.25">
      <c r="A759" s="87"/>
    </row>
    <row r="760" spans="1:1" x14ac:dyDescent="0.25">
      <c r="A760" s="87"/>
    </row>
    <row r="761" spans="1:1" x14ac:dyDescent="0.25">
      <c r="A761" s="87"/>
    </row>
    <row r="762" spans="1:1" x14ac:dyDescent="0.25">
      <c r="A762" s="87"/>
    </row>
    <row r="763" spans="1:1" x14ac:dyDescent="0.25">
      <c r="A763" s="87"/>
    </row>
    <row r="764" spans="1:1" x14ac:dyDescent="0.25">
      <c r="A764" s="87"/>
    </row>
    <row r="765" spans="1:1" x14ac:dyDescent="0.25">
      <c r="A765" s="87"/>
    </row>
    <row r="766" spans="1:1" x14ac:dyDescent="0.25">
      <c r="A766" s="87"/>
    </row>
    <row r="767" spans="1:1" x14ac:dyDescent="0.25">
      <c r="A767" s="87"/>
    </row>
    <row r="768" spans="1:1" x14ac:dyDescent="0.25">
      <c r="A768" s="87"/>
    </row>
    <row r="769" spans="1:1" x14ac:dyDescent="0.25">
      <c r="A769" s="87"/>
    </row>
    <row r="770" spans="1:1" x14ac:dyDescent="0.25">
      <c r="A770" s="87"/>
    </row>
    <row r="771" spans="1:1" x14ac:dyDescent="0.25">
      <c r="A771" s="87"/>
    </row>
    <row r="772" spans="1:1" x14ac:dyDescent="0.25">
      <c r="A772" s="87"/>
    </row>
    <row r="773" spans="1:1" x14ac:dyDescent="0.25">
      <c r="A773" s="87"/>
    </row>
    <row r="774" spans="1:1" x14ac:dyDescent="0.25">
      <c r="A774" s="87"/>
    </row>
    <row r="775" spans="1:1" x14ac:dyDescent="0.25">
      <c r="A775" s="87"/>
    </row>
    <row r="776" spans="1:1" x14ac:dyDescent="0.25">
      <c r="A776" s="87"/>
    </row>
    <row r="777" spans="1:1" x14ac:dyDescent="0.25">
      <c r="A777" s="87"/>
    </row>
    <row r="778" spans="1:1" x14ac:dyDescent="0.25">
      <c r="A778" s="87"/>
    </row>
    <row r="779" spans="1:1" x14ac:dyDescent="0.25">
      <c r="A779" s="87"/>
    </row>
    <row r="780" spans="1:1" x14ac:dyDescent="0.25">
      <c r="A780" s="87"/>
    </row>
    <row r="781" spans="1:1" x14ac:dyDescent="0.25">
      <c r="A781" s="87"/>
    </row>
    <row r="782" spans="1:1" x14ac:dyDescent="0.25">
      <c r="A782" s="87"/>
    </row>
    <row r="783" spans="1:1" x14ac:dyDescent="0.25">
      <c r="A783" s="87"/>
    </row>
    <row r="784" spans="1:1" x14ac:dyDescent="0.25">
      <c r="A784" s="87"/>
    </row>
    <row r="785" spans="1:1" x14ac:dyDescent="0.25">
      <c r="A785" s="87"/>
    </row>
    <row r="786" spans="1:1" x14ac:dyDescent="0.25">
      <c r="A786" s="87"/>
    </row>
    <row r="787" spans="1:1" x14ac:dyDescent="0.25">
      <c r="A787" s="87"/>
    </row>
    <row r="788" spans="1:1" x14ac:dyDescent="0.25">
      <c r="A788" s="87"/>
    </row>
    <row r="789" spans="1:1" x14ac:dyDescent="0.25">
      <c r="A789" s="87"/>
    </row>
    <row r="790" spans="1:1" x14ac:dyDescent="0.25">
      <c r="A790" s="87"/>
    </row>
    <row r="791" spans="1:1" x14ac:dyDescent="0.25">
      <c r="A791" s="87"/>
    </row>
    <row r="792" spans="1:1" x14ac:dyDescent="0.25">
      <c r="A792" s="87"/>
    </row>
    <row r="793" spans="1:1" x14ac:dyDescent="0.25">
      <c r="A793" s="87"/>
    </row>
    <row r="794" spans="1:1" x14ac:dyDescent="0.25">
      <c r="A794" s="87"/>
    </row>
    <row r="795" spans="1:1" x14ac:dyDescent="0.25">
      <c r="A795" s="87"/>
    </row>
    <row r="796" spans="1:1" x14ac:dyDescent="0.25">
      <c r="A796" s="87"/>
    </row>
    <row r="797" spans="1:1" x14ac:dyDescent="0.25">
      <c r="A797" s="87"/>
    </row>
    <row r="798" spans="1:1" x14ac:dyDescent="0.25">
      <c r="A798" s="87"/>
    </row>
    <row r="799" spans="1:1" x14ac:dyDescent="0.25">
      <c r="A799" s="87"/>
    </row>
    <row r="800" spans="1:1" x14ac:dyDescent="0.25">
      <c r="A800" s="87"/>
    </row>
    <row r="801" spans="1:1" x14ac:dyDescent="0.25">
      <c r="A801" s="87"/>
    </row>
    <row r="802" spans="1:1" x14ac:dyDescent="0.25">
      <c r="A802" s="87"/>
    </row>
    <row r="803" spans="1:1" x14ac:dyDescent="0.25">
      <c r="A803" s="87"/>
    </row>
    <row r="804" spans="1:1" x14ac:dyDescent="0.25">
      <c r="A804" s="87"/>
    </row>
    <row r="805" spans="1:1" x14ac:dyDescent="0.25">
      <c r="A805" s="87"/>
    </row>
    <row r="806" spans="1:1" x14ac:dyDescent="0.25">
      <c r="A806" s="87"/>
    </row>
    <row r="807" spans="1:1" x14ac:dyDescent="0.25">
      <c r="A807" s="87"/>
    </row>
    <row r="808" spans="1:1" x14ac:dyDescent="0.25">
      <c r="A808" s="87"/>
    </row>
    <row r="809" spans="1:1" x14ac:dyDescent="0.25">
      <c r="A809" s="87"/>
    </row>
    <row r="810" spans="1:1" x14ac:dyDescent="0.25">
      <c r="A810" s="87"/>
    </row>
    <row r="811" spans="1:1" x14ac:dyDescent="0.25">
      <c r="A811" s="87"/>
    </row>
    <row r="812" spans="1:1" x14ac:dyDescent="0.25">
      <c r="A812" s="87"/>
    </row>
    <row r="813" spans="1:1" x14ac:dyDescent="0.25">
      <c r="A813" s="87"/>
    </row>
    <row r="814" spans="1:1" x14ac:dyDescent="0.25">
      <c r="A814" s="87"/>
    </row>
    <row r="815" spans="1:1" x14ac:dyDescent="0.25">
      <c r="A815" s="87"/>
    </row>
    <row r="816" spans="1:1" x14ac:dyDescent="0.25">
      <c r="A816" s="87"/>
    </row>
    <row r="817" spans="1:1" x14ac:dyDescent="0.25">
      <c r="A817" s="87"/>
    </row>
    <row r="818" spans="1:1" x14ac:dyDescent="0.25">
      <c r="A818" s="87"/>
    </row>
    <row r="819" spans="1:1" x14ac:dyDescent="0.25">
      <c r="A819" s="87"/>
    </row>
    <row r="820" spans="1:1" x14ac:dyDescent="0.25">
      <c r="A820" s="87"/>
    </row>
    <row r="821" spans="1:1" x14ac:dyDescent="0.25">
      <c r="A821" s="87"/>
    </row>
    <row r="822" spans="1:1" x14ac:dyDescent="0.25">
      <c r="A822" s="87"/>
    </row>
    <row r="823" spans="1:1" x14ac:dyDescent="0.25">
      <c r="A823" s="87"/>
    </row>
    <row r="824" spans="1:1" x14ac:dyDescent="0.25">
      <c r="A824" s="87"/>
    </row>
    <row r="825" spans="1:1" x14ac:dyDescent="0.25">
      <c r="A825" s="87"/>
    </row>
    <row r="826" spans="1:1" x14ac:dyDescent="0.25">
      <c r="A826" s="87"/>
    </row>
    <row r="827" spans="1:1" x14ac:dyDescent="0.25">
      <c r="A827" s="87"/>
    </row>
    <row r="828" spans="1:1" x14ac:dyDescent="0.25">
      <c r="A828" s="87"/>
    </row>
    <row r="829" spans="1:1" x14ac:dyDescent="0.25">
      <c r="A829" s="87"/>
    </row>
    <row r="830" spans="1:1" x14ac:dyDescent="0.25">
      <c r="A830" s="87"/>
    </row>
    <row r="831" spans="1:1" x14ac:dyDescent="0.25">
      <c r="A831" s="87"/>
    </row>
    <row r="832" spans="1:1" x14ac:dyDescent="0.25">
      <c r="A832" s="87"/>
    </row>
    <row r="833" spans="1:1" x14ac:dyDescent="0.25">
      <c r="A833" s="87"/>
    </row>
    <row r="834" spans="1:1" x14ac:dyDescent="0.25">
      <c r="A834" s="87"/>
    </row>
    <row r="835" spans="1:1" x14ac:dyDescent="0.25">
      <c r="A835" s="87"/>
    </row>
    <row r="836" spans="1:1" x14ac:dyDescent="0.25">
      <c r="A836" s="87"/>
    </row>
    <row r="837" spans="1:1" x14ac:dyDescent="0.25">
      <c r="A837" s="87"/>
    </row>
    <row r="838" spans="1:1" x14ac:dyDescent="0.25">
      <c r="A838" s="87"/>
    </row>
    <row r="839" spans="1:1" x14ac:dyDescent="0.25">
      <c r="A839" s="87"/>
    </row>
    <row r="840" spans="1:1" x14ac:dyDescent="0.25">
      <c r="A840" s="87"/>
    </row>
    <row r="841" spans="1:1" x14ac:dyDescent="0.25">
      <c r="A841" s="87"/>
    </row>
    <row r="842" spans="1:1" x14ac:dyDescent="0.25">
      <c r="A842" s="87"/>
    </row>
    <row r="843" spans="1:1" x14ac:dyDescent="0.25">
      <c r="A843" s="87"/>
    </row>
    <row r="844" spans="1:1" x14ac:dyDescent="0.25">
      <c r="A844" s="87"/>
    </row>
    <row r="845" spans="1:1" x14ac:dyDescent="0.25">
      <c r="A845" s="87"/>
    </row>
    <row r="846" spans="1:1" x14ac:dyDescent="0.25">
      <c r="A846" s="87"/>
    </row>
    <row r="847" spans="1:1" x14ac:dyDescent="0.25">
      <c r="A847" s="87"/>
    </row>
    <row r="848" spans="1:1" x14ac:dyDescent="0.25">
      <c r="A848" s="87"/>
    </row>
    <row r="849" spans="1:1" x14ac:dyDescent="0.25">
      <c r="A849" s="87"/>
    </row>
    <row r="850" spans="1:1" x14ac:dyDescent="0.25">
      <c r="A850" s="87"/>
    </row>
    <row r="851" spans="1:1" x14ac:dyDescent="0.25">
      <c r="A851" s="87"/>
    </row>
    <row r="852" spans="1:1" x14ac:dyDescent="0.25">
      <c r="A852" s="87"/>
    </row>
    <row r="853" spans="1:1" x14ac:dyDescent="0.25">
      <c r="A853" s="87"/>
    </row>
    <row r="854" spans="1:1" x14ac:dyDescent="0.25">
      <c r="A854" s="87"/>
    </row>
    <row r="855" spans="1:1" x14ac:dyDescent="0.25">
      <c r="A855" s="87"/>
    </row>
    <row r="856" spans="1:1" x14ac:dyDescent="0.25">
      <c r="A856" s="87"/>
    </row>
    <row r="857" spans="1:1" x14ac:dyDescent="0.25">
      <c r="A857" s="87"/>
    </row>
    <row r="858" spans="1:1" x14ac:dyDescent="0.25">
      <c r="A858" s="87"/>
    </row>
    <row r="859" spans="1:1" x14ac:dyDescent="0.25">
      <c r="A859" s="87"/>
    </row>
    <row r="860" spans="1:1" x14ac:dyDescent="0.25">
      <c r="A860" s="87"/>
    </row>
    <row r="861" spans="1:1" x14ac:dyDescent="0.25">
      <c r="A861" s="87"/>
    </row>
    <row r="862" spans="1:1" x14ac:dyDescent="0.25">
      <c r="A862" s="87"/>
    </row>
    <row r="863" spans="1:1" x14ac:dyDescent="0.25">
      <c r="A863" s="87"/>
    </row>
    <row r="864" spans="1:1" x14ac:dyDescent="0.25">
      <c r="A864" s="87"/>
    </row>
    <row r="865" spans="1:1" x14ac:dyDescent="0.25">
      <c r="A865" s="87"/>
    </row>
    <row r="866" spans="1:1" x14ac:dyDescent="0.25">
      <c r="A866" s="87"/>
    </row>
    <row r="867" spans="1:1" x14ac:dyDescent="0.25">
      <c r="A867" s="87"/>
    </row>
    <row r="868" spans="1:1" x14ac:dyDescent="0.25">
      <c r="A868" s="87"/>
    </row>
    <row r="869" spans="1:1" x14ac:dyDescent="0.25">
      <c r="A869" s="87"/>
    </row>
    <row r="870" spans="1:1" x14ac:dyDescent="0.25">
      <c r="A870" s="87"/>
    </row>
    <row r="871" spans="1:1" x14ac:dyDescent="0.25">
      <c r="A871" s="87"/>
    </row>
    <row r="872" spans="1:1" x14ac:dyDescent="0.25">
      <c r="A872" s="87"/>
    </row>
    <row r="873" spans="1:1" x14ac:dyDescent="0.25">
      <c r="A873" s="87"/>
    </row>
    <row r="874" spans="1:1" x14ac:dyDescent="0.25">
      <c r="A874" s="87"/>
    </row>
    <row r="875" spans="1:1" x14ac:dyDescent="0.25">
      <c r="A875" s="87"/>
    </row>
    <row r="876" spans="1:1" x14ac:dyDescent="0.25">
      <c r="A876" s="87"/>
    </row>
    <row r="877" spans="1:1" x14ac:dyDescent="0.25">
      <c r="A877" s="87"/>
    </row>
    <row r="878" spans="1:1" x14ac:dyDescent="0.25">
      <c r="A878" s="87"/>
    </row>
    <row r="879" spans="1:1" x14ac:dyDescent="0.25">
      <c r="A879" s="87"/>
    </row>
    <row r="880" spans="1:1" x14ac:dyDescent="0.25">
      <c r="A880" s="87"/>
    </row>
    <row r="881" spans="1:1" x14ac:dyDescent="0.25">
      <c r="A881" s="87"/>
    </row>
    <row r="882" spans="1:1" x14ac:dyDescent="0.25">
      <c r="A882" s="87"/>
    </row>
    <row r="883" spans="1:1" x14ac:dyDescent="0.25">
      <c r="A883" s="87"/>
    </row>
    <row r="884" spans="1:1" x14ac:dyDescent="0.25">
      <c r="A884" s="87"/>
    </row>
    <row r="885" spans="1:1" x14ac:dyDescent="0.25">
      <c r="A885" s="87"/>
    </row>
    <row r="886" spans="1:1" x14ac:dyDescent="0.25">
      <c r="A886" s="87"/>
    </row>
    <row r="887" spans="1:1" x14ac:dyDescent="0.25">
      <c r="A887" s="87"/>
    </row>
    <row r="888" spans="1:1" x14ac:dyDescent="0.25">
      <c r="A888" s="87"/>
    </row>
    <row r="889" spans="1:1" x14ac:dyDescent="0.25">
      <c r="A889" s="87"/>
    </row>
    <row r="890" spans="1:1" x14ac:dyDescent="0.25">
      <c r="A890" s="87"/>
    </row>
    <row r="891" spans="1:1" x14ac:dyDescent="0.25">
      <c r="A891" s="87"/>
    </row>
    <row r="892" spans="1:1" x14ac:dyDescent="0.25">
      <c r="A892" s="87"/>
    </row>
    <row r="893" spans="1:1" x14ac:dyDescent="0.25">
      <c r="A893" s="87"/>
    </row>
    <row r="894" spans="1:1" x14ac:dyDescent="0.25">
      <c r="A894" s="87"/>
    </row>
    <row r="895" spans="1:1" x14ac:dyDescent="0.25">
      <c r="A895" s="87"/>
    </row>
    <row r="896" spans="1:1" x14ac:dyDescent="0.25">
      <c r="A896" s="87"/>
    </row>
    <row r="897" spans="1:1" x14ac:dyDescent="0.25">
      <c r="A897" s="87"/>
    </row>
    <row r="898" spans="1:1" x14ac:dyDescent="0.25">
      <c r="A898" s="87"/>
    </row>
    <row r="899" spans="1:1" x14ac:dyDescent="0.25">
      <c r="A899" s="87"/>
    </row>
    <row r="900" spans="1:1" x14ac:dyDescent="0.25">
      <c r="A900" s="87"/>
    </row>
    <row r="901" spans="1:1" x14ac:dyDescent="0.25">
      <c r="A901" s="87"/>
    </row>
    <row r="902" spans="1:1" x14ac:dyDescent="0.25">
      <c r="A902" s="87"/>
    </row>
    <row r="903" spans="1:1" x14ac:dyDescent="0.25">
      <c r="A903" s="87"/>
    </row>
    <row r="904" spans="1:1" x14ac:dyDescent="0.25">
      <c r="A904" s="87"/>
    </row>
    <row r="905" spans="1:1" x14ac:dyDescent="0.25">
      <c r="A905" s="87"/>
    </row>
    <row r="906" spans="1:1" x14ac:dyDescent="0.25">
      <c r="A906" s="87"/>
    </row>
    <row r="907" spans="1:1" x14ac:dyDescent="0.25">
      <c r="A907" s="87"/>
    </row>
    <row r="908" spans="1:1" x14ac:dyDescent="0.25">
      <c r="A908" s="87"/>
    </row>
    <row r="909" spans="1:1" x14ac:dyDescent="0.25">
      <c r="A909" s="87"/>
    </row>
    <row r="910" spans="1:1" x14ac:dyDescent="0.25">
      <c r="A910" s="87"/>
    </row>
    <row r="911" spans="1:1" x14ac:dyDescent="0.25">
      <c r="A911" s="87"/>
    </row>
    <row r="912" spans="1:1" x14ac:dyDescent="0.25">
      <c r="A912" s="87"/>
    </row>
    <row r="913" spans="1:1" x14ac:dyDescent="0.25">
      <c r="A913" s="87"/>
    </row>
    <row r="914" spans="1:1" x14ac:dyDescent="0.25">
      <c r="A914" s="87"/>
    </row>
    <row r="915" spans="1:1" x14ac:dyDescent="0.25">
      <c r="A915" s="87"/>
    </row>
    <row r="916" spans="1:1" x14ac:dyDescent="0.25">
      <c r="A916" s="87"/>
    </row>
    <row r="917" spans="1:1" x14ac:dyDescent="0.25">
      <c r="A917" s="87"/>
    </row>
    <row r="918" spans="1:1" x14ac:dyDescent="0.25">
      <c r="A918" s="87"/>
    </row>
    <row r="919" spans="1:1" x14ac:dyDescent="0.25">
      <c r="A919" s="87"/>
    </row>
    <row r="920" spans="1:1" x14ac:dyDescent="0.25">
      <c r="A920" s="87"/>
    </row>
    <row r="921" spans="1:1" x14ac:dyDescent="0.25">
      <c r="A921" s="87"/>
    </row>
    <row r="922" spans="1:1" x14ac:dyDescent="0.25">
      <c r="A922" s="87"/>
    </row>
    <row r="923" spans="1:1" x14ac:dyDescent="0.25">
      <c r="A923" s="87"/>
    </row>
    <row r="924" spans="1:1" x14ac:dyDescent="0.25">
      <c r="A924" s="87"/>
    </row>
    <row r="925" spans="1:1" x14ac:dyDescent="0.25">
      <c r="A925" s="87"/>
    </row>
    <row r="926" spans="1:1" x14ac:dyDescent="0.25">
      <c r="A926" s="87"/>
    </row>
    <row r="927" spans="1:1" x14ac:dyDescent="0.25">
      <c r="A927" s="87"/>
    </row>
    <row r="928" spans="1:1" x14ac:dyDescent="0.25">
      <c r="A928" s="87"/>
    </row>
    <row r="929" spans="1:1" x14ac:dyDescent="0.25">
      <c r="A929" s="87"/>
    </row>
    <row r="930" spans="1:1" x14ac:dyDescent="0.25">
      <c r="A930" s="87"/>
    </row>
    <row r="931" spans="1:1" x14ac:dyDescent="0.25">
      <c r="A931" s="87"/>
    </row>
    <row r="932" spans="1:1" x14ac:dyDescent="0.25">
      <c r="A932" s="87"/>
    </row>
    <row r="933" spans="1:1" x14ac:dyDescent="0.25">
      <c r="A933" s="87"/>
    </row>
    <row r="934" spans="1:1" x14ac:dyDescent="0.25">
      <c r="A934" s="87"/>
    </row>
    <row r="935" spans="1:1" x14ac:dyDescent="0.25">
      <c r="A935" s="87"/>
    </row>
    <row r="936" spans="1:1" x14ac:dyDescent="0.25">
      <c r="A936" s="87"/>
    </row>
    <row r="937" spans="1:1" x14ac:dyDescent="0.25">
      <c r="A937" s="87"/>
    </row>
    <row r="938" spans="1:1" x14ac:dyDescent="0.25">
      <c r="A938" s="87"/>
    </row>
    <row r="939" spans="1:1" x14ac:dyDescent="0.25">
      <c r="A939" s="87"/>
    </row>
    <row r="940" spans="1:1" x14ac:dyDescent="0.25">
      <c r="A940" s="87"/>
    </row>
    <row r="941" spans="1:1" x14ac:dyDescent="0.25">
      <c r="A941" s="87"/>
    </row>
    <row r="942" spans="1:1" x14ac:dyDescent="0.25">
      <c r="A942" s="87"/>
    </row>
    <row r="943" spans="1:1" x14ac:dyDescent="0.25">
      <c r="A943" s="87"/>
    </row>
    <row r="944" spans="1:1" x14ac:dyDescent="0.25">
      <c r="A944" s="87"/>
    </row>
    <row r="945" spans="1:1" x14ac:dyDescent="0.25">
      <c r="A945" s="87"/>
    </row>
    <row r="946" spans="1:1" x14ac:dyDescent="0.25">
      <c r="A946" s="87"/>
    </row>
    <row r="947" spans="1:1" x14ac:dyDescent="0.25">
      <c r="A947" s="87"/>
    </row>
    <row r="948" spans="1:1" x14ac:dyDescent="0.25">
      <c r="A948" s="87"/>
    </row>
    <row r="949" spans="1:1" x14ac:dyDescent="0.25">
      <c r="A949" s="87"/>
    </row>
    <row r="950" spans="1:1" x14ac:dyDescent="0.25">
      <c r="A950" s="87"/>
    </row>
    <row r="951" spans="1:1" x14ac:dyDescent="0.25">
      <c r="A951" s="87"/>
    </row>
    <row r="952" spans="1:1" x14ac:dyDescent="0.25">
      <c r="A952" s="87"/>
    </row>
    <row r="953" spans="1:1" x14ac:dyDescent="0.25">
      <c r="A953" s="87"/>
    </row>
    <row r="954" spans="1:1" x14ac:dyDescent="0.25">
      <c r="A954" s="87"/>
    </row>
    <row r="955" spans="1:1" x14ac:dyDescent="0.25">
      <c r="A955" s="87"/>
    </row>
    <row r="956" spans="1:1" x14ac:dyDescent="0.25">
      <c r="A956" s="87"/>
    </row>
    <row r="957" spans="1:1" x14ac:dyDescent="0.25">
      <c r="A957" s="87"/>
    </row>
    <row r="958" spans="1:1" x14ac:dyDescent="0.25">
      <c r="A958" s="87"/>
    </row>
    <row r="959" spans="1:1" x14ac:dyDescent="0.25">
      <c r="A959" s="87"/>
    </row>
    <row r="960" spans="1:1" x14ac:dyDescent="0.25">
      <c r="A960" s="87"/>
    </row>
    <row r="961" spans="1:1" x14ac:dyDescent="0.25">
      <c r="A961" s="87"/>
    </row>
    <row r="962" spans="1:1" x14ac:dyDescent="0.25">
      <c r="A962" s="87"/>
    </row>
    <row r="963" spans="1:1" x14ac:dyDescent="0.25">
      <c r="A963" s="87"/>
    </row>
    <row r="964" spans="1:1" x14ac:dyDescent="0.25">
      <c r="A964" s="87"/>
    </row>
    <row r="965" spans="1:1" x14ac:dyDescent="0.25">
      <c r="A965" s="87"/>
    </row>
    <row r="966" spans="1:1" x14ac:dyDescent="0.25">
      <c r="A966" s="87"/>
    </row>
    <row r="967" spans="1:1" x14ac:dyDescent="0.25">
      <c r="A967" s="87"/>
    </row>
    <row r="968" spans="1:1" x14ac:dyDescent="0.25">
      <c r="A968" s="87"/>
    </row>
    <row r="969" spans="1:1" x14ac:dyDescent="0.25">
      <c r="A969" s="87"/>
    </row>
    <row r="970" spans="1:1" x14ac:dyDescent="0.25">
      <c r="A970" s="87"/>
    </row>
    <row r="971" spans="1:1" x14ac:dyDescent="0.25">
      <c r="A971" s="87"/>
    </row>
    <row r="972" spans="1:1" x14ac:dyDescent="0.25">
      <c r="A972" s="87"/>
    </row>
    <row r="973" spans="1:1" x14ac:dyDescent="0.25">
      <c r="A973" s="87"/>
    </row>
    <row r="974" spans="1:1" x14ac:dyDescent="0.25">
      <c r="A974" s="87"/>
    </row>
    <row r="975" spans="1:1" x14ac:dyDescent="0.25">
      <c r="A975" s="87"/>
    </row>
    <row r="976" spans="1:1" x14ac:dyDescent="0.25">
      <c r="A976" s="87"/>
    </row>
    <row r="977" spans="1:1" x14ac:dyDescent="0.25">
      <c r="A977" s="87"/>
    </row>
    <row r="978" spans="1:1" x14ac:dyDescent="0.25">
      <c r="A978" s="87"/>
    </row>
    <row r="979" spans="1:1" x14ac:dyDescent="0.25">
      <c r="A979" s="87"/>
    </row>
    <row r="980" spans="1:1" x14ac:dyDescent="0.25">
      <c r="A980" s="87"/>
    </row>
    <row r="981" spans="1:1" x14ac:dyDescent="0.25">
      <c r="A981" s="87"/>
    </row>
    <row r="982" spans="1:1" x14ac:dyDescent="0.25">
      <c r="A982" s="87"/>
    </row>
    <row r="983" spans="1:1" x14ac:dyDescent="0.25">
      <c r="A983" s="87"/>
    </row>
    <row r="984" spans="1:1" x14ac:dyDescent="0.25">
      <c r="A984" s="87"/>
    </row>
    <row r="985" spans="1:1" x14ac:dyDescent="0.25">
      <c r="A985" s="87"/>
    </row>
    <row r="986" spans="1:1" x14ac:dyDescent="0.25">
      <c r="A986" s="87"/>
    </row>
    <row r="987" spans="1:1" x14ac:dyDescent="0.25">
      <c r="A987" s="87"/>
    </row>
    <row r="988" spans="1:1" x14ac:dyDescent="0.25">
      <c r="A988" s="87"/>
    </row>
    <row r="989" spans="1:1" x14ac:dyDescent="0.25">
      <c r="A989" s="87"/>
    </row>
    <row r="990" spans="1:1" x14ac:dyDescent="0.25">
      <c r="A990" s="87"/>
    </row>
    <row r="991" spans="1:1" x14ac:dyDescent="0.25">
      <c r="A991" s="87"/>
    </row>
    <row r="992" spans="1:1" x14ac:dyDescent="0.25">
      <c r="A992" s="87"/>
    </row>
    <row r="993" spans="1:1" x14ac:dyDescent="0.25">
      <c r="A993" s="87"/>
    </row>
    <row r="994" spans="1:1" x14ac:dyDescent="0.25">
      <c r="A994" s="87"/>
    </row>
    <row r="995" spans="1:1" x14ac:dyDescent="0.25">
      <c r="A995" s="87"/>
    </row>
    <row r="996" spans="1:1" x14ac:dyDescent="0.25">
      <c r="A996" s="87"/>
    </row>
    <row r="997" spans="1:1" x14ac:dyDescent="0.25">
      <c r="A997" s="87"/>
    </row>
    <row r="998" spans="1:1" x14ac:dyDescent="0.25">
      <c r="A998" s="87"/>
    </row>
    <row r="999" spans="1:1" x14ac:dyDescent="0.25">
      <c r="A999" s="87"/>
    </row>
    <row r="1000" spans="1:1" x14ac:dyDescent="0.25">
      <c r="A1000" s="87"/>
    </row>
    <row r="1001" spans="1:1" x14ac:dyDescent="0.25">
      <c r="A1001" s="87"/>
    </row>
    <row r="1002" spans="1:1" x14ac:dyDescent="0.25">
      <c r="A1002" s="87"/>
    </row>
    <row r="1003" spans="1:1" x14ac:dyDescent="0.25">
      <c r="A1003" s="87"/>
    </row>
    <row r="1004" spans="1:1" x14ac:dyDescent="0.25">
      <c r="A1004" s="87"/>
    </row>
    <row r="1005" spans="1:1" x14ac:dyDescent="0.25">
      <c r="A1005" s="87"/>
    </row>
    <row r="1006" spans="1:1" x14ac:dyDescent="0.25">
      <c r="A1006" s="87"/>
    </row>
    <row r="1007" spans="1:1" x14ac:dyDescent="0.25">
      <c r="A1007" s="87"/>
    </row>
    <row r="1008" spans="1:1" x14ac:dyDescent="0.25">
      <c r="A1008" s="87"/>
    </row>
    <row r="1009" spans="1:1" x14ac:dyDescent="0.25">
      <c r="A1009" s="87"/>
    </row>
    <row r="1010" spans="1:1" x14ac:dyDescent="0.25">
      <c r="A1010" s="87"/>
    </row>
    <row r="1011" spans="1:1" x14ac:dyDescent="0.25">
      <c r="A1011" s="87"/>
    </row>
    <row r="1012" spans="1:1" x14ac:dyDescent="0.25">
      <c r="A1012" s="87"/>
    </row>
    <row r="1013" spans="1:1" x14ac:dyDescent="0.25">
      <c r="A1013" s="87"/>
    </row>
    <row r="1014" spans="1:1" x14ac:dyDescent="0.25">
      <c r="A1014" s="87"/>
    </row>
    <row r="1015" spans="1:1" x14ac:dyDescent="0.25">
      <c r="A1015" s="87"/>
    </row>
    <row r="1016" spans="1:1" x14ac:dyDescent="0.25">
      <c r="A1016" s="87"/>
    </row>
    <row r="1017" spans="1:1" x14ac:dyDescent="0.25">
      <c r="A1017" s="87"/>
    </row>
    <row r="1018" spans="1:1" x14ac:dyDescent="0.25">
      <c r="A1018" s="87"/>
    </row>
    <row r="1019" spans="1:1" x14ac:dyDescent="0.25">
      <c r="A1019" s="87"/>
    </row>
    <row r="1020" spans="1:1" x14ac:dyDescent="0.25">
      <c r="A1020" s="87"/>
    </row>
    <row r="1021" spans="1:1" x14ac:dyDescent="0.25">
      <c r="A1021" s="87"/>
    </row>
    <row r="1022" spans="1:1" x14ac:dyDescent="0.25">
      <c r="A1022" s="87"/>
    </row>
    <row r="1023" spans="1:1" x14ac:dyDescent="0.25">
      <c r="A1023" s="87"/>
    </row>
    <row r="1024" spans="1:1" x14ac:dyDescent="0.25">
      <c r="A1024" s="87"/>
    </row>
    <row r="1025" spans="1:1" x14ac:dyDescent="0.25">
      <c r="A1025" s="87"/>
    </row>
    <row r="1026" spans="1:1" x14ac:dyDescent="0.25">
      <c r="A1026" s="87"/>
    </row>
    <row r="1027" spans="1:1" x14ac:dyDescent="0.25">
      <c r="A1027" s="87"/>
    </row>
    <row r="1028" spans="1:1" x14ac:dyDescent="0.25">
      <c r="A1028" s="87"/>
    </row>
    <row r="1029" spans="1:1" x14ac:dyDescent="0.25">
      <c r="A1029" s="87"/>
    </row>
    <row r="1030" spans="1:1" x14ac:dyDescent="0.25">
      <c r="A1030" s="87"/>
    </row>
    <row r="1031" spans="1:1" x14ac:dyDescent="0.25">
      <c r="A1031" s="87"/>
    </row>
    <row r="1032" spans="1:1" x14ac:dyDescent="0.25">
      <c r="A1032" s="87"/>
    </row>
    <row r="1033" spans="1:1" x14ac:dyDescent="0.25">
      <c r="A1033" s="87"/>
    </row>
    <row r="1034" spans="1:1" x14ac:dyDescent="0.25">
      <c r="A1034" s="87"/>
    </row>
    <row r="1035" spans="1:1" x14ac:dyDescent="0.25">
      <c r="A1035" s="87"/>
    </row>
    <row r="1036" spans="1:1" x14ac:dyDescent="0.25">
      <c r="A1036" s="87"/>
    </row>
    <row r="1037" spans="1:1" x14ac:dyDescent="0.25">
      <c r="A1037" s="87"/>
    </row>
    <row r="1038" spans="1:1" x14ac:dyDescent="0.25">
      <c r="A1038" s="87"/>
    </row>
    <row r="1039" spans="1:1" x14ac:dyDescent="0.25">
      <c r="A1039" s="87"/>
    </row>
    <row r="1040" spans="1:1" x14ac:dyDescent="0.25">
      <c r="A1040" s="87"/>
    </row>
    <row r="1041" spans="1:1" x14ac:dyDescent="0.25">
      <c r="A1041" s="87"/>
    </row>
    <row r="1042" spans="1:1" x14ac:dyDescent="0.25">
      <c r="A1042" s="87"/>
    </row>
    <row r="1043" spans="1:1" x14ac:dyDescent="0.25">
      <c r="A1043" s="87"/>
    </row>
    <row r="1044" spans="1:1" x14ac:dyDescent="0.25">
      <c r="A1044" s="87"/>
    </row>
    <row r="1045" spans="1:1" x14ac:dyDescent="0.25">
      <c r="A1045" s="87"/>
    </row>
    <row r="1046" spans="1:1" x14ac:dyDescent="0.25">
      <c r="A1046" s="87"/>
    </row>
    <row r="1047" spans="1:1" x14ac:dyDescent="0.25">
      <c r="A1047" s="87"/>
    </row>
    <row r="1048" spans="1:1" x14ac:dyDescent="0.25">
      <c r="A1048" s="87"/>
    </row>
    <row r="1049" spans="1:1" x14ac:dyDescent="0.25">
      <c r="A1049" s="87"/>
    </row>
    <row r="1050" spans="1:1" x14ac:dyDescent="0.25">
      <c r="A1050" s="87"/>
    </row>
    <row r="1051" spans="1:1" x14ac:dyDescent="0.25">
      <c r="A1051" s="87"/>
    </row>
    <row r="1052" spans="1:1" x14ac:dyDescent="0.25">
      <c r="A1052" s="87"/>
    </row>
    <row r="1053" spans="1:1" x14ac:dyDescent="0.25">
      <c r="A1053" s="87"/>
    </row>
    <row r="1054" spans="1:1" x14ac:dyDescent="0.25">
      <c r="A1054" s="87"/>
    </row>
    <row r="1055" spans="1:1" x14ac:dyDescent="0.25">
      <c r="A1055" s="87"/>
    </row>
    <row r="1056" spans="1:1" x14ac:dyDescent="0.25">
      <c r="A1056" s="87"/>
    </row>
    <row r="1057" spans="1:1" x14ac:dyDescent="0.25">
      <c r="A1057" s="87"/>
    </row>
    <row r="1058" spans="1:1" x14ac:dyDescent="0.25">
      <c r="A1058" s="87"/>
    </row>
    <row r="1059" spans="1:1" x14ac:dyDescent="0.25">
      <c r="A1059" s="87"/>
    </row>
    <row r="1060" spans="1:1" x14ac:dyDescent="0.25">
      <c r="A1060" s="87"/>
    </row>
    <row r="1061" spans="1:1" x14ac:dyDescent="0.25">
      <c r="A1061" s="87"/>
    </row>
    <row r="1062" spans="1:1" x14ac:dyDescent="0.25">
      <c r="A1062" s="87"/>
    </row>
    <row r="1063" spans="1:1" x14ac:dyDescent="0.25">
      <c r="A1063" s="87"/>
    </row>
    <row r="1064" spans="1:1" x14ac:dyDescent="0.25">
      <c r="A1064" s="87"/>
    </row>
    <row r="1065" spans="1:1" x14ac:dyDescent="0.25">
      <c r="A1065" s="87"/>
    </row>
    <row r="1066" spans="1:1" x14ac:dyDescent="0.25">
      <c r="A1066" s="87"/>
    </row>
    <row r="1067" spans="1:1" x14ac:dyDescent="0.25">
      <c r="A1067" s="87"/>
    </row>
    <row r="1068" spans="1:1" x14ac:dyDescent="0.25">
      <c r="A1068" s="87"/>
    </row>
    <row r="1069" spans="1:1" x14ac:dyDescent="0.25">
      <c r="A1069" s="87"/>
    </row>
    <row r="1070" spans="1:1" x14ac:dyDescent="0.25">
      <c r="A1070" s="87"/>
    </row>
    <row r="1071" spans="1:1" x14ac:dyDescent="0.25">
      <c r="A1071" s="87"/>
    </row>
    <row r="1072" spans="1:1" x14ac:dyDescent="0.25">
      <c r="A1072" s="87"/>
    </row>
    <row r="1073" spans="1:1" x14ac:dyDescent="0.25">
      <c r="A1073" s="87"/>
    </row>
    <row r="1074" spans="1:1" x14ac:dyDescent="0.25">
      <c r="A1074" s="87"/>
    </row>
    <row r="1075" spans="1:1" x14ac:dyDescent="0.25">
      <c r="A1075" s="87"/>
    </row>
    <row r="1076" spans="1:1" x14ac:dyDescent="0.25">
      <c r="A1076" s="87"/>
    </row>
    <row r="1077" spans="1:1" x14ac:dyDescent="0.25">
      <c r="A1077" s="87"/>
    </row>
    <row r="1078" spans="1:1" x14ac:dyDescent="0.25">
      <c r="A1078" s="87"/>
    </row>
    <row r="1079" spans="1:1" x14ac:dyDescent="0.25">
      <c r="A1079" s="87"/>
    </row>
    <row r="1080" spans="1:1" x14ac:dyDescent="0.25">
      <c r="A1080" s="87"/>
    </row>
    <row r="1081" spans="1:1" x14ac:dyDescent="0.25">
      <c r="A1081" s="87"/>
    </row>
    <row r="1082" spans="1:1" x14ac:dyDescent="0.25">
      <c r="A1082" s="87"/>
    </row>
    <row r="1083" spans="1:1" x14ac:dyDescent="0.25">
      <c r="A1083" s="87"/>
    </row>
    <row r="1084" spans="1:1" x14ac:dyDescent="0.25">
      <c r="A1084" s="87"/>
    </row>
    <row r="1085" spans="1:1" x14ac:dyDescent="0.25">
      <c r="A1085" s="87"/>
    </row>
    <row r="1086" spans="1:1" x14ac:dyDescent="0.25">
      <c r="A1086" s="87"/>
    </row>
    <row r="1087" spans="1:1" x14ac:dyDescent="0.25">
      <c r="A1087" s="87"/>
    </row>
    <row r="1088" spans="1:1" x14ac:dyDescent="0.25">
      <c r="A1088" s="87"/>
    </row>
    <row r="1089" spans="1:1" x14ac:dyDescent="0.25">
      <c r="A1089" s="87"/>
    </row>
    <row r="1090" spans="1:1" x14ac:dyDescent="0.25">
      <c r="A1090" s="87"/>
    </row>
    <row r="1091" spans="1:1" x14ac:dyDescent="0.25">
      <c r="A1091" s="87"/>
    </row>
    <row r="1092" spans="1:1" x14ac:dyDescent="0.25">
      <c r="A1092" s="87"/>
    </row>
    <row r="1093" spans="1:1" x14ac:dyDescent="0.25">
      <c r="A1093" s="87"/>
    </row>
    <row r="1094" spans="1:1" x14ac:dyDescent="0.25">
      <c r="A1094" s="87"/>
    </row>
    <row r="1095" spans="1:1" x14ac:dyDescent="0.25">
      <c r="A1095" s="87"/>
    </row>
    <row r="1096" spans="1:1" x14ac:dyDescent="0.25">
      <c r="A1096" s="87"/>
    </row>
    <row r="1097" spans="1:1" x14ac:dyDescent="0.25">
      <c r="A1097" s="87"/>
    </row>
    <row r="1098" spans="1:1" x14ac:dyDescent="0.25">
      <c r="A1098" s="87"/>
    </row>
    <row r="1099" spans="1:1" x14ac:dyDescent="0.25">
      <c r="A1099" s="87"/>
    </row>
    <row r="1100" spans="1:1" x14ac:dyDescent="0.25">
      <c r="A1100" s="87"/>
    </row>
    <row r="1101" spans="1:1" x14ac:dyDescent="0.25">
      <c r="A1101" s="87"/>
    </row>
    <row r="1102" spans="1:1" x14ac:dyDescent="0.25">
      <c r="A1102" s="87"/>
    </row>
    <row r="1103" spans="1:1" x14ac:dyDescent="0.25">
      <c r="A1103" s="87"/>
    </row>
    <row r="1104" spans="1:1" x14ac:dyDescent="0.25">
      <c r="A1104" s="87"/>
    </row>
    <row r="1105" spans="1:1" x14ac:dyDescent="0.25">
      <c r="A1105" s="87"/>
    </row>
    <row r="1106" spans="1:1" x14ac:dyDescent="0.25">
      <c r="A1106" s="87"/>
    </row>
    <row r="1107" spans="1:1" x14ac:dyDescent="0.25">
      <c r="A1107" s="87"/>
    </row>
    <row r="1108" spans="1:1" x14ac:dyDescent="0.25">
      <c r="A1108" s="87"/>
    </row>
    <row r="1109" spans="1:1" x14ac:dyDescent="0.25">
      <c r="A1109" s="87"/>
    </row>
    <row r="1110" spans="1:1" x14ac:dyDescent="0.25">
      <c r="A1110" s="87"/>
    </row>
    <row r="1111" spans="1:1" x14ac:dyDescent="0.25">
      <c r="A1111" s="87"/>
    </row>
    <row r="1112" spans="1:1" x14ac:dyDescent="0.25">
      <c r="A1112" s="87"/>
    </row>
    <row r="1113" spans="1:1" x14ac:dyDescent="0.25">
      <c r="A1113" s="87"/>
    </row>
    <row r="1114" spans="1:1" x14ac:dyDescent="0.25">
      <c r="A1114" s="87"/>
    </row>
    <row r="1115" spans="1:1" x14ac:dyDescent="0.25">
      <c r="A1115" s="87"/>
    </row>
    <row r="1116" spans="1:1" x14ac:dyDescent="0.25">
      <c r="A1116" s="87"/>
    </row>
    <row r="1117" spans="1:1" x14ac:dyDescent="0.25">
      <c r="A1117" s="87"/>
    </row>
    <row r="1118" spans="1:1" x14ac:dyDescent="0.25">
      <c r="A1118" s="87"/>
    </row>
    <row r="1119" spans="1:1" x14ac:dyDescent="0.25">
      <c r="A1119" s="87"/>
    </row>
    <row r="1120" spans="1:1" x14ac:dyDescent="0.25">
      <c r="A1120" s="87"/>
    </row>
    <row r="1121" spans="1:1" x14ac:dyDescent="0.25">
      <c r="A1121" s="87"/>
    </row>
    <row r="1122" spans="1:1" x14ac:dyDescent="0.25">
      <c r="A1122" s="87"/>
    </row>
    <row r="1123" spans="1:1" x14ac:dyDescent="0.25">
      <c r="A1123" s="87"/>
    </row>
    <row r="1124" spans="1:1" x14ac:dyDescent="0.25">
      <c r="A1124" s="87"/>
    </row>
    <row r="1125" spans="1:1" x14ac:dyDescent="0.25">
      <c r="A1125" s="87"/>
    </row>
    <row r="1126" spans="1:1" x14ac:dyDescent="0.25">
      <c r="A1126" s="87"/>
    </row>
    <row r="1127" spans="1:1" x14ac:dyDescent="0.25">
      <c r="A1127" s="87"/>
    </row>
    <row r="1128" spans="1:1" x14ac:dyDescent="0.25">
      <c r="A1128" s="87"/>
    </row>
    <row r="1129" spans="1:1" x14ac:dyDescent="0.25">
      <c r="A1129" s="87"/>
    </row>
    <row r="1130" spans="1:1" x14ac:dyDescent="0.25">
      <c r="A1130" s="87"/>
    </row>
    <row r="1131" spans="1:1" x14ac:dyDescent="0.25">
      <c r="A1131" s="87"/>
    </row>
    <row r="1132" spans="1:1" x14ac:dyDescent="0.25">
      <c r="A1132" s="87"/>
    </row>
    <row r="1133" spans="1:1" x14ac:dyDescent="0.25">
      <c r="A1133" s="87"/>
    </row>
    <row r="1134" spans="1:1" x14ac:dyDescent="0.25">
      <c r="A1134" s="87"/>
    </row>
    <row r="1135" spans="1:1" x14ac:dyDescent="0.25">
      <c r="A1135" s="87"/>
    </row>
    <row r="1136" spans="1:1" x14ac:dyDescent="0.25">
      <c r="A1136" s="87"/>
    </row>
    <row r="1137" spans="1:1" x14ac:dyDescent="0.25">
      <c r="A1137" s="87"/>
    </row>
    <row r="1138" spans="1:1" x14ac:dyDescent="0.25">
      <c r="A1138" s="87"/>
    </row>
    <row r="1139" spans="1:1" x14ac:dyDescent="0.25">
      <c r="A1139" s="87"/>
    </row>
    <row r="1140" spans="1:1" x14ac:dyDescent="0.25">
      <c r="A1140" s="87"/>
    </row>
    <row r="1141" spans="1:1" x14ac:dyDescent="0.25">
      <c r="A1141" s="87"/>
    </row>
    <row r="1142" spans="1:1" x14ac:dyDescent="0.25">
      <c r="A1142" s="87"/>
    </row>
    <row r="1143" spans="1:1" x14ac:dyDescent="0.25">
      <c r="A1143" s="87"/>
    </row>
    <row r="1144" spans="1:1" x14ac:dyDescent="0.25">
      <c r="A1144" s="87"/>
    </row>
    <row r="1145" spans="1:1" x14ac:dyDescent="0.25">
      <c r="A1145" s="87"/>
    </row>
    <row r="1146" spans="1:1" x14ac:dyDescent="0.25">
      <c r="A1146" s="87"/>
    </row>
    <row r="1147" spans="1:1" x14ac:dyDescent="0.25">
      <c r="A1147" s="87"/>
    </row>
    <row r="1148" spans="1:1" x14ac:dyDescent="0.25">
      <c r="A1148" s="87"/>
    </row>
    <row r="1149" spans="1:1" x14ac:dyDescent="0.25">
      <c r="A1149" s="87"/>
    </row>
    <row r="1150" spans="1:1" x14ac:dyDescent="0.25">
      <c r="A1150" s="87"/>
    </row>
    <row r="1151" spans="1:1" x14ac:dyDescent="0.25">
      <c r="A1151" s="87"/>
    </row>
    <row r="1152" spans="1:1" x14ac:dyDescent="0.25">
      <c r="A1152" s="87"/>
    </row>
    <row r="1153" spans="1:1" x14ac:dyDescent="0.25">
      <c r="A1153" s="87"/>
    </row>
    <row r="1154" spans="1:1" x14ac:dyDescent="0.25">
      <c r="A1154" s="87"/>
    </row>
    <row r="1155" spans="1:1" x14ac:dyDescent="0.25">
      <c r="A1155" s="87"/>
    </row>
    <row r="1156" spans="1:1" x14ac:dyDescent="0.25">
      <c r="A1156" s="87"/>
    </row>
    <row r="1157" spans="1:1" x14ac:dyDescent="0.25">
      <c r="A1157" s="87"/>
    </row>
    <row r="1158" spans="1:1" x14ac:dyDescent="0.25">
      <c r="A1158" s="87"/>
    </row>
    <row r="1159" spans="1:1" x14ac:dyDescent="0.25">
      <c r="A1159" s="87"/>
    </row>
    <row r="1160" spans="1:1" x14ac:dyDescent="0.25">
      <c r="A1160" s="87"/>
    </row>
    <row r="1161" spans="1:1" x14ac:dyDescent="0.25">
      <c r="A1161" s="87"/>
    </row>
    <row r="1162" spans="1:1" x14ac:dyDescent="0.25">
      <c r="A1162" s="87"/>
    </row>
    <row r="1163" spans="1:1" x14ac:dyDescent="0.25">
      <c r="A1163" s="87"/>
    </row>
    <row r="1164" spans="1:1" x14ac:dyDescent="0.25">
      <c r="A1164" s="87"/>
    </row>
    <row r="1165" spans="1:1" x14ac:dyDescent="0.25">
      <c r="A1165" s="87"/>
    </row>
    <row r="1166" spans="1:1" x14ac:dyDescent="0.25">
      <c r="A1166" s="87"/>
    </row>
    <row r="1167" spans="1:1" x14ac:dyDescent="0.25">
      <c r="A1167" s="87"/>
    </row>
    <row r="1168" spans="1:1" x14ac:dyDescent="0.25">
      <c r="A1168" s="87"/>
    </row>
    <row r="1169" spans="1:1" x14ac:dyDescent="0.25">
      <c r="A1169" s="87"/>
    </row>
    <row r="1170" spans="1:1" x14ac:dyDescent="0.25">
      <c r="A1170" s="87"/>
    </row>
    <row r="1171" spans="1:1" x14ac:dyDescent="0.25">
      <c r="A1171" s="87"/>
    </row>
    <row r="1172" spans="1:1" x14ac:dyDescent="0.25">
      <c r="A1172" s="87"/>
    </row>
    <row r="1173" spans="1:1" x14ac:dyDescent="0.25">
      <c r="A1173" s="87"/>
    </row>
    <row r="1174" spans="1:1" x14ac:dyDescent="0.25">
      <c r="A1174" s="87"/>
    </row>
    <row r="1175" spans="1:1" x14ac:dyDescent="0.25">
      <c r="A1175" s="87"/>
    </row>
    <row r="1176" spans="1:1" x14ac:dyDescent="0.25">
      <c r="A1176" s="87"/>
    </row>
    <row r="1177" spans="1:1" x14ac:dyDescent="0.25">
      <c r="A1177" s="87"/>
    </row>
    <row r="1178" spans="1:1" x14ac:dyDescent="0.25">
      <c r="A1178" s="87"/>
    </row>
    <row r="1179" spans="1:1" x14ac:dyDescent="0.25">
      <c r="A1179" s="87"/>
    </row>
    <row r="1180" spans="1:1" x14ac:dyDescent="0.25">
      <c r="A1180" s="87"/>
    </row>
    <row r="1181" spans="1:1" x14ac:dyDescent="0.25">
      <c r="A1181" s="87"/>
    </row>
    <row r="1182" spans="1:1" x14ac:dyDescent="0.25">
      <c r="A1182" s="87"/>
    </row>
    <row r="1183" spans="1:1" x14ac:dyDescent="0.25">
      <c r="A1183" s="87"/>
    </row>
    <row r="1184" spans="1:1" x14ac:dyDescent="0.25">
      <c r="A1184" s="87"/>
    </row>
    <row r="1185" spans="1:1" x14ac:dyDescent="0.25">
      <c r="A1185" s="87"/>
    </row>
    <row r="1186" spans="1:1" x14ac:dyDescent="0.25">
      <c r="A1186" s="87"/>
    </row>
    <row r="1187" spans="1:1" x14ac:dyDescent="0.25">
      <c r="A1187" s="87"/>
    </row>
    <row r="1188" spans="1:1" x14ac:dyDescent="0.25">
      <c r="A1188" s="87"/>
    </row>
    <row r="1189" spans="1:1" x14ac:dyDescent="0.25">
      <c r="A1189" s="87"/>
    </row>
    <row r="1190" spans="1:1" x14ac:dyDescent="0.25">
      <c r="A1190" s="87"/>
    </row>
    <row r="1191" spans="1:1" x14ac:dyDescent="0.25">
      <c r="A1191" s="87"/>
    </row>
    <row r="1192" spans="1:1" x14ac:dyDescent="0.25">
      <c r="A1192" s="87"/>
    </row>
    <row r="1193" spans="1:1" x14ac:dyDescent="0.25">
      <c r="A1193" s="87"/>
    </row>
    <row r="1194" spans="1:1" x14ac:dyDescent="0.25">
      <c r="A1194" s="87"/>
    </row>
    <row r="1195" spans="1:1" x14ac:dyDescent="0.25">
      <c r="A1195" s="87"/>
    </row>
    <row r="1196" spans="1:1" x14ac:dyDescent="0.25">
      <c r="A1196" s="87"/>
    </row>
    <row r="1197" spans="1:1" x14ac:dyDescent="0.25">
      <c r="A1197" s="87"/>
    </row>
    <row r="1198" spans="1:1" x14ac:dyDescent="0.25">
      <c r="A1198" s="87"/>
    </row>
    <row r="1199" spans="1:1" x14ac:dyDescent="0.25">
      <c r="A1199" s="87"/>
    </row>
    <row r="1200" spans="1:1" x14ac:dyDescent="0.25">
      <c r="A1200" s="87"/>
    </row>
    <row r="1201" spans="1:1" x14ac:dyDescent="0.25">
      <c r="A1201" s="87"/>
    </row>
    <row r="1202" spans="1:1" x14ac:dyDescent="0.25">
      <c r="A1202" s="87"/>
    </row>
    <row r="1203" spans="1:1" x14ac:dyDescent="0.25">
      <c r="A1203" s="87"/>
    </row>
    <row r="1204" spans="1:1" x14ac:dyDescent="0.25">
      <c r="A1204" s="87"/>
    </row>
    <row r="1205" spans="1:1" x14ac:dyDescent="0.25">
      <c r="A1205" s="87"/>
    </row>
    <row r="1206" spans="1:1" x14ac:dyDescent="0.25">
      <c r="A1206" s="87"/>
    </row>
    <row r="1207" spans="1:1" x14ac:dyDescent="0.25">
      <c r="A1207" s="87"/>
    </row>
    <row r="1208" spans="1:1" x14ac:dyDescent="0.25">
      <c r="A1208" s="87"/>
    </row>
    <row r="1209" spans="1:1" x14ac:dyDescent="0.25">
      <c r="A1209" s="87"/>
    </row>
    <row r="1210" spans="1:1" x14ac:dyDescent="0.25">
      <c r="A1210" s="87"/>
    </row>
    <row r="1211" spans="1:1" x14ac:dyDescent="0.25">
      <c r="A1211" s="87"/>
    </row>
    <row r="1212" spans="1:1" x14ac:dyDescent="0.25">
      <c r="A1212" s="87"/>
    </row>
    <row r="1213" spans="1:1" x14ac:dyDescent="0.25">
      <c r="A1213" s="87"/>
    </row>
    <row r="1214" spans="1:1" x14ac:dyDescent="0.25">
      <c r="A1214" s="87"/>
    </row>
    <row r="1215" spans="1:1" x14ac:dyDescent="0.25">
      <c r="A1215" s="87"/>
    </row>
    <row r="1216" spans="1:1" x14ac:dyDescent="0.25">
      <c r="A1216" s="87"/>
    </row>
    <row r="1217" spans="1:1" x14ac:dyDescent="0.25">
      <c r="A1217" s="87"/>
    </row>
    <row r="1218" spans="1:1" x14ac:dyDescent="0.25">
      <c r="A1218" s="87"/>
    </row>
    <row r="1219" spans="1:1" x14ac:dyDescent="0.25">
      <c r="A1219" s="87"/>
    </row>
    <row r="1220" spans="1:1" x14ac:dyDescent="0.25">
      <c r="A1220" s="87"/>
    </row>
    <row r="1221" spans="1:1" x14ac:dyDescent="0.25">
      <c r="A1221" s="87"/>
    </row>
    <row r="1222" spans="1:1" x14ac:dyDescent="0.25">
      <c r="A1222" s="87"/>
    </row>
    <row r="1223" spans="1:1" x14ac:dyDescent="0.25">
      <c r="A1223" s="87"/>
    </row>
    <row r="1224" spans="1:1" x14ac:dyDescent="0.25">
      <c r="A1224" s="87"/>
    </row>
    <row r="1225" spans="1:1" x14ac:dyDescent="0.25">
      <c r="A1225" s="87"/>
    </row>
    <row r="1226" spans="1:1" x14ac:dyDescent="0.25">
      <c r="A1226" s="87"/>
    </row>
    <row r="1227" spans="1:1" x14ac:dyDescent="0.25">
      <c r="A1227" s="87"/>
    </row>
    <row r="1228" spans="1:1" x14ac:dyDescent="0.25">
      <c r="A1228" s="87"/>
    </row>
    <row r="1229" spans="1:1" x14ac:dyDescent="0.25">
      <c r="A1229" s="87"/>
    </row>
    <row r="1230" spans="1:1" x14ac:dyDescent="0.25">
      <c r="A1230" s="87"/>
    </row>
    <row r="1231" spans="1:1" x14ac:dyDescent="0.25">
      <c r="A1231" s="87"/>
    </row>
    <row r="1232" spans="1:1" x14ac:dyDescent="0.25">
      <c r="A1232" s="87"/>
    </row>
    <row r="1233" spans="1:1" x14ac:dyDescent="0.25">
      <c r="A1233" s="87"/>
    </row>
    <row r="1234" spans="1:1" x14ac:dyDescent="0.25">
      <c r="A1234" s="87"/>
    </row>
    <row r="1235" spans="1:1" x14ac:dyDescent="0.25">
      <c r="A1235" s="87"/>
    </row>
    <row r="1236" spans="1:1" x14ac:dyDescent="0.25">
      <c r="A1236" s="87"/>
    </row>
    <row r="1237" spans="1:1" x14ac:dyDescent="0.25">
      <c r="A1237" s="87"/>
    </row>
    <row r="1238" spans="1:1" x14ac:dyDescent="0.25">
      <c r="A1238" s="87"/>
    </row>
    <row r="1239" spans="1:1" x14ac:dyDescent="0.25">
      <c r="A1239" s="87"/>
    </row>
    <row r="1240" spans="1:1" x14ac:dyDescent="0.25">
      <c r="A1240" s="87"/>
    </row>
    <row r="1241" spans="1:1" x14ac:dyDescent="0.25">
      <c r="A1241" s="87"/>
    </row>
    <row r="1242" spans="1:1" x14ac:dyDescent="0.25">
      <c r="A1242" s="87"/>
    </row>
    <row r="1243" spans="1:1" x14ac:dyDescent="0.25">
      <c r="A1243" s="87"/>
    </row>
    <row r="1244" spans="1:1" x14ac:dyDescent="0.25">
      <c r="A1244" s="87"/>
    </row>
    <row r="1245" spans="1:1" x14ac:dyDescent="0.25">
      <c r="A1245" s="87"/>
    </row>
    <row r="1246" spans="1:1" x14ac:dyDescent="0.25">
      <c r="A1246" s="87"/>
    </row>
    <row r="1247" spans="1:1" x14ac:dyDescent="0.25">
      <c r="A1247" s="87"/>
    </row>
    <row r="1248" spans="1:1" x14ac:dyDescent="0.25">
      <c r="A1248" s="87"/>
    </row>
    <row r="1249" spans="1:1" x14ac:dyDescent="0.25">
      <c r="A1249" s="87"/>
    </row>
    <row r="1250" spans="1:1" x14ac:dyDescent="0.25">
      <c r="A1250" s="87"/>
    </row>
    <row r="1251" spans="1:1" x14ac:dyDescent="0.25">
      <c r="A1251" s="87"/>
    </row>
    <row r="1252" spans="1:1" x14ac:dyDescent="0.25">
      <c r="A1252" s="87"/>
    </row>
    <row r="1253" spans="1:1" x14ac:dyDescent="0.25">
      <c r="A1253" s="87"/>
    </row>
    <row r="1254" spans="1:1" x14ac:dyDescent="0.25">
      <c r="A1254" s="87"/>
    </row>
    <row r="1255" spans="1:1" x14ac:dyDescent="0.25">
      <c r="A1255" s="87"/>
    </row>
    <row r="1256" spans="1:1" x14ac:dyDescent="0.25">
      <c r="A1256" s="87"/>
    </row>
    <row r="1257" spans="1:1" x14ac:dyDescent="0.25">
      <c r="A1257" s="87"/>
    </row>
    <row r="1258" spans="1:1" x14ac:dyDescent="0.25">
      <c r="A1258" s="87"/>
    </row>
    <row r="1259" spans="1:1" x14ac:dyDescent="0.25">
      <c r="A1259" s="87"/>
    </row>
    <row r="1260" spans="1:1" x14ac:dyDescent="0.25">
      <c r="A1260" s="87"/>
    </row>
    <row r="1261" spans="1:1" x14ac:dyDescent="0.25">
      <c r="A1261" s="87"/>
    </row>
    <row r="1262" spans="1:1" x14ac:dyDescent="0.25">
      <c r="A1262" s="87"/>
    </row>
    <row r="1263" spans="1:1" x14ac:dyDescent="0.25">
      <c r="A1263" s="87"/>
    </row>
    <row r="1264" spans="1:1" x14ac:dyDescent="0.25">
      <c r="A1264" s="87"/>
    </row>
    <row r="1265" spans="1:1" x14ac:dyDescent="0.25">
      <c r="A1265" s="87"/>
    </row>
    <row r="1266" spans="1:1" x14ac:dyDescent="0.25">
      <c r="A1266" s="87"/>
    </row>
    <row r="1267" spans="1:1" x14ac:dyDescent="0.25">
      <c r="A1267" s="87"/>
    </row>
    <row r="1268" spans="1:1" x14ac:dyDescent="0.25">
      <c r="A1268" s="87"/>
    </row>
    <row r="1269" spans="1:1" x14ac:dyDescent="0.25">
      <c r="A1269" s="87"/>
    </row>
    <row r="1270" spans="1:1" x14ac:dyDescent="0.25">
      <c r="A1270" s="87"/>
    </row>
    <row r="1271" spans="1:1" x14ac:dyDescent="0.25">
      <c r="A1271" s="87"/>
    </row>
    <row r="1272" spans="1:1" x14ac:dyDescent="0.25">
      <c r="A1272" s="87"/>
    </row>
    <row r="1273" spans="1:1" x14ac:dyDescent="0.25">
      <c r="A1273" s="87"/>
    </row>
    <row r="1274" spans="1:1" x14ac:dyDescent="0.25">
      <c r="A1274" s="87"/>
    </row>
    <row r="1275" spans="1:1" x14ac:dyDescent="0.25">
      <c r="A1275" s="87"/>
    </row>
    <row r="1276" spans="1:1" x14ac:dyDescent="0.25">
      <c r="A1276" s="87"/>
    </row>
    <row r="1277" spans="1:1" x14ac:dyDescent="0.25">
      <c r="A1277" s="87"/>
    </row>
    <row r="1278" spans="1:1" x14ac:dyDescent="0.25">
      <c r="A1278" s="87"/>
    </row>
    <row r="1279" spans="1:1" x14ac:dyDescent="0.25">
      <c r="A1279" s="87"/>
    </row>
    <row r="1280" spans="1:1" x14ac:dyDescent="0.25">
      <c r="A1280" s="87"/>
    </row>
    <row r="1281" spans="1:1" x14ac:dyDescent="0.25">
      <c r="A1281" s="87"/>
    </row>
    <row r="1282" spans="1:1" x14ac:dyDescent="0.25">
      <c r="A1282" s="87"/>
    </row>
    <row r="1283" spans="1:1" x14ac:dyDescent="0.25">
      <c r="A1283" s="87"/>
    </row>
    <row r="1284" spans="1:1" x14ac:dyDescent="0.25">
      <c r="A1284" s="87"/>
    </row>
    <row r="1285" spans="1:1" x14ac:dyDescent="0.25">
      <c r="A1285" s="87"/>
    </row>
    <row r="1286" spans="1:1" x14ac:dyDescent="0.25">
      <c r="A1286" s="87"/>
    </row>
    <row r="1287" spans="1:1" x14ac:dyDescent="0.25">
      <c r="A1287" s="87"/>
    </row>
    <row r="1288" spans="1:1" x14ac:dyDescent="0.25">
      <c r="A1288" s="87"/>
    </row>
    <row r="1289" spans="1:1" x14ac:dyDescent="0.25">
      <c r="A1289" s="87"/>
    </row>
    <row r="1290" spans="1:1" x14ac:dyDescent="0.25">
      <c r="A1290" s="87"/>
    </row>
    <row r="1291" spans="1:1" x14ac:dyDescent="0.25">
      <c r="A1291" s="87"/>
    </row>
    <row r="1292" spans="1:1" x14ac:dyDescent="0.25">
      <c r="A1292" s="87"/>
    </row>
    <row r="1293" spans="1:1" x14ac:dyDescent="0.25">
      <c r="A1293" s="87"/>
    </row>
    <row r="1294" spans="1:1" x14ac:dyDescent="0.25">
      <c r="A1294" s="87"/>
    </row>
    <row r="1295" spans="1:1" x14ac:dyDescent="0.25">
      <c r="A1295" s="87"/>
    </row>
    <row r="1296" spans="1:1" x14ac:dyDescent="0.25">
      <c r="A1296" s="87"/>
    </row>
    <row r="1297" spans="1:1" x14ac:dyDescent="0.25">
      <c r="A1297" s="87"/>
    </row>
    <row r="1298" spans="1:1" x14ac:dyDescent="0.25">
      <c r="A1298" s="87"/>
    </row>
    <row r="1299" spans="1:1" x14ac:dyDescent="0.25">
      <c r="A1299" s="87"/>
    </row>
    <row r="1300" spans="1:1" x14ac:dyDescent="0.25">
      <c r="A1300" s="87"/>
    </row>
    <row r="1301" spans="1:1" x14ac:dyDescent="0.25">
      <c r="A1301" s="87"/>
    </row>
    <row r="1302" spans="1:1" x14ac:dyDescent="0.25">
      <c r="A1302" s="87"/>
    </row>
    <row r="1303" spans="1:1" x14ac:dyDescent="0.25">
      <c r="A1303" s="87"/>
    </row>
    <row r="1304" spans="1:1" x14ac:dyDescent="0.25">
      <c r="A1304" s="87"/>
    </row>
    <row r="1305" spans="1:1" x14ac:dyDescent="0.25">
      <c r="A1305" s="87"/>
    </row>
    <row r="1306" spans="1:1" x14ac:dyDescent="0.25">
      <c r="A1306" s="87"/>
    </row>
    <row r="1307" spans="1:1" x14ac:dyDescent="0.25">
      <c r="A1307" s="87"/>
    </row>
    <row r="1308" spans="1:1" x14ac:dyDescent="0.25">
      <c r="A1308" s="87"/>
    </row>
    <row r="1309" spans="1:1" x14ac:dyDescent="0.25">
      <c r="A1309" s="87"/>
    </row>
    <row r="1310" spans="1:1" x14ac:dyDescent="0.25">
      <c r="A1310" s="87"/>
    </row>
    <row r="1311" spans="1:1" x14ac:dyDescent="0.25">
      <c r="A1311" s="87"/>
    </row>
    <row r="1312" spans="1:1" x14ac:dyDescent="0.25">
      <c r="A1312" s="87"/>
    </row>
    <row r="1313" spans="1:1" x14ac:dyDescent="0.25">
      <c r="A1313" s="87"/>
    </row>
    <row r="1314" spans="1:1" x14ac:dyDescent="0.25">
      <c r="A1314" s="87"/>
    </row>
    <row r="1315" spans="1:1" x14ac:dyDescent="0.25">
      <c r="A1315" s="87"/>
    </row>
    <row r="1316" spans="1:1" x14ac:dyDescent="0.25">
      <c r="A1316" s="87"/>
    </row>
    <row r="1317" spans="1:1" x14ac:dyDescent="0.25">
      <c r="A1317" s="87"/>
    </row>
    <row r="1318" spans="1:1" x14ac:dyDescent="0.25">
      <c r="A1318" s="87"/>
    </row>
    <row r="1319" spans="1:1" x14ac:dyDescent="0.25">
      <c r="A1319" s="87"/>
    </row>
    <row r="1320" spans="1:1" x14ac:dyDescent="0.25">
      <c r="A1320" s="87"/>
    </row>
    <row r="1321" spans="1:1" x14ac:dyDescent="0.25">
      <c r="A1321" s="87"/>
    </row>
    <row r="1322" spans="1:1" x14ac:dyDescent="0.25">
      <c r="A1322" s="87"/>
    </row>
    <row r="1323" spans="1:1" x14ac:dyDescent="0.25">
      <c r="A1323" s="87"/>
    </row>
    <row r="1324" spans="1:1" x14ac:dyDescent="0.25">
      <c r="A1324" s="87"/>
    </row>
    <row r="1325" spans="1:1" x14ac:dyDescent="0.25">
      <c r="A1325" s="87"/>
    </row>
    <row r="1326" spans="1:1" x14ac:dyDescent="0.25">
      <c r="A1326" s="87"/>
    </row>
    <row r="1327" spans="1:1" x14ac:dyDescent="0.25">
      <c r="A1327" s="87"/>
    </row>
    <row r="1328" spans="1:1" x14ac:dyDescent="0.25">
      <c r="A1328" s="87"/>
    </row>
    <row r="1329" spans="1:1" x14ac:dyDescent="0.25">
      <c r="A1329" s="87"/>
    </row>
    <row r="1330" spans="1:1" x14ac:dyDescent="0.25">
      <c r="A1330" s="87"/>
    </row>
    <row r="1331" spans="1:1" x14ac:dyDescent="0.25">
      <c r="A1331" s="87"/>
    </row>
    <row r="1332" spans="1:1" x14ac:dyDescent="0.25">
      <c r="A1332" s="87"/>
    </row>
    <row r="1333" spans="1:1" x14ac:dyDescent="0.25">
      <c r="A1333" s="87"/>
    </row>
    <row r="1334" spans="1:1" x14ac:dyDescent="0.25">
      <c r="A1334" s="87"/>
    </row>
    <row r="1335" spans="1:1" x14ac:dyDescent="0.25">
      <c r="A1335" s="87"/>
    </row>
    <row r="1336" spans="1:1" x14ac:dyDescent="0.25">
      <c r="A1336" s="87"/>
    </row>
    <row r="1337" spans="1:1" x14ac:dyDescent="0.25">
      <c r="A1337" s="87"/>
    </row>
    <row r="1338" spans="1:1" x14ac:dyDescent="0.25">
      <c r="A1338" s="87"/>
    </row>
    <row r="1339" spans="1:1" x14ac:dyDescent="0.25">
      <c r="A1339" s="87"/>
    </row>
    <row r="1340" spans="1:1" x14ac:dyDescent="0.25">
      <c r="A1340" s="87"/>
    </row>
    <row r="1341" spans="1:1" x14ac:dyDescent="0.25">
      <c r="A1341" s="87"/>
    </row>
    <row r="1342" spans="1:1" x14ac:dyDescent="0.25">
      <c r="A1342" s="87"/>
    </row>
    <row r="1343" spans="1:1" x14ac:dyDescent="0.25">
      <c r="A1343" s="87"/>
    </row>
    <row r="1344" spans="1:1" x14ac:dyDescent="0.25">
      <c r="A1344" s="87"/>
    </row>
    <row r="1345" spans="1:1" x14ac:dyDescent="0.25">
      <c r="A1345" s="87"/>
    </row>
    <row r="1346" spans="1:1" x14ac:dyDescent="0.25">
      <c r="A1346" s="87"/>
    </row>
    <row r="1347" spans="1:1" x14ac:dyDescent="0.25">
      <c r="A1347" s="87"/>
    </row>
    <row r="1348" spans="1:1" x14ac:dyDescent="0.25">
      <c r="A1348" s="87"/>
    </row>
    <row r="1349" spans="1:1" x14ac:dyDescent="0.25">
      <c r="A1349" s="87"/>
    </row>
    <row r="1350" spans="1:1" x14ac:dyDescent="0.25">
      <c r="A1350" s="87"/>
    </row>
    <row r="1351" spans="1:1" x14ac:dyDescent="0.25">
      <c r="A1351" s="87"/>
    </row>
    <row r="1352" spans="1:1" x14ac:dyDescent="0.25">
      <c r="A1352" s="87"/>
    </row>
    <row r="1353" spans="1:1" x14ac:dyDescent="0.25">
      <c r="A1353" s="87"/>
    </row>
    <row r="1354" spans="1:1" x14ac:dyDescent="0.25">
      <c r="A1354" s="87"/>
    </row>
    <row r="1355" spans="1:1" x14ac:dyDescent="0.25">
      <c r="A1355" s="87"/>
    </row>
    <row r="1356" spans="1:1" x14ac:dyDescent="0.25">
      <c r="A1356" s="87"/>
    </row>
    <row r="1357" spans="1:1" x14ac:dyDescent="0.25">
      <c r="A1357" s="87"/>
    </row>
    <row r="1358" spans="1:1" x14ac:dyDescent="0.25">
      <c r="A1358" s="87"/>
    </row>
    <row r="1359" spans="1:1" x14ac:dyDescent="0.25">
      <c r="A1359" s="87"/>
    </row>
    <row r="1360" spans="1:1" x14ac:dyDescent="0.25">
      <c r="A1360" s="87"/>
    </row>
    <row r="1361" spans="1:1" x14ac:dyDescent="0.25">
      <c r="A1361" s="87"/>
    </row>
    <row r="1362" spans="1:1" x14ac:dyDescent="0.25">
      <c r="A1362" s="87"/>
    </row>
    <row r="1363" spans="1:1" x14ac:dyDescent="0.25">
      <c r="A1363" s="87"/>
    </row>
    <row r="1364" spans="1:1" x14ac:dyDescent="0.25">
      <c r="A1364" s="87"/>
    </row>
    <row r="1365" spans="1:1" x14ac:dyDescent="0.25">
      <c r="A1365" s="87"/>
    </row>
    <row r="1366" spans="1:1" x14ac:dyDescent="0.25">
      <c r="A1366" s="87"/>
    </row>
    <row r="1367" spans="1:1" x14ac:dyDescent="0.25">
      <c r="A1367" s="87"/>
    </row>
    <row r="1368" spans="1:1" x14ac:dyDescent="0.25">
      <c r="A1368" s="87"/>
    </row>
    <row r="1369" spans="1:1" x14ac:dyDescent="0.25">
      <c r="A1369" s="87"/>
    </row>
    <row r="1370" spans="1:1" x14ac:dyDescent="0.25">
      <c r="A1370" s="87"/>
    </row>
    <row r="1371" spans="1:1" x14ac:dyDescent="0.25">
      <c r="A1371" s="87"/>
    </row>
    <row r="1372" spans="1:1" x14ac:dyDescent="0.25">
      <c r="A1372" s="87"/>
    </row>
    <row r="1373" spans="1:1" x14ac:dyDescent="0.25">
      <c r="A1373" s="87"/>
    </row>
    <row r="1374" spans="1:1" x14ac:dyDescent="0.25">
      <c r="A1374" s="87"/>
    </row>
    <row r="1375" spans="1:1" x14ac:dyDescent="0.25">
      <c r="A1375" s="87"/>
    </row>
    <row r="1376" spans="1:1" x14ac:dyDescent="0.25">
      <c r="A1376" s="87"/>
    </row>
    <row r="1377" spans="1:1" x14ac:dyDescent="0.25">
      <c r="A1377" s="87"/>
    </row>
    <row r="1378" spans="1:1" x14ac:dyDescent="0.25">
      <c r="A1378" s="87"/>
    </row>
    <row r="1379" spans="1:1" x14ac:dyDescent="0.25">
      <c r="A1379" s="87"/>
    </row>
    <row r="1380" spans="1:1" x14ac:dyDescent="0.25">
      <c r="A1380" s="87"/>
    </row>
    <row r="1381" spans="1:1" x14ac:dyDescent="0.25">
      <c r="A1381" s="87"/>
    </row>
    <row r="1382" spans="1:1" x14ac:dyDescent="0.25">
      <c r="A1382" s="87"/>
    </row>
    <row r="1383" spans="1:1" x14ac:dyDescent="0.25">
      <c r="A1383" s="87"/>
    </row>
    <row r="1384" spans="1:1" x14ac:dyDescent="0.25">
      <c r="A1384" s="87"/>
    </row>
    <row r="1385" spans="1:1" x14ac:dyDescent="0.25">
      <c r="A1385" s="87"/>
    </row>
    <row r="1386" spans="1:1" x14ac:dyDescent="0.25">
      <c r="A1386" s="87"/>
    </row>
    <row r="1387" spans="1:1" x14ac:dyDescent="0.25">
      <c r="A1387" s="87"/>
    </row>
    <row r="1388" spans="1:1" x14ac:dyDescent="0.25">
      <c r="A1388" s="87"/>
    </row>
    <row r="1389" spans="1:1" x14ac:dyDescent="0.25">
      <c r="A1389" s="87"/>
    </row>
    <row r="1390" spans="1:1" x14ac:dyDescent="0.25">
      <c r="A1390" s="87"/>
    </row>
    <row r="1391" spans="1:1" x14ac:dyDescent="0.25">
      <c r="A1391" s="87"/>
    </row>
    <row r="1392" spans="1:1" x14ac:dyDescent="0.25">
      <c r="A1392" s="87"/>
    </row>
    <row r="1393" spans="1:1" x14ac:dyDescent="0.25">
      <c r="A1393" s="87"/>
    </row>
    <row r="1394" spans="1:1" x14ac:dyDescent="0.25">
      <c r="A1394" s="87"/>
    </row>
    <row r="1395" spans="1:1" x14ac:dyDescent="0.25">
      <c r="A1395" s="87"/>
    </row>
    <row r="1396" spans="1:1" x14ac:dyDescent="0.25">
      <c r="A1396" s="87"/>
    </row>
    <row r="1397" spans="1:1" x14ac:dyDescent="0.25">
      <c r="A1397" s="87"/>
    </row>
    <row r="1398" spans="1:1" x14ac:dyDescent="0.25">
      <c r="A1398" s="87"/>
    </row>
    <row r="1399" spans="1:1" x14ac:dyDescent="0.25">
      <c r="A1399" s="87"/>
    </row>
    <row r="1400" spans="1:1" x14ac:dyDescent="0.25">
      <c r="A1400" s="87"/>
    </row>
    <row r="1401" spans="1:1" x14ac:dyDescent="0.25">
      <c r="A1401" s="87"/>
    </row>
    <row r="1402" spans="1:1" x14ac:dyDescent="0.25">
      <c r="A1402" s="87"/>
    </row>
    <row r="1403" spans="1:1" x14ac:dyDescent="0.25">
      <c r="A1403" s="87"/>
    </row>
    <row r="1404" spans="1:1" x14ac:dyDescent="0.25">
      <c r="A1404" s="87"/>
    </row>
    <row r="1405" spans="1:1" x14ac:dyDescent="0.25">
      <c r="A1405" s="87"/>
    </row>
    <row r="1406" spans="1:1" x14ac:dyDescent="0.25">
      <c r="A1406" s="87"/>
    </row>
    <row r="1407" spans="1:1" x14ac:dyDescent="0.25">
      <c r="A1407" s="87"/>
    </row>
    <row r="1408" spans="1:1" x14ac:dyDescent="0.25">
      <c r="A1408" s="87"/>
    </row>
    <row r="1409" spans="1:1" x14ac:dyDescent="0.25">
      <c r="A1409" s="87"/>
    </row>
    <row r="1410" spans="1:1" x14ac:dyDescent="0.25">
      <c r="A1410" s="87"/>
    </row>
    <row r="1411" spans="1:1" x14ac:dyDescent="0.25">
      <c r="A1411" s="87"/>
    </row>
    <row r="1412" spans="1:1" x14ac:dyDescent="0.25">
      <c r="A1412" s="87"/>
    </row>
    <row r="1413" spans="1:1" x14ac:dyDescent="0.25">
      <c r="A1413" s="87"/>
    </row>
    <row r="1414" spans="1:1" x14ac:dyDescent="0.25">
      <c r="A1414" s="87"/>
    </row>
    <row r="1415" spans="1:1" x14ac:dyDescent="0.25">
      <c r="A1415" s="87"/>
    </row>
    <row r="1416" spans="1:1" x14ac:dyDescent="0.25">
      <c r="A1416" s="87"/>
    </row>
    <row r="1417" spans="1:1" x14ac:dyDescent="0.25">
      <c r="A1417" s="87"/>
    </row>
    <row r="1418" spans="1:1" x14ac:dyDescent="0.25">
      <c r="A1418" s="87"/>
    </row>
    <row r="1419" spans="1:1" x14ac:dyDescent="0.25">
      <c r="A1419" s="87"/>
    </row>
    <row r="1420" spans="1:1" x14ac:dyDescent="0.25">
      <c r="A1420" s="87"/>
    </row>
    <row r="1421" spans="1:1" x14ac:dyDescent="0.25">
      <c r="A1421" s="87"/>
    </row>
    <row r="1422" spans="1:1" x14ac:dyDescent="0.25">
      <c r="A1422" s="87"/>
    </row>
    <row r="1423" spans="1:1" x14ac:dyDescent="0.25">
      <c r="A1423" s="87"/>
    </row>
    <row r="1424" spans="1:1" x14ac:dyDescent="0.25">
      <c r="A1424" s="87"/>
    </row>
    <row r="1425" spans="1:1" x14ac:dyDescent="0.25">
      <c r="A1425" s="87"/>
    </row>
    <row r="1426" spans="1:1" x14ac:dyDescent="0.25">
      <c r="A1426" s="87"/>
    </row>
    <row r="1427" spans="1:1" x14ac:dyDescent="0.25">
      <c r="A1427" s="87"/>
    </row>
    <row r="1428" spans="1:1" x14ac:dyDescent="0.25">
      <c r="A1428" s="87"/>
    </row>
    <row r="1429" spans="1:1" x14ac:dyDescent="0.25">
      <c r="A1429" s="87"/>
    </row>
    <row r="1430" spans="1:1" x14ac:dyDescent="0.25">
      <c r="A1430" s="87"/>
    </row>
    <row r="1431" spans="1:1" x14ac:dyDescent="0.25">
      <c r="A1431" s="87"/>
    </row>
    <row r="1432" spans="1:1" x14ac:dyDescent="0.25">
      <c r="A1432" s="87"/>
    </row>
    <row r="1433" spans="1:1" x14ac:dyDescent="0.25">
      <c r="A1433" s="87"/>
    </row>
    <row r="1434" spans="1:1" x14ac:dyDescent="0.25">
      <c r="A1434" s="87"/>
    </row>
    <row r="1435" spans="1:1" x14ac:dyDescent="0.25">
      <c r="A1435" s="87"/>
    </row>
    <row r="1436" spans="1:1" x14ac:dyDescent="0.25">
      <c r="A1436" s="87"/>
    </row>
    <row r="1437" spans="1:1" x14ac:dyDescent="0.25">
      <c r="A1437" s="87"/>
    </row>
    <row r="1438" spans="1:1" x14ac:dyDescent="0.25">
      <c r="A1438" s="87"/>
    </row>
    <row r="1439" spans="1:1" x14ac:dyDescent="0.25">
      <c r="A1439" s="87"/>
    </row>
    <row r="1440" spans="1:1" x14ac:dyDescent="0.25">
      <c r="A1440" s="87"/>
    </row>
    <row r="1441" spans="1:1" x14ac:dyDescent="0.25">
      <c r="A1441" s="87"/>
    </row>
    <row r="1442" spans="1:1" x14ac:dyDescent="0.25">
      <c r="A1442" s="87"/>
    </row>
    <row r="1443" spans="1:1" x14ac:dyDescent="0.25">
      <c r="A1443" s="87"/>
    </row>
    <row r="1444" spans="1:1" x14ac:dyDescent="0.25">
      <c r="A1444" s="87"/>
    </row>
    <row r="1445" spans="1:1" x14ac:dyDescent="0.25">
      <c r="A1445" s="87"/>
    </row>
    <row r="1446" spans="1:1" x14ac:dyDescent="0.25">
      <c r="A1446" s="87"/>
    </row>
    <row r="1447" spans="1:1" x14ac:dyDescent="0.25">
      <c r="A1447" s="87"/>
    </row>
    <row r="1448" spans="1:1" x14ac:dyDescent="0.25">
      <c r="A1448" s="87"/>
    </row>
    <row r="1449" spans="1:1" x14ac:dyDescent="0.25">
      <c r="A1449" s="87"/>
    </row>
    <row r="1450" spans="1:1" x14ac:dyDescent="0.25">
      <c r="A1450" s="87"/>
    </row>
    <row r="1451" spans="1:1" x14ac:dyDescent="0.25">
      <c r="A1451" s="87"/>
    </row>
    <row r="1452" spans="1:1" x14ac:dyDescent="0.25">
      <c r="A1452" s="87"/>
    </row>
    <row r="1453" spans="1:1" x14ac:dyDescent="0.25">
      <c r="A1453" s="87"/>
    </row>
    <row r="1454" spans="1:1" x14ac:dyDescent="0.25">
      <c r="A1454" s="87"/>
    </row>
    <row r="1455" spans="1:1" x14ac:dyDescent="0.25">
      <c r="A1455" s="87"/>
    </row>
    <row r="1456" spans="1:1" x14ac:dyDescent="0.25">
      <c r="A1456" s="87"/>
    </row>
    <row r="1457" spans="1:1" x14ac:dyDescent="0.25">
      <c r="A1457" s="87"/>
    </row>
    <row r="1458" spans="1:1" x14ac:dyDescent="0.25">
      <c r="A1458" s="87"/>
    </row>
    <row r="1459" spans="1:1" x14ac:dyDescent="0.25">
      <c r="A1459" s="87"/>
    </row>
    <row r="1460" spans="1:1" x14ac:dyDescent="0.25">
      <c r="A1460" s="87"/>
    </row>
    <row r="1461" spans="1:1" x14ac:dyDescent="0.25">
      <c r="A1461" s="87"/>
    </row>
    <row r="1462" spans="1:1" x14ac:dyDescent="0.25">
      <c r="A1462" s="87"/>
    </row>
    <row r="1463" spans="1:1" x14ac:dyDescent="0.25">
      <c r="A1463" s="87"/>
    </row>
    <row r="1464" spans="1:1" x14ac:dyDescent="0.25">
      <c r="A1464" s="87"/>
    </row>
    <row r="1465" spans="1:1" x14ac:dyDescent="0.25">
      <c r="A1465" s="87"/>
    </row>
    <row r="1466" spans="1:1" x14ac:dyDescent="0.25">
      <c r="A1466" s="87"/>
    </row>
    <row r="1467" spans="1:1" x14ac:dyDescent="0.25">
      <c r="A1467" s="87"/>
    </row>
    <row r="1468" spans="1:1" x14ac:dyDescent="0.25">
      <c r="A1468" s="87"/>
    </row>
    <row r="1469" spans="1:1" x14ac:dyDescent="0.25">
      <c r="A1469" s="87"/>
    </row>
    <row r="1470" spans="1:1" x14ac:dyDescent="0.25">
      <c r="A1470" s="87"/>
    </row>
    <row r="1471" spans="1:1" x14ac:dyDescent="0.25">
      <c r="A1471" s="87"/>
    </row>
    <row r="1472" spans="1:1" x14ac:dyDescent="0.25">
      <c r="A1472" s="87"/>
    </row>
    <row r="1473" spans="1:1" x14ac:dyDescent="0.25">
      <c r="A1473" s="87"/>
    </row>
    <row r="1474" spans="1:1" x14ac:dyDescent="0.25">
      <c r="A1474" s="87"/>
    </row>
    <row r="1475" spans="1:1" x14ac:dyDescent="0.25">
      <c r="A1475" s="87"/>
    </row>
    <row r="1476" spans="1:1" x14ac:dyDescent="0.25">
      <c r="A1476" s="87"/>
    </row>
    <row r="1477" spans="1:1" x14ac:dyDescent="0.25">
      <c r="A1477" s="87"/>
    </row>
    <row r="1478" spans="1:1" x14ac:dyDescent="0.25">
      <c r="A1478" s="87"/>
    </row>
    <row r="1479" spans="1:1" x14ac:dyDescent="0.25">
      <c r="A1479" s="87"/>
    </row>
    <row r="1480" spans="1:1" x14ac:dyDescent="0.25">
      <c r="A1480" s="87"/>
    </row>
    <row r="1481" spans="1:1" x14ac:dyDescent="0.25">
      <c r="A1481" s="87"/>
    </row>
    <row r="1482" spans="1:1" x14ac:dyDescent="0.25">
      <c r="A1482" s="87"/>
    </row>
    <row r="1483" spans="1:1" x14ac:dyDescent="0.25">
      <c r="A1483" s="87"/>
    </row>
    <row r="1484" spans="1:1" x14ac:dyDescent="0.25">
      <c r="A1484" s="87"/>
    </row>
    <row r="1485" spans="1:1" x14ac:dyDescent="0.25">
      <c r="A1485" s="87"/>
    </row>
    <row r="1486" spans="1:1" x14ac:dyDescent="0.25">
      <c r="A1486" s="87"/>
    </row>
    <row r="1487" spans="1:1" x14ac:dyDescent="0.25">
      <c r="A1487" s="87"/>
    </row>
    <row r="1488" spans="1:1" x14ac:dyDescent="0.25">
      <c r="A1488" s="87"/>
    </row>
    <row r="1489" spans="1:1" x14ac:dyDescent="0.25">
      <c r="A1489" s="87"/>
    </row>
    <row r="1490" spans="1:1" x14ac:dyDescent="0.25">
      <c r="A1490" s="87"/>
    </row>
    <row r="1491" spans="1:1" x14ac:dyDescent="0.25">
      <c r="A1491" s="87"/>
    </row>
    <row r="1492" spans="1:1" x14ac:dyDescent="0.25">
      <c r="A1492" s="87"/>
    </row>
    <row r="1493" spans="1:1" x14ac:dyDescent="0.25">
      <c r="A1493" s="87"/>
    </row>
    <row r="1494" spans="1:1" x14ac:dyDescent="0.25">
      <c r="A1494" s="87"/>
    </row>
    <row r="1495" spans="1:1" x14ac:dyDescent="0.25">
      <c r="A1495" s="87"/>
    </row>
    <row r="1496" spans="1:1" x14ac:dyDescent="0.25">
      <c r="A1496" s="87"/>
    </row>
    <row r="1497" spans="1:1" x14ac:dyDescent="0.25">
      <c r="A1497" s="87"/>
    </row>
    <row r="1498" spans="1:1" x14ac:dyDescent="0.25">
      <c r="A1498" s="87"/>
    </row>
    <row r="1499" spans="1:1" x14ac:dyDescent="0.25">
      <c r="A1499" s="87"/>
    </row>
    <row r="1500" spans="1:1" x14ac:dyDescent="0.25">
      <c r="A1500" s="87"/>
    </row>
    <row r="1501" spans="1:1" x14ac:dyDescent="0.25">
      <c r="A1501" s="87"/>
    </row>
    <row r="1502" spans="1:1" x14ac:dyDescent="0.25">
      <c r="A1502" s="87"/>
    </row>
    <row r="1503" spans="1:1" x14ac:dyDescent="0.25">
      <c r="A1503" s="87"/>
    </row>
    <row r="1504" spans="1:1" x14ac:dyDescent="0.25">
      <c r="A1504" s="87"/>
    </row>
    <row r="1505" spans="1:1" x14ac:dyDescent="0.25">
      <c r="A1505" s="87"/>
    </row>
    <row r="1506" spans="1:1" x14ac:dyDescent="0.25">
      <c r="A1506" s="87"/>
    </row>
    <row r="1507" spans="1:1" x14ac:dyDescent="0.25">
      <c r="A1507" s="87"/>
    </row>
    <row r="1508" spans="1:1" x14ac:dyDescent="0.25">
      <c r="A1508" s="87"/>
    </row>
    <row r="1509" spans="1:1" x14ac:dyDescent="0.25">
      <c r="A1509" s="87"/>
    </row>
    <row r="1510" spans="1:1" x14ac:dyDescent="0.25">
      <c r="A1510" s="87"/>
    </row>
    <row r="1511" spans="1:1" x14ac:dyDescent="0.25">
      <c r="A1511" s="87"/>
    </row>
    <row r="1512" spans="1:1" x14ac:dyDescent="0.25">
      <c r="A1512" s="87"/>
    </row>
    <row r="1513" spans="1:1" x14ac:dyDescent="0.25">
      <c r="A1513" s="87"/>
    </row>
    <row r="1514" spans="1:1" x14ac:dyDescent="0.25">
      <c r="A1514" s="87"/>
    </row>
    <row r="1515" spans="1:1" x14ac:dyDescent="0.25">
      <c r="A1515" s="87"/>
    </row>
    <row r="1516" spans="1:1" x14ac:dyDescent="0.25">
      <c r="A1516" s="87"/>
    </row>
    <row r="1517" spans="1:1" x14ac:dyDescent="0.25">
      <c r="A1517" s="87"/>
    </row>
    <row r="1518" spans="1:1" x14ac:dyDescent="0.25">
      <c r="A1518" s="87"/>
    </row>
    <row r="1519" spans="1:1" x14ac:dyDescent="0.25">
      <c r="A1519" s="87"/>
    </row>
    <row r="1520" spans="1:1" x14ac:dyDescent="0.25">
      <c r="A1520" s="87"/>
    </row>
    <row r="1521" spans="1:1" x14ac:dyDescent="0.25">
      <c r="A1521" s="87"/>
    </row>
    <row r="1522" spans="1:1" x14ac:dyDescent="0.25">
      <c r="A1522" s="87"/>
    </row>
    <row r="1523" spans="1:1" x14ac:dyDescent="0.25">
      <c r="A1523" s="87"/>
    </row>
    <row r="1524" spans="1:1" x14ac:dyDescent="0.25">
      <c r="A1524" s="87"/>
    </row>
    <row r="1525" spans="1:1" x14ac:dyDescent="0.25">
      <c r="A1525" s="87"/>
    </row>
    <row r="1526" spans="1:1" x14ac:dyDescent="0.25">
      <c r="A1526" s="87"/>
    </row>
    <row r="1527" spans="1:1" x14ac:dyDescent="0.25">
      <c r="A1527" s="87"/>
    </row>
    <row r="1528" spans="1:1" x14ac:dyDescent="0.25">
      <c r="A1528" s="87"/>
    </row>
    <row r="1529" spans="1:1" x14ac:dyDescent="0.25">
      <c r="A1529" s="87"/>
    </row>
    <row r="1530" spans="1:1" x14ac:dyDescent="0.25">
      <c r="A1530" s="87"/>
    </row>
    <row r="1531" spans="1:1" x14ac:dyDescent="0.25">
      <c r="A1531" s="87"/>
    </row>
    <row r="1532" spans="1:1" x14ac:dyDescent="0.25">
      <c r="A1532" s="87"/>
    </row>
    <row r="1533" spans="1:1" x14ac:dyDescent="0.25">
      <c r="A1533" s="87"/>
    </row>
    <row r="1534" spans="1:1" x14ac:dyDescent="0.25">
      <c r="A1534" s="87"/>
    </row>
    <row r="1535" spans="1:1" x14ac:dyDescent="0.25">
      <c r="A1535" s="87"/>
    </row>
    <row r="1536" spans="1:1" x14ac:dyDescent="0.25">
      <c r="A1536" s="87"/>
    </row>
    <row r="1537" spans="1:1" x14ac:dyDescent="0.25">
      <c r="A1537" s="87"/>
    </row>
    <row r="1538" spans="1:1" x14ac:dyDescent="0.25">
      <c r="A1538" s="87"/>
    </row>
    <row r="1539" spans="1:1" x14ac:dyDescent="0.25">
      <c r="A1539" s="87"/>
    </row>
    <row r="1540" spans="1:1" x14ac:dyDescent="0.25">
      <c r="A1540" s="87"/>
    </row>
    <row r="1541" spans="1:1" x14ac:dyDescent="0.25">
      <c r="A1541" s="87"/>
    </row>
    <row r="1542" spans="1:1" x14ac:dyDescent="0.25">
      <c r="A1542" s="87"/>
    </row>
    <row r="1543" spans="1:1" x14ac:dyDescent="0.25">
      <c r="A1543" s="87"/>
    </row>
    <row r="1544" spans="1:1" x14ac:dyDescent="0.25">
      <c r="A1544" s="87"/>
    </row>
    <row r="1545" spans="1:1" x14ac:dyDescent="0.25">
      <c r="A1545" s="87"/>
    </row>
    <row r="1546" spans="1:1" x14ac:dyDescent="0.25">
      <c r="A1546" s="87"/>
    </row>
    <row r="1547" spans="1:1" x14ac:dyDescent="0.25">
      <c r="A1547" s="87"/>
    </row>
    <row r="1548" spans="1:1" x14ac:dyDescent="0.25">
      <c r="A1548" s="87"/>
    </row>
    <row r="1549" spans="1:1" x14ac:dyDescent="0.25">
      <c r="A1549" s="87"/>
    </row>
    <row r="1550" spans="1:1" x14ac:dyDescent="0.25">
      <c r="A1550" s="87"/>
    </row>
    <row r="1551" spans="1:1" x14ac:dyDescent="0.25">
      <c r="A1551" s="87"/>
    </row>
    <row r="1552" spans="1:1" x14ac:dyDescent="0.25">
      <c r="A1552" s="87"/>
    </row>
    <row r="1553" spans="1:1" x14ac:dyDescent="0.25">
      <c r="A1553" s="87"/>
    </row>
    <row r="1554" spans="1:1" x14ac:dyDescent="0.25">
      <c r="A1554" s="87"/>
    </row>
    <row r="1555" spans="1:1" x14ac:dyDescent="0.25">
      <c r="A1555" s="87"/>
    </row>
    <row r="1556" spans="1:1" x14ac:dyDescent="0.25">
      <c r="A1556" s="87"/>
    </row>
    <row r="1557" spans="1:1" x14ac:dyDescent="0.25">
      <c r="A1557" s="87"/>
    </row>
    <row r="1558" spans="1:1" x14ac:dyDescent="0.25">
      <c r="A1558" s="87"/>
    </row>
    <row r="1559" spans="1:1" x14ac:dyDescent="0.25">
      <c r="A1559" s="87"/>
    </row>
    <row r="1560" spans="1:1" x14ac:dyDescent="0.25">
      <c r="A1560" s="87"/>
    </row>
    <row r="1561" spans="1:1" x14ac:dyDescent="0.25">
      <c r="A1561" s="87"/>
    </row>
    <row r="1562" spans="1:1" x14ac:dyDescent="0.25">
      <c r="A1562" s="87"/>
    </row>
    <row r="1563" spans="1:1" x14ac:dyDescent="0.25">
      <c r="A1563" s="87"/>
    </row>
    <row r="1564" spans="1:1" x14ac:dyDescent="0.25">
      <c r="A1564" s="87"/>
    </row>
    <row r="1565" spans="1:1" x14ac:dyDescent="0.25">
      <c r="A1565" s="87"/>
    </row>
    <row r="1566" spans="1:1" x14ac:dyDescent="0.25">
      <c r="A1566" s="87"/>
    </row>
    <row r="1567" spans="1:1" x14ac:dyDescent="0.25">
      <c r="A1567" s="87"/>
    </row>
    <row r="1568" spans="1:1" x14ac:dyDescent="0.25">
      <c r="A1568" s="87"/>
    </row>
    <row r="1569" spans="1:1" x14ac:dyDescent="0.25">
      <c r="A1569" s="87"/>
    </row>
    <row r="1570" spans="1:1" x14ac:dyDescent="0.25">
      <c r="A1570" s="87"/>
    </row>
    <row r="1571" spans="1:1" x14ac:dyDescent="0.25">
      <c r="A1571" s="87"/>
    </row>
    <row r="1572" spans="1:1" x14ac:dyDescent="0.25">
      <c r="A1572" s="87"/>
    </row>
    <row r="1573" spans="1:1" x14ac:dyDescent="0.25">
      <c r="A1573" s="87"/>
    </row>
    <row r="1574" spans="1:1" x14ac:dyDescent="0.25">
      <c r="A1574" s="87"/>
    </row>
    <row r="1575" spans="1:1" x14ac:dyDescent="0.25">
      <c r="A1575" s="87"/>
    </row>
    <row r="1576" spans="1:1" x14ac:dyDescent="0.25">
      <c r="A1576" s="87"/>
    </row>
    <row r="1577" spans="1:1" x14ac:dyDescent="0.25">
      <c r="A1577" s="87"/>
    </row>
    <row r="1578" spans="1:1" x14ac:dyDescent="0.25">
      <c r="A1578" s="87"/>
    </row>
    <row r="1579" spans="1:1" x14ac:dyDescent="0.25">
      <c r="A1579" s="87"/>
    </row>
    <row r="1580" spans="1:1" x14ac:dyDescent="0.25">
      <c r="A1580" s="87"/>
    </row>
    <row r="1581" spans="1:1" x14ac:dyDescent="0.25">
      <c r="A1581" s="87"/>
    </row>
    <row r="1582" spans="1:1" x14ac:dyDescent="0.25">
      <c r="A1582" s="87"/>
    </row>
    <row r="1583" spans="1:1" x14ac:dyDescent="0.25">
      <c r="A1583" s="87"/>
    </row>
    <row r="1584" spans="1:1" x14ac:dyDescent="0.25">
      <c r="A1584" s="87"/>
    </row>
    <row r="1585" spans="1:1" x14ac:dyDescent="0.25">
      <c r="A1585" s="87"/>
    </row>
    <row r="1586" spans="1:1" x14ac:dyDescent="0.25">
      <c r="A1586" s="87"/>
    </row>
    <row r="1587" spans="1:1" x14ac:dyDescent="0.25">
      <c r="A1587" s="87"/>
    </row>
    <row r="1588" spans="1:1" x14ac:dyDescent="0.25">
      <c r="A1588" s="87"/>
    </row>
    <row r="1589" spans="1:1" x14ac:dyDescent="0.25">
      <c r="A1589" s="87"/>
    </row>
    <row r="1590" spans="1:1" x14ac:dyDescent="0.25">
      <c r="A1590" s="87"/>
    </row>
    <row r="1591" spans="1:1" x14ac:dyDescent="0.25">
      <c r="A1591" s="87"/>
    </row>
    <row r="1592" spans="1:1" x14ac:dyDescent="0.25">
      <c r="A1592" s="87"/>
    </row>
    <row r="1593" spans="1:1" x14ac:dyDescent="0.25">
      <c r="A1593" s="87"/>
    </row>
    <row r="1594" spans="1:1" x14ac:dyDescent="0.25">
      <c r="A1594" s="87"/>
    </row>
    <row r="1595" spans="1:1" x14ac:dyDescent="0.25">
      <c r="A1595" s="87"/>
    </row>
    <row r="1596" spans="1:1" x14ac:dyDescent="0.25">
      <c r="A1596" s="87"/>
    </row>
    <row r="1597" spans="1:1" x14ac:dyDescent="0.25">
      <c r="A1597" s="87"/>
    </row>
    <row r="1598" spans="1:1" x14ac:dyDescent="0.25">
      <c r="A1598" s="87"/>
    </row>
    <row r="1599" spans="1:1" x14ac:dyDescent="0.25">
      <c r="A1599" s="87"/>
    </row>
    <row r="1600" spans="1:1" x14ac:dyDescent="0.25">
      <c r="A1600" s="87"/>
    </row>
    <row r="1601" spans="1:1" x14ac:dyDescent="0.25">
      <c r="A1601" s="87"/>
    </row>
    <row r="1602" spans="1:1" x14ac:dyDescent="0.25">
      <c r="A1602" s="87"/>
    </row>
    <row r="1603" spans="1:1" x14ac:dyDescent="0.25">
      <c r="A1603" s="87"/>
    </row>
    <row r="1604" spans="1:1" x14ac:dyDescent="0.25">
      <c r="A1604" s="87"/>
    </row>
    <row r="1605" spans="1:1" x14ac:dyDescent="0.25">
      <c r="A1605" s="87"/>
    </row>
    <row r="1606" spans="1:1" x14ac:dyDescent="0.25">
      <c r="A1606" s="87"/>
    </row>
    <row r="1607" spans="1:1" x14ac:dyDescent="0.25">
      <c r="A1607" s="87"/>
    </row>
    <row r="1608" spans="1:1" x14ac:dyDescent="0.25">
      <c r="A1608" s="87"/>
    </row>
    <row r="1609" spans="1:1" x14ac:dyDescent="0.25">
      <c r="A1609" s="87"/>
    </row>
    <row r="1610" spans="1:1" x14ac:dyDescent="0.25">
      <c r="A1610" s="87"/>
    </row>
    <row r="1611" spans="1:1" x14ac:dyDescent="0.25">
      <c r="A1611" s="87"/>
    </row>
    <row r="1612" spans="1:1" x14ac:dyDescent="0.25">
      <c r="A1612" s="87"/>
    </row>
    <row r="1613" spans="1:1" x14ac:dyDescent="0.25">
      <c r="A1613" s="87"/>
    </row>
    <row r="1614" spans="1:1" x14ac:dyDescent="0.25">
      <c r="A1614" s="87"/>
    </row>
    <row r="1615" spans="1:1" x14ac:dyDescent="0.25">
      <c r="A1615" s="87"/>
    </row>
    <row r="1616" spans="1:1" x14ac:dyDescent="0.25">
      <c r="A1616" s="87"/>
    </row>
    <row r="1617" spans="1:1" x14ac:dyDescent="0.25">
      <c r="A1617" s="87"/>
    </row>
    <row r="1618" spans="1:1" x14ac:dyDescent="0.25">
      <c r="A1618" s="87"/>
    </row>
    <row r="1619" spans="1:1" x14ac:dyDescent="0.25">
      <c r="A1619" s="87"/>
    </row>
    <row r="1620" spans="1:1" x14ac:dyDescent="0.25">
      <c r="A1620" s="87"/>
    </row>
    <row r="1621" spans="1:1" x14ac:dyDescent="0.25">
      <c r="A1621" s="87"/>
    </row>
    <row r="1622" spans="1:1" x14ac:dyDescent="0.25">
      <c r="A1622" s="87"/>
    </row>
    <row r="1623" spans="1:1" x14ac:dyDescent="0.25">
      <c r="A1623" s="87"/>
    </row>
    <row r="1624" spans="1:1" x14ac:dyDescent="0.25">
      <c r="A1624" s="87"/>
    </row>
    <row r="1625" spans="1:1" x14ac:dyDescent="0.25">
      <c r="A1625" s="87"/>
    </row>
    <row r="1626" spans="1:1" x14ac:dyDescent="0.25">
      <c r="A1626" s="87"/>
    </row>
    <row r="1627" spans="1:1" x14ac:dyDescent="0.25">
      <c r="A1627" s="87"/>
    </row>
    <row r="1628" spans="1:1" x14ac:dyDescent="0.25">
      <c r="A1628" s="87"/>
    </row>
    <row r="1629" spans="1:1" x14ac:dyDescent="0.25">
      <c r="A1629" s="87"/>
    </row>
    <row r="1630" spans="1:1" x14ac:dyDescent="0.25">
      <c r="A1630" s="87"/>
    </row>
    <row r="1631" spans="1:1" x14ac:dyDescent="0.25">
      <c r="A1631" s="87"/>
    </row>
    <row r="1632" spans="1:1" x14ac:dyDescent="0.25">
      <c r="A1632" s="87"/>
    </row>
    <row r="1633" spans="1:1" x14ac:dyDescent="0.25">
      <c r="A1633" s="87"/>
    </row>
    <row r="1634" spans="1:1" x14ac:dyDescent="0.25">
      <c r="A1634" s="87"/>
    </row>
    <row r="1635" spans="1:1" x14ac:dyDescent="0.25">
      <c r="A1635" s="87"/>
    </row>
    <row r="1636" spans="1:1" x14ac:dyDescent="0.25">
      <c r="A1636" s="87"/>
    </row>
    <row r="1637" spans="1:1" x14ac:dyDescent="0.25">
      <c r="A1637" s="87"/>
    </row>
    <row r="1638" spans="1:1" x14ac:dyDescent="0.25">
      <c r="A1638" s="87"/>
    </row>
    <row r="1639" spans="1:1" x14ac:dyDescent="0.25">
      <c r="A1639" s="87"/>
    </row>
    <row r="1640" spans="1:1" x14ac:dyDescent="0.25">
      <c r="A1640" s="87"/>
    </row>
    <row r="1641" spans="1:1" x14ac:dyDescent="0.25">
      <c r="A1641" s="87"/>
    </row>
    <row r="1642" spans="1:1" x14ac:dyDescent="0.25">
      <c r="A1642" s="87"/>
    </row>
    <row r="1643" spans="1:1" x14ac:dyDescent="0.25">
      <c r="A1643" s="87"/>
    </row>
    <row r="1644" spans="1:1" x14ac:dyDescent="0.25">
      <c r="A1644" s="87"/>
    </row>
    <row r="1645" spans="1:1" x14ac:dyDescent="0.25">
      <c r="A1645" s="87"/>
    </row>
    <row r="1646" spans="1:1" x14ac:dyDescent="0.25">
      <c r="A1646" s="87"/>
    </row>
    <row r="1647" spans="1:1" x14ac:dyDescent="0.25">
      <c r="A1647" s="87"/>
    </row>
    <row r="1648" spans="1:1" x14ac:dyDescent="0.25">
      <c r="A1648" s="87"/>
    </row>
    <row r="1649" spans="1:1" x14ac:dyDescent="0.25">
      <c r="A1649" s="87"/>
    </row>
    <row r="1650" spans="1:1" x14ac:dyDescent="0.25">
      <c r="A1650" s="87"/>
    </row>
    <row r="1651" spans="1:1" x14ac:dyDescent="0.25">
      <c r="A1651" s="87"/>
    </row>
    <row r="1652" spans="1:1" x14ac:dyDescent="0.25">
      <c r="A1652" s="87"/>
    </row>
    <row r="1653" spans="1:1" x14ac:dyDescent="0.25">
      <c r="A1653" s="87"/>
    </row>
    <row r="1654" spans="1:1" x14ac:dyDescent="0.25">
      <c r="A1654" s="87"/>
    </row>
    <row r="1655" spans="1:1" x14ac:dyDescent="0.25">
      <c r="A1655" s="87"/>
    </row>
    <row r="1656" spans="1:1" x14ac:dyDescent="0.25">
      <c r="A1656" s="87"/>
    </row>
    <row r="1657" spans="1:1" x14ac:dyDescent="0.25">
      <c r="A1657" s="87"/>
    </row>
    <row r="1658" spans="1:1" x14ac:dyDescent="0.25">
      <c r="A1658" s="87"/>
    </row>
    <row r="1659" spans="1:1" x14ac:dyDescent="0.25">
      <c r="A1659" s="87"/>
    </row>
    <row r="1660" spans="1:1" x14ac:dyDescent="0.25">
      <c r="A1660" s="87"/>
    </row>
    <row r="1661" spans="1:1" x14ac:dyDescent="0.25">
      <c r="A1661" s="87"/>
    </row>
    <row r="1662" spans="1:1" x14ac:dyDescent="0.25">
      <c r="A1662" s="87"/>
    </row>
    <row r="1663" spans="1:1" x14ac:dyDescent="0.25">
      <c r="A1663" s="87"/>
    </row>
    <row r="1664" spans="1:1" x14ac:dyDescent="0.25">
      <c r="A1664" s="87"/>
    </row>
    <row r="1665" spans="1:1" x14ac:dyDescent="0.25">
      <c r="A1665" s="87"/>
    </row>
    <row r="1666" spans="1:1" x14ac:dyDescent="0.25">
      <c r="A1666" s="87"/>
    </row>
    <row r="1667" spans="1:1" x14ac:dyDescent="0.25">
      <c r="A1667" s="87"/>
    </row>
    <row r="1668" spans="1:1" x14ac:dyDescent="0.25">
      <c r="A1668" s="87"/>
    </row>
    <row r="1669" spans="1:1" x14ac:dyDescent="0.25">
      <c r="A1669" s="87"/>
    </row>
    <row r="1670" spans="1:1" x14ac:dyDescent="0.25">
      <c r="A1670" s="87"/>
    </row>
    <row r="1671" spans="1:1" x14ac:dyDescent="0.25">
      <c r="A1671" s="87"/>
    </row>
    <row r="1672" spans="1:1" x14ac:dyDescent="0.25">
      <c r="A1672" s="87"/>
    </row>
    <row r="1673" spans="1:1" x14ac:dyDescent="0.25">
      <c r="A1673" s="87"/>
    </row>
    <row r="1674" spans="1:1" x14ac:dyDescent="0.25">
      <c r="A1674" s="87"/>
    </row>
    <row r="1675" spans="1:1" x14ac:dyDescent="0.25">
      <c r="A1675" s="87"/>
    </row>
    <row r="1676" spans="1:1" x14ac:dyDescent="0.25">
      <c r="A1676" s="87"/>
    </row>
    <row r="1677" spans="1:1" x14ac:dyDescent="0.25">
      <c r="A1677" s="87"/>
    </row>
    <row r="1678" spans="1:1" x14ac:dyDescent="0.25">
      <c r="A1678" s="87"/>
    </row>
    <row r="1679" spans="1:1" x14ac:dyDescent="0.25">
      <c r="A1679" s="87"/>
    </row>
    <row r="1680" spans="1:1" x14ac:dyDescent="0.25">
      <c r="A1680" s="87"/>
    </row>
    <row r="1681" spans="1:1" x14ac:dyDescent="0.25">
      <c r="A1681" s="87"/>
    </row>
    <row r="1682" spans="1:1" x14ac:dyDescent="0.25">
      <c r="A1682" s="87"/>
    </row>
    <row r="1683" spans="1:1" x14ac:dyDescent="0.25">
      <c r="A1683" s="87"/>
    </row>
    <row r="1684" spans="1:1" x14ac:dyDescent="0.25">
      <c r="A1684" s="87"/>
    </row>
    <row r="1685" spans="1:1" x14ac:dyDescent="0.25">
      <c r="A1685" s="87"/>
    </row>
    <row r="1686" spans="1:1" x14ac:dyDescent="0.25">
      <c r="A1686" s="87"/>
    </row>
    <row r="1687" spans="1:1" x14ac:dyDescent="0.25">
      <c r="A1687" s="87"/>
    </row>
    <row r="1688" spans="1:1" x14ac:dyDescent="0.25">
      <c r="A1688" s="87"/>
    </row>
    <row r="1689" spans="1:1" x14ac:dyDescent="0.25">
      <c r="A1689" s="87"/>
    </row>
    <row r="1690" spans="1:1" x14ac:dyDescent="0.25">
      <c r="A1690" s="87"/>
    </row>
    <row r="1691" spans="1:1" x14ac:dyDescent="0.25">
      <c r="A1691" s="87"/>
    </row>
    <row r="1692" spans="1:1" x14ac:dyDescent="0.25">
      <c r="A1692" s="87"/>
    </row>
    <row r="1693" spans="1:1" x14ac:dyDescent="0.25">
      <c r="A1693" s="87"/>
    </row>
    <row r="1694" spans="1:1" x14ac:dyDescent="0.25">
      <c r="A1694" s="87"/>
    </row>
    <row r="1695" spans="1:1" x14ac:dyDescent="0.25">
      <c r="A1695" s="87"/>
    </row>
    <row r="1696" spans="1:1" x14ac:dyDescent="0.25">
      <c r="A1696" s="87"/>
    </row>
    <row r="1697" spans="1:1" x14ac:dyDescent="0.25">
      <c r="A1697" s="87"/>
    </row>
    <row r="1698" spans="1:1" x14ac:dyDescent="0.25">
      <c r="A1698" s="87"/>
    </row>
    <row r="1699" spans="1:1" x14ac:dyDescent="0.25">
      <c r="A1699" s="87"/>
    </row>
    <row r="1700" spans="1:1" x14ac:dyDescent="0.25">
      <c r="A1700" s="87"/>
    </row>
    <row r="1701" spans="1:1" x14ac:dyDescent="0.25">
      <c r="A1701" s="87"/>
    </row>
    <row r="1702" spans="1:1" x14ac:dyDescent="0.25">
      <c r="A1702" s="87"/>
    </row>
    <row r="1703" spans="1:1" x14ac:dyDescent="0.25">
      <c r="A1703" s="87"/>
    </row>
    <row r="1704" spans="1:1" x14ac:dyDescent="0.25">
      <c r="A1704" s="87"/>
    </row>
    <row r="1705" spans="1:1" x14ac:dyDescent="0.25">
      <c r="A1705" s="87"/>
    </row>
    <row r="1706" spans="1:1" x14ac:dyDescent="0.25">
      <c r="A1706" s="87"/>
    </row>
    <row r="1707" spans="1:1" x14ac:dyDescent="0.25">
      <c r="A1707" s="87"/>
    </row>
    <row r="1708" spans="1:1" x14ac:dyDescent="0.25">
      <c r="A1708" s="87"/>
    </row>
    <row r="1709" spans="1:1" x14ac:dyDescent="0.25">
      <c r="A1709" s="87"/>
    </row>
    <row r="1710" spans="1:1" x14ac:dyDescent="0.25">
      <c r="A1710" s="87"/>
    </row>
    <row r="1711" spans="1:1" x14ac:dyDescent="0.25">
      <c r="A1711" s="87"/>
    </row>
    <row r="1712" spans="1:1" x14ac:dyDescent="0.25">
      <c r="A1712" s="87"/>
    </row>
    <row r="1713" spans="1:1" x14ac:dyDescent="0.25">
      <c r="A1713" s="87"/>
    </row>
    <row r="1714" spans="1:1" x14ac:dyDescent="0.25">
      <c r="A1714" s="87"/>
    </row>
    <row r="1715" spans="1:1" x14ac:dyDescent="0.25">
      <c r="A1715" s="87"/>
    </row>
    <row r="1716" spans="1:1" x14ac:dyDescent="0.25">
      <c r="A1716" s="87"/>
    </row>
    <row r="1717" spans="1:1" x14ac:dyDescent="0.25">
      <c r="A1717" s="87"/>
    </row>
    <row r="1718" spans="1:1" x14ac:dyDescent="0.25">
      <c r="A1718" s="87"/>
    </row>
    <row r="1719" spans="1:1" x14ac:dyDescent="0.25">
      <c r="A1719" s="87"/>
    </row>
    <row r="1720" spans="1:1" x14ac:dyDescent="0.25">
      <c r="A1720" s="87"/>
    </row>
    <row r="1721" spans="1:1" x14ac:dyDescent="0.25">
      <c r="A1721" s="87"/>
    </row>
  </sheetData>
  <mergeCells count="1">
    <mergeCell ref="A1:H4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3F600-C5AE-43D5-96E6-C7099DF4A2BF}">
  <sheetPr codeName="Feuil4"/>
  <dimension ref="A2:N56"/>
  <sheetViews>
    <sheetView showGridLines="0" topLeftCell="A18" workbookViewId="0">
      <selection activeCell="L37" sqref="L37"/>
    </sheetView>
  </sheetViews>
  <sheetFormatPr baseColWidth="10" defaultColWidth="0" defaultRowHeight="15" x14ac:dyDescent="0.25"/>
  <cols>
    <col min="1" max="14" width="11.42578125" customWidth="1"/>
    <col min="15" max="16384" width="11.42578125" hidden="1"/>
  </cols>
  <sheetData>
    <row r="2" spans="2:11" x14ac:dyDescent="0.25">
      <c r="B2" s="218" t="s">
        <v>207</v>
      </c>
      <c r="C2" s="218"/>
      <c r="D2" s="218"/>
      <c r="E2" s="218"/>
      <c r="F2" s="218"/>
      <c r="G2" s="218"/>
      <c r="H2" s="218"/>
      <c r="I2" s="218"/>
      <c r="J2" s="218"/>
      <c r="K2" s="218"/>
    </row>
    <row r="3" spans="2:11" x14ac:dyDescent="0.25">
      <c r="B3" s="218"/>
      <c r="C3" s="218"/>
      <c r="D3" s="218"/>
      <c r="E3" s="218"/>
      <c r="F3" s="218"/>
      <c r="G3" s="218"/>
      <c r="H3" s="218"/>
      <c r="I3" s="218"/>
      <c r="J3" s="218"/>
      <c r="K3" s="218"/>
    </row>
    <row r="4" spans="2:11" x14ac:dyDescent="0.25">
      <c r="B4" s="218"/>
      <c r="C4" s="218"/>
      <c r="D4" s="218"/>
      <c r="E4" s="218"/>
      <c r="F4" s="218"/>
      <c r="G4" s="218"/>
      <c r="H4" s="218"/>
      <c r="I4" s="218"/>
      <c r="J4" s="218"/>
      <c r="K4" s="218"/>
    </row>
    <row r="5" spans="2:11" x14ac:dyDescent="0.25">
      <c r="B5" s="218"/>
      <c r="C5" s="218"/>
      <c r="D5" s="218"/>
      <c r="E5" s="218"/>
      <c r="F5" s="218"/>
      <c r="G5" s="218"/>
      <c r="H5" s="218"/>
      <c r="I5" s="218"/>
      <c r="J5" s="218"/>
      <c r="K5" s="218"/>
    </row>
    <row r="6" spans="2:11" x14ac:dyDescent="0.25">
      <c r="B6" s="218"/>
      <c r="C6" s="218"/>
      <c r="D6" s="218"/>
      <c r="E6" s="218"/>
      <c r="F6" s="218"/>
      <c r="G6" s="218"/>
      <c r="H6" s="218"/>
      <c r="I6" s="218"/>
      <c r="J6" s="218"/>
      <c r="K6" s="218"/>
    </row>
    <row r="7" spans="2:11" x14ac:dyDescent="0.25">
      <c r="B7" s="218"/>
      <c r="C7" s="218"/>
      <c r="D7" s="218"/>
      <c r="E7" s="218"/>
      <c r="F7" s="218"/>
      <c r="G7" s="218"/>
      <c r="H7" s="218"/>
      <c r="I7" s="218"/>
      <c r="J7" s="218"/>
      <c r="K7" s="218"/>
    </row>
    <row r="11" spans="2:11" x14ac:dyDescent="0.25">
      <c r="G11" s="62"/>
    </row>
    <row r="15" spans="2:11" x14ac:dyDescent="0.25">
      <c r="H15" s="219"/>
      <c r="I15" s="220"/>
      <c r="J15" s="221"/>
    </row>
    <row r="16" spans="2:11" x14ac:dyDescent="0.25">
      <c r="H16" s="222"/>
      <c r="I16" s="223"/>
      <c r="J16" s="224"/>
    </row>
    <row r="17" spans="3:10" x14ac:dyDescent="0.25">
      <c r="H17" s="222"/>
      <c r="I17" s="223"/>
      <c r="J17" s="224"/>
    </row>
    <row r="18" spans="3:10" x14ac:dyDescent="0.25">
      <c r="C18" s="225" t="s">
        <v>208</v>
      </c>
      <c r="D18" s="226"/>
      <c r="E18" s="227"/>
      <c r="H18" s="222"/>
      <c r="I18" s="223"/>
      <c r="J18" s="224"/>
    </row>
    <row r="19" spans="3:10" x14ac:dyDescent="0.25">
      <c r="C19" s="228" t="s">
        <v>209</v>
      </c>
      <c r="D19" s="229"/>
      <c r="E19" s="230"/>
      <c r="H19" s="222"/>
      <c r="I19" s="223"/>
      <c r="J19" s="224"/>
    </row>
    <row r="20" spans="3:10" x14ac:dyDescent="0.25">
      <c r="C20" s="228" t="s">
        <v>210</v>
      </c>
      <c r="D20" s="229"/>
      <c r="E20" s="230"/>
      <c r="H20" s="231"/>
      <c r="I20" s="232"/>
      <c r="J20" s="233"/>
    </row>
    <row r="21" spans="3:10" x14ac:dyDescent="0.25">
      <c r="C21" s="228" t="s">
        <v>211</v>
      </c>
      <c r="D21" s="229"/>
      <c r="E21" s="230"/>
    </row>
    <row r="22" spans="3:10" x14ac:dyDescent="0.25">
      <c r="C22" s="215" t="s">
        <v>212</v>
      </c>
      <c r="D22" s="216"/>
      <c r="E22" s="217"/>
    </row>
    <row r="23" spans="3:10" ht="15.75" thickBot="1" x14ac:dyDescent="0.3"/>
    <row r="24" spans="3:10" ht="15.75" thickTop="1" x14ac:dyDescent="0.25">
      <c r="D24" s="234" t="s">
        <v>213</v>
      </c>
      <c r="E24" s="235"/>
      <c r="F24" s="240" t="s">
        <v>214</v>
      </c>
      <c r="G24" s="243"/>
      <c r="H24" s="246" t="s">
        <v>215</v>
      </c>
      <c r="I24" s="246"/>
      <c r="J24" s="247"/>
    </row>
    <row r="25" spans="3:10" x14ac:dyDescent="0.25">
      <c r="D25" s="236"/>
      <c r="E25" s="237"/>
      <c r="F25" s="241"/>
      <c r="G25" s="244"/>
      <c r="H25" s="248"/>
      <c r="I25" s="248"/>
      <c r="J25" s="249"/>
    </row>
    <row r="26" spans="3:10" ht="15.75" thickBot="1" x14ac:dyDescent="0.3">
      <c r="D26" s="238"/>
      <c r="E26" s="239"/>
      <c r="F26" s="242"/>
      <c r="G26" s="245"/>
      <c r="H26" s="250"/>
      <c r="I26" s="250"/>
      <c r="J26" s="251"/>
    </row>
    <row r="27" spans="3:10" ht="15.75" thickTop="1" x14ac:dyDescent="0.25">
      <c r="C27" s="218"/>
      <c r="D27" s="218"/>
      <c r="E27" s="218"/>
      <c r="F27" s="218"/>
      <c r="G27" s="218"/>
      <c r="H27" s="218"/>
      <c r="I27" s="218"/>
      <c r="J27" s="218"/>
    </row>
    <row r="28" spans="3:10" x14ac:dyDescent="0.25">
      <c r="C28" s="252"/>
      <c r="D28" s="252"/>
      <c r="E28" s="252"/>
      <c r="F28" s="252"/>
      <c r="G28" s="252"/>
      <c r="H28" s="252"/>
      <c r="I28" s="252"/>
      <c r="J28" s="252"/>
    </row>
    <row r="29" spans="3:10" x14ac:dyDescent="0.25">
      <c r="C29" s="253"/>
      <c r="D29" s="253"/>
      <c r="E29" s="253"/>
      <c r="F29" s="253"/>
      <c r="G29" s="253"/>
      <c r="H29" s="253"/>
      <c r="I29" s="253"/>
      <c r="J29" s="253"/>
    </row>
    <row r="30" spans="3:10" x14ac:dyDescent="0.25">
      <c r="C30" s="253"/>
      <c r="D30" s="253"/>
      <c r="E30" s="253"/>
      <c r="F30" s="253"/>
      <c r="G30" s="253"/>
      <c r="H30" s="253"/>
      <c r="I30" s="253"/>
      <c r="J30" s="253"/>
    </row>
    <row r="31" spans="3:10" x14ac:dyDescent="0.25">
      <c r="C31" s="253"/>
      <c r="D31" s="253"/>
      <c r="E31" s="253"/>
      <c r="F31" s="253"/>
      <c r="G31" s="253"/>
      <c r="H31" s="253"/>
      <c r="I31" s="253"/>
      <c r="J31" s="253"/>
    </row>
    <row r="32" spans="3:10" x14ac:dyDescent="0.25">
      <c r="D32" s="254" t="s">
        <v>216</v>
      </c>
      <c r="E32" s="254"/>
      <c r="F32" s="254"/>
      <c r="H32" s="63" t="s">
        <v>217</v>
      </c>
      <c r="I32" s="63" t="s">
        <v>218</v>
      </c>
      <c r="J32" s="63" t="s">
        <v>219</v>
      </c>
    </row>
    <row r="33" spans="3:10" x14ac:dyDescent="0.25">
      <c r="C33" s="218"/>
      <c r="D33" s="218"/>
      <c r="E33" s="218"/>
      <c r="F33" s="218"/>
      <c r="G33" s="218"/>
      <c r="H33" s="64"/>
      <c r="I33" s="65"/>
      <c r="J33" s="64" t="str">
        <f>IF(H33="","",H33*I33)</f>
        <v/>
      </c>
    </row>
    <row r="34" spans="3:10" x14ac:dyDescent="0.25">
      <c r="C34" s="218"/>
      <c r="D34" s="218"/>
      <c r="E34" s="218"/>
      <c r="F34" s="218"/>
      <c r="G34" s="218"/>
      <c r="H34" s="64"/>
      <c r="I34" s="65"/>
      <c r="J34" s="64" t="str">
        <f t="shared" ref="J34:J42" si="0">IF(H34="","",H34*I34)</f>
        <v/>
      </c>
    </row>
    <row r="35" spans="3:10" x14ac:dyDescent="0.25">
      <c r="C35" s="218"/>
      <c r="D35" s="218"/>
      <c r="E35" s="218"/>
      <c r="F35" s="218"/>
      <c r="G35" s="218"/>
      <c r="H35" s="64"/>
      <c r="I35" s="61"/>
      <c r="J35" s="64" t="str">
        <f t="shared" si="0"/>
        <v/>
      </c>
    </row>
    <row r="36" spans="3:10" x14ac:dyDescent="0.25">
      <c r="C36" s="218"/>
      <c r="D36" s="218"/>
      <c r="E36" s="218"/>
      <c r="F36" s="218"/>
      <c r="G36" s="218"/>
      <c r="H36" s="64"/>
      <c r="I36" s="65"/>
      <c r="J36" s="64" t="str">
        <f t="shared" si="0"/>
        <v/>
      </c>
    </row>
    <row r="37" spans="3:10" x14ac:dyDescent="0.25">
      <c r="C37" s="218"/>
      <c r="D37" s="218"/>
      <c r="E37" s="218"/>
      <c r="F37" s="218"/>
      <c r="G37" s="218"/>
      <c r="H37" s="64"/>
      <c r="I37" s="79"/>
      <c r="J37" s="64" t="str">
        <f t="shared" si="0"/>
        <v/>
      </c>
    </row>
    <row r="38" spans="3:10" x14ac:dyDescent="0.25">
      <c r="C38" s="218"/>
      <c r="D38" s="218"/>
      <c r="E38" s="218"/>
      <c r="F38" s="218"/>
      <c r="G38" s="218"/>
      <c r="H38" s="64"/>
      <c r="I38" s="65"/>
      <c r="J38" s="64" t="str">
        <f t="shared" si="0"/>
        <v/>
      </c>
    </row>
    <row r="39" spans="3:10" x14ac:dyDescent="0.25">
      <c r="C39" s="218"/>
      <c r="D39" s="218"/>
      <c r="E39" s="218"/>
      <c r="F39" s="218"/>
      <c r="G39" s="218"/>
      <c r="H39" s="64"/>
      <c r="I39" s="65"/>
      <c r="J39" s="64" t="str">
        <f t="shared" si="0"/>
        <v/>
      </c>
    </row>
    <row r="40" spans="3:10" x14ac:dyDescent="0.25">
      <c r="C40" s="218"/>
      <c r="D40" s="218"/>
      <c r="E40" s="218"/>
      <c r="F40" s="218"/>
      <c r="G40" s="218"/>
      <c r="H40" s="64"/>
      <c r="I40" s="65"/>
      <c r="J40" s="64" t="str">
        <f t="shared" si="0"/>
        <v/>
      </c>
    </row>
    <row r="41" spans="3:10" x14ac:dyDescent="0.25">
      <c r="C41" s="218"/>
      <c r="D41" s="218"/>
      <c r="E41" s="218"/>
      <c r="F41" s="218"/>
      <c r="G41" s="218"/>
      <c r="H41" s="64"/>
      <c r="I41" s="65"/>
      <c r="J41" s="64" t="str">
        <f t="shared" si="0"/>
        <v/>
      </c>
    </row>
    <row r="42" spans="3:10" x14ac:dyDescent="0.25">
      <c r="C42" s="218"/>
      <c r="D42" s="218"/>
      <c r="E42" s="218"/>
      <c r="F42" s="218"/>
      <c r="G42" s="218"/>
      <c r="H42" s="64"/>
      <c r="I42" s="65"/>
      <c r="J42" s="64" t="str">
        <f t="shared" si="0"/>
        <v/>
      </c>
    </row>
    <row r="43" spans="3:10" x14ac:dyDescent="0.25">
      <c r="F43" s="254" t="s">
        <v>220</v>
      </c>
      <c r="G43" s="254"/>
      <c r="I43" s="65"/>
      <c r="J43" s="66">
        <f>SUM(J33:J42)</f>
        <v>0</v>
      </c>
    </row>
    <row r="44" spans="3:10" x14ac:dyDescent="0.25">
      <c r="F44" s="256" t="s">
        <v>221</v>
      </c>
      <c r="G44" s="256"/>
      <c r="H44" s="67" t="s">
        <v>222</v>
      </c>
      <c r="I44" s="68"/>
      <c r="J44" s="66">
        <f>IF(I44="",0,(J43*I44))</f>
        <v>0</v>
      </c>
    </row>
    <row r="45" spans="3:10" x14ac:dyDescent="0.25">
      <c r="F45" s="256"/>
      <c r="G45" s="256"/>
      <c r="H45" s="67" t="s">
        <v>223</v>
      </c>
      <c r="I45" s="69"/>
      <c r="J45" s="69">
        <f>IF(I45="",0,(J43*I44))</f>
        <v>0</v>
      </c>
    </row>
    <row r="46" spans="3:10" x14ac:dyDescent="0.25">
      <c r="F46" s="254" t="s">
        <v>224</v>
      </c>
      <c r="G46" s="254"/>
      <c r="J46" s="69">
        <f>IF(ISERROR(J43-J44-J45),"",(J43-J44-J45))</f>
        <v>0</v>
      </c>
    </row>
    <row r="48" spans="3:10" x14ac:dyDescent="0.25">
      <c r="D48" s="255" t="s">
        <v>225</v>
      </c>
      <c r="E48" s="255"/>
      <c r="F48" s="255"/>
      <c r="G48" s="43">
        <f>J46</f>
        <v>0</v>
      </c>
    </row>
    <row r="50" spans="3:10" x14ac:dyDescent="0.25">
      <c r="G50" s="69">
        <f>G48</f>
        <v>0</v>
      </c>
    </row>
    <row r="51" spans="3:10" x14ac:dyDescent="0.25">
      <c r="D51" s="257"/>
      <c r="E51" s="258"/>
      <c r="F51" s="258"/>
      <c r="G51" s="258"/>
      <c r="H51" s="258"/>
      <c r="I51" s="258"/>
      <c r="J51" s="259"/>
    </row>
    <row r="52" spans="3:10" x14ac:dyDescent="0.25">
      <c r="C52" s="218" t="s">
        <v>226</v>
      </c>
      <c r="D52" s="218"/>
      <c r="E52" s="218"/>
      <c r="F52" s="218"/>
      <c r="G52" s="218"/>
      <c r="H52" s="218"/>
      <c r="I52" s="218"/>
      <c r="J52" s="218"/>
    </row>
    <row r="53" spans="3:10" x14ac:dyDescent="0.25">
      <c r="G53" s="255" t="s">
        <v>227</v>
      </c>
      <c r="H53" s="255"/>
      <c r="I53" s="70">
        <f ca="1">TODAY()</f>
        <v>43642</v>
      </c>
      <c r="J53" s="70"/>
    </row>
    <row r="55" spans="3:10" x14ac:dyDescent="0.25">
      <c r="H55" s="218" t="s">
        <v>228</v>
      </c>
      <c r="I55" s="218"/>
      <c r="J55" s="218"/>
    </row>
    <row r="56" spans="3:10" x14ac:dyDescent="0.25">
      <c r="H56" s="218" t="s">
        <v>229</v>
      </c>
      <c r="I56" s="218"/>
      <c r="J56" s="218"/>
    </row>
  </sheetData>
  <mergeCells count="41">
    <mergeCell ref="D51:J51"/>
    <mergeCell ref="C52:J52"/>
    <mergeCell ref="G53:H53"/>
    <mergeCell ref="H55:J55"/>
    <mergeCell ref="H56:J56"/>
    <mergeCell ref="D48:F48"/>
    <mergeCell ref="C35:G35"/>
    <mergeCell ref="C36:G36"/>
    <mergeCell ref="C37:G37"/>
    <mergeCell ref="C38:G38"/>
    <mergeCell ref="C39:G39"/>
    <mergeCell ref="C40:G40"/>
    <mergeCell ref="C41:G41"/>
    <mergeCell ref="C42:G42"/>
    <mergeCell ref="F43:G43"/>
    <mergeCell ref="F44:G45"/>
    <mergeCell ref="F46:G46"/>
    <mergeCell ref="C34:G34"/>
    <mergeCell ref="D24:E26"/>
    <mergeCell ref="F24:F26"/>
    <mergeCell ref="G24:G26"/>
    <mergeCell ref="H24:J26"/>
    <mergeCell ref="C27:J27"/>
    <mergeCell ref="C28:J28"/>
    <mergeCell ref="C29:J29"/>
    <mergeCell ref="C30:J30"/>
    <mergeCell ref="C31:J31"/>
    <mergeCell ref="D32:F32"/>
    <mergeCell ref="C33:G33"/>
    <mergeCell ref="C22:E22"/>
    <mergeCell ref="B2:K7"/>
    <mergeCell ref="H15:J15"/>
    <mergeCell ref="H16:J16"/>
    <mergeCell ref="H17:J17"/>
    <mergeCell ref="C18:E18"/>
    <mergeCell ref="H18:J18"/>
    <mergeCell ref="C19:E19"/>
    <mergeCell ref="H19:J19"/>
    <mergeCell ref="C20:E20"/>
    <mergeCell ref="H20:J20"/>
    <mergeCell ref="C21:E21"/>
  </mergeCells>
  <printOptions horizontalCentered="1"/>
  <pageMargins left="0" right="0" top="0.74803149606299213" bottom="0.74803149606299213" header="0.31496062992125984" footer="0.31496062992125984"/>
  <pageSetup paperSize="9" scale="90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0367A-3D8A-4B4A-B8F6-70A66E359D7D}">
  <sheetPr codeName="Feuil10"/>
  <dimension ref="B4:J17"/>
  <sheetViews>
    <sheetView workbookViewId="0">
      <selection activeCell="B13" sqref="B12:B13"/>
    </sheetView>
  </sheetViews>
  <sheetFormatPr baseColWidth="10" defaultRowHeight="15" x14ac:dyDescent="0.25"/>
  <cols>
    <col min="2" max="2" width="25.7109375" customWidth="1"/>
    <col min="3" max="3" width="15" bestFit="1" customWidth="1"/>
    <col min="9" max="9" width="0" hidden="1" customWidth="1"/>
  </cols>
  <sheetData>
    <row r="4" spans="2:10" x14ac:dyDescent="0.25">
      <c r="D4" t="s">
        <v>586</v>
      </c>
      <c r="F4" t="s">
        <v>584</v>
      </c>
    </row>
    <row r="6" spans="2:10" x14ac:dyDescent="0.25">
      <c r="B6" s="192"/>
      <c r="D6" t="e">
        <f>VLOOKUP(B6,BDD_licencies!A7:BQ345,32,0)</f>
        <v>#N/A</v>
      </c>
      <c r="F6" t="e">
        <f>VLOOKUP(B6,BDD_licencies!A7:BQ345,58,0)</f>
        <v>#N/A</v>
      </c>
    </row>
    <row r="11" spans="2:10" x14ac:dyDescent="0.25">
      <c r="C11" s="255" t="s">
        <v>585</v>
      </c>
      <c r="D11" s="255"/>
      <c r="E11" s="255"/>
      <c r="F11" s="255"/>
      <c r="G11" s="255"/>
      <c r="H11" s="255"/>
      <c r="I11" t="e">
        <f>D6</f>
        <v>#N/A</v>
      </c>
      <c r="J11" s="64" t="e">
        <f>_xlfn.NUMBERVALUE(I11)</f>
        <v>#N/A</v>
      </c>
    </row>
    <row r="14" spans="2:10" ht="30" x14ac:dyDescent="0.25">
      <c r="D14" t="s">
        <v>11</v>
      </c>
      <c r="E14" s="5" t="s">
        <v>590</v>
      </c>
      <c r="F14" t="s">
        <v>295</v>
      </c>
      <c r="G14" t="s">
        <v>110</v>
      </c>
    </row>
    <row r="15" spans="2:10" x14ac:dyDescent="0.25">
      <c r="C15" s="61" t="s">
        <v>587</v>
      </c>
      <c r="D15" s="61" t="e">
        <f>VLOOKUP(B6,BDD_licencies!A7:BQ345,15,0)</f>
        <v>#N/A</v>
      </c>
      <c r="E15" s="61" t="e">
        <f>VLOOKUP(B6,BDD_licencies!A7:BQ345,14,0)</f>
        <v>#N/A</v>
      </c>
      <c r="F15" s="61" t="e">
        <f>VLOOKUP(B6,BDD_licencies!A7:BQ345,17,0)</f>
        <v>#N/A</v>
      </c>
      <c r="G15" s="61" t="e">
        <f>VLOOKUP(B6,BDD_licencies!A7:BQ345,18,0)</f>
        <v>#N/A</v>
      </c>
    </row>
    <row r="16" spans="2:10" x14ac:dyDescent="0.25">
      <c r="C16" s="61" t="s">
        <v>588</v>
      </c>
      <c r="D16" s="61" t="e">
        <f>VLOOKUP(B6,BDD_licencies!A7:BQ345,22,0)</f>
        <v>#N/A</v>
      </c>
      <c r="E16" s="61" t="e">
        <f>VLOOKUP(B6,BDD_licencies!A7:BQ345,20,0)</f>
        <v>#N/A</v>
      </c>
      <c r="F16" s="61" t="e">
        <f>VLOOKUP(B6,BDD_licencies!A7:BQ345,20,0)</f>
        <v>#N/A</v>
      </c>
      <c r="G16" s="61" t="e">
        <f>VLOOKUP(B6,BDD_licencies!A7:BQ345,20,0)</f>
        <v>#N/A</v>
      </c>
    </row>
    <row r="17" spans="3:7" x14ac:dyDescent="0.25">
      <c r="C17" s="61" t="s">
        <v>589</v>
      </c>
      <c r="D17" s="61" t="e">
        <f>VLOOKUP(B6,BDD_licencies!A7:BQ345,28,0)</f>
        <v>#N/A</v>
      </c>
      <c r="E17" s="61" t="e">
        <f>VLOOKUP(B6,BDD_licencies!A7:BQ345,58,0)</f>
        <v>#N/A</v>
      </c>
      <c r="F17" s="61" t="e">
        <f>VLOOKUP(B6,BDD_licencies!A7:BQ345,20,0)</f>
        <v>#N/A</v>
      </c>
      <c r="G17" s="61" t="e">
        <f>VLOOKUP(B6,BDD_licencies!A7:BQ345,20,0)</f>
        <v>#N/A</v>
      </c>
    </row>
  </sheetData>
  <mergeCells count="1">
    <mergeCell ref="C11:H11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8FE35B7-9B68-4B02-879C-6A699FAC139F}">
          <x14:formula1>
            <xm:f>BDD_licencies!$A$7:$A$96</xm:f>
          </x14:formula1>
          <xm:sqref>B6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B0CA3-FDF6-4B59-9434-D69B148AA4E3}">
  <sheetPr codeName="Feuil5"/>
  <dimension ref="A1:P38"/>
  <sheetViews>
    <sheetView topLeftCell="A7" workbookViewId="0">
      <selection activeCell="N3" sqref="N3:O4"/>
    </sheetView>
  </sheetViews>
  <sheetFormatPr baseColWidth="10" defaultColWidth="0" defaultRowHeight="15" x14ac:dyDescent="0.25"/>
  <cols>
    <col min="1" max="3" width="11.42578125" customWidth="1"/>
    <col min="4" max="4" width="11.42578125" hidden="1" customWidth="1"/>
    <col min="5" max="5" width="11.42578125" customWidth="1"/>
    <col min="6" max="7" width="0" hidden="1" customWidth="1"/>
    <col min="8" max="9" width="11.42578125" customWidth="1"/>
    <col min="10" max="10" width="0" hidden="1" customWidth="1"/>
    <col min="11" max="13" width="11.42578125" customWidth="1"/>
    <col min="14" max="14" width="18.42578125" customWidth="1"/>
    <col min="15" max="16" width="11.42578125" customWidth="1"/>
    <col min="17" max="16384" width="11.42578125" hidden="1"/>
  </cols>
  <sheetData>
    <row r="1" spans="1:15" ht="46.5" x14ac:dyDescent="0.7">
      <c r="A1" s="262" t="s">
        <v>230</v>
      </c>
      <c r="B1" s="262"/>
      <c r="C1" s="262"/>
      <c r="D1" s="262"/>
      <c r="E1" s="262"/>
      <c r="F1" s="262"/>
      <c r="G1" s="262"/>
      <c r="H1" s="262"/>
      <c r="I1" s="262"/>
      <c r="J1" s="262"/>
      <c r="K1" s="262"/>
      <c r="L1" s="262"/>
      <c r="M1" s="262"/>
    </row>
    <row r="2" spans="1:15" x14ac:dyDescent="0.25">
      <c r="N2" s="267" t="s">
        <v>231</v>
      </c>
      <c r="O2" s="267"/>
    </row>
    <row r="3" spans="1:15" x14ac:dyDescent="0.25">
      <c r="N3" s="266" t="s">
        <v>613</v>
      </c>
      <c r="O3" s="266"/>
    </row>
    <row r="4" spans="1:15" x14ac:dyDescent="0.25">
      <c r="N4" s="266"/>
      <c r="O4" s="266"/>
    </row>
    <row r="7" spans="1:15" x14ac:dyDescent="0.25">
      <c r="N7" s="61"/>
    </row>
    <row r="10" spans="1:15" x14ac:dyDescent="0.25">
      <c r="G10" s="263" t="s">
        <v>232</v>
      </c>
      <c r="H10" s="263"/>
      <c r="I10" s="263"/>
      <c r="J10" s="263"/>
      <c r="K10" s="263"/>
    </row>
    <row r="11" spans="1:15" x14ac:dyDescent="0.25">
      <c r="G11" s="263"/>
      <c r="H11" s="263"/>
      <c r="I11" s="263"/>
      <c r="J11" s="263"/>
      <c r="K11" s="263"/>
    </row>
    <row r="13" spans="1:15" x14ac:dyDescent="0.25">
      <c r="G13" s="264" t="s">
        <v>210</v>
      </c>
      <c r="H13" s="264"/>
      <c r="I13" s="264"/>
      <c r="J13" s="264"/>
      <c r="K13" s="264"/>
    </row>
    <row r="14" spans="1:15" x14ac:dyDescent="0.25">
      <c r="B14" s="71" t="s">
        <v>233</v>
      </c>
      <c r="C14" s="72">
        <f ca="1">TODAY()</f>
        <v>43642</v>
      </c>
      <c r="G14" s="264" t="s">
        <v>211</v>
      </c>
      <c r="H14" s="264"/>
      <c r="I14" s="264"/>
      <c r="J14" s="264"/>
      <c r="K14" s="264"/>
    </row>
    <row r="15" spans="1:15" x14ac:dyDescent="0.25">
      <c r="G15" s="264" t="s">
        <v>234</v>
      </c>
      <c r="H15" s="264"/>
      <c r="I15" s="264"/>
      <c r="J15" s="264"/>
      <c r="K15" s="264"/>
    </row>
    <row r="20" spans="2:15" ht="18.75" x14ac:dyDescent="0.3">
      <c r="B20" s="78" t="s">
        <v>235</v>
      </c>
      <c r="C20" s="268" t="s">
        <v>242</v>
      </c>
      <c r="D20" s="268"/>
      <c r="E20" s="268"/>
      <c r="F20" s="268"/>
      <c r="G20" s="268"/>
      <c r="H20" s="268"/>
      <c r="I20" s="268"/>
      <c r="J20" s="268"/>
      <c r="K20" s="268"/>
      <c r="L20" s="265" t="e">
        <f>VLOOKUP(N3,BDD_licencies!A7:BQ345,1,0)</f>
        <v>#N/A</v>
      </c>
      <c r="M20" s="265"/>
    </row>
    <row r="23" spans="2:15" x14ac:dyDescent="0.25">
      <c r="B23" s="261" t="s">
        <v>236</v>
      </c>
      <c r="C23" s="261"/>
      <c r="D23" s="261"/>
      <c r="E23" s="261"/>
      <c r="F23" s="261"/>
      <c r="G23" s="261"/>
      <c r="H23" s="261"/>
      <c r="I23" s="261"/>
      <c r="J23" s="261"/>
      <c r="K23" s="261"/>
      <c r="L23" s="261"/>
    </row>
    <row r="24" spans="2:15" x14ac:dyDescent="0.25">
      <c r="B24" s="261"/>
      <c r="C24" s="261"/>
      <c r="D24" s="261"/>
      <c r="E24" s="261"/>
      <c r="F24" s="261"/>
      <c r="G24" s="261"/>
      <c r="H24" s="261"/>
      <c r="I24" s="261"/>
      <c r="J24" s="261"/>
      <c r="K24" s="261"/>
      <c r="L24" s="261"/>
      <c r="O24" s="61"/>
    </row>
    <row r="25" spans="2:15" x14ac:dyDescent="0.25">
      <c r="B25" s="73"/>
      <c r="C25" s="73"/>
      <c r="D25" s="73"/>
      <c r="E25" s="73"/>
      <c r="F25" s="269" t="e">
        <f>L20</f>
        <v>#N/A</v>
      </c>
      <c r="G25" s="269"/>
      <c r="H25" s="74"/>
      <c r="I25" s="74"/>
      <c r="J25" s="73"/>
      <c r="K25" s="73"/>
      <c r="L25" s="73"/>
    </row>
    <row r="26" spans="2:15" x14ac:dyDescent="0.25">
      <c r="B26" s="260" t="s">
        <v>237</v>
      </c>
      <c r="C26" s="260"/>
      <c r="D26" s="260"/>
      <c r="E26" s="260"/>
      <c r="F26" s="260"/>
      <c r="G26" s="260"/>
      <c r="H26" s="260"/>
      <c r="I26" s="260"/>
      <c r="J26" s="260"/>
      <c r="K26" s="75" t="e">
        <f>VLOOKUP(N3,BDD_licencies!A7:BQ345,32,0)</f>
        <v>#N/A</v>
      </c>
      <c r="L26" s="73"/>
    </row>
    <row r="28" spans="2:15" x14ac:dyDescent="0.25">
      <c r="B28" s="261" t="s">
        <v>201</v>
      </c>
      <c r="C28" s="261"/>
      <c r="D28" s="5" t="s">
        <v>214</v>
      </c>
      <c r="E28" s="5" t="s">
        <v>214</v>
      </c>
      <c r="F28" s="218" t="s">
        <v>238</v>
      </c>
      <c r="G28" s="218"/>
      <c r="H28" s="218" t="s">
        <v>238</v>
      </c>
      <c r="I28" s="218"/>
      <c r="J28" s="71" t="s">
        <v>11</v>
      </c>
      <c r="K28" s="71" t="s">
        <v>11</v>
      </c>
    </row>
    <row r="29" spans="2:15" x14ac:dyDescent="0.25">
      <c r="B29" s="218" t="e">
        <f>VLOOKUP(N3,BDD_licencies!A7:BQ345,14,0)</f>
        <v>#N/A</v>
      </c>
      <c r="C29" s="218"/>
      <c r="D29" t="e">
        <f>VLOOKUP(N3,BDD_licencies!A7:BQ345,17,0)</f>
        <v>#N/A</v>
      </c>
      <c r="E29" t="e">
        <f>IF(D29=0,"",D29)</f>
        <v>#N/A</v>
      </c>
      <c r="F29" s="218" t="e">
        <f>VLOOKUP(N3,BDD_licencies!A7:BQ345,18,0)</f>
        <v>#N/A</v>
      </c>
      <c r="G29" s="218"/>
      <c r="H29" s="218" t="e">
        <f>IF(D29=0,"",F29)</f>
        <v>#N/A</v>
      </c>
      <c r="I29" s="218"/>
      <c r="J29" s="69" t="e">
        <f>VLOOKUP(N3,BDD_licencies!A7:BQ345,16,0)</f>
        <v>#N/A</v>
      </c>
      <c r="K29" s="69" t="e">
        <f>IF(J29=0,"",J29)</f>
        <v>#N/A</v>
      </c>
    </row>
    <row r="30" spans="2:15" x14ac:dyDescent="0.25">
      <c r="B30" s="218" t="e">
        <f>VLOOKUP(N3,BDD_licencies!A7:BQ345,20,0)</f>
        <v>#N/A</v>
      </c>
      <c r="C30" s="218"/>
      <c r="D30" t="e">
        <f>VLOOKUP(N3,BDD_licencies!A7:BQ345,23,0)</f>
        <v>#N/A</v>
      </c>
      <c r="E30" t="e">
        <f t="shared" ref="E30:E31" si="0">IF(D30=0,"",D30)</f>
        <v>#N/A</v>
      </c>
      <c r="F30" s="218" t="e">
        <f>VLOOKUP(N3,BDD_licencies!A7:BQ345,24,0)</f>
        <v>#N/A</v>
      </c>
      <c r="G30" s="218"/>
      <c r="H30" s="218" t="e">
        <f t="shared" ref="H30:H31" si="1">IF(D30=0,"",F30)</f>
        <v>#N/A</v>
      </c>
      <c r="I30" s="218"/>
      <c r="J30" s="69" t="e">
        <f>VLOOKUP(N3,BDD_licencies!A7:BQ345,22,0)</f>
        <v>#N/A</v>
      </c>
      <c r="K30" s="69" t="e">
        <f t="shared" ref="K30:K31" si="2">IF(J30=0,"",J30)</f>
        <v>#N/A</v>
      </c>
      <c r="L30" s="73"/>
      <c r="M30" s="73"/>
    </row>
    <row r="31" spans="2:15" x14ac:dyDescent="0.25">
      <c r="B31" s="218" t="e">
        <f>VLOOKUP(N3,BDD_licencies!A7:BQ345,26,0)</f>
        <v>#N/A</v>
      </c>
      <c r="C31" s="218"/>
      <c r="D31" t="e">
        <f>VLOOKUP(N3,BDD_licencies!A7:BQ345,29,0)</f>
        <v>#N/A</v>
      </c>
      <c r="E31" t="e">
        <f t="shared" si="0"/>
        <v>#N/A</v>
      </c>
      <c r="F31" s="218" t="e">
        <f>VLOOKUP(N3,BDD_licencies!A7:BQ345,30,0)</f>
        <v>#N/A</v>
      </c>
      <c r="G31" s="218"/>
      <c r="H31" s="218" t="e">
        <f t="shared" si="1"/>
        <v>#N/A</v>
      </c>
      <c r="I31" s="218"/>
      <c r="J31" s="69" t="e">
        <f>VLOOKUP(N3,BDD_licencies!A7:BQ345,28,0)</f>
        <v>#N/A</v>
      </c>
      <c r="K31" s="69" t="e">
        <f t="shared" si="2"/>
        <v>#N/A</v>
      </c>
      <c r="L31" s="44"/>
      <c r="M31" s="44"/>
    </row>
    <row r="32" spans="2:15" x14ac:dyDescent="0.25">
      <c r="D32" s="76"/>
      <c r="E32" s="76"/>
      <c r="F32" s="77"/>
      <c r="G32" s="76"/>
      <c r="H32" s="76"/>
      <c r="I32" s="76"/>
      <c r="J32" s="76"/>
      <c r="K32" s="76"/>
      <c r="L32" s="76"/>
      <c r="N32" s="73"/>
      <c r="O32" s="73"/>
    </row>
    <row r="33" spans="2:12" x14ac:dyDescent="0.25">
      <c r="B33" t="s">
        <v>239</v>
      </c>
      <c r="E33" s="61"/>
    </row>
    <row r="37" spans="2:12" x14ac:dyDescent="0.25">
      <c r="J37" s="218" t="s">
        <v>240</v>
      </c>
      <c r="K37" s="218"/>
      <c r="L37" s="218"/>
    </row>
    <row r="38" spans="2:12" x14ac:dyDescent="0.25">
      <c r="G38" s="218" t="s">
        <v>241</v>
      </c>
      <c r="H38" s="218"/>
      <c r="I38" s="218"/>
      <c r="J38" s="218"/>
      <c r="K38" s="218"/>
      <c r="L38" s="218"/>
    </row>
  </sheetData>
  <mergeCells count="26">
    <mergeCell ref="G38:L38"/>
    <mergeCell ref="N3:O4"/>
    <mergeCell ref="N2:O2"/>
    <mergeCell ref="C20:K20"/>
    <mergeCell ref="B31:C31"/>
    <mergeCell ref="F31:G31"/>
    <mergeCell ref="H31:I31"/>
    <mergeCell ref="J37:L37"/>
    <mergeCell ref="B29:C29"/>
    <mergeCell ref="F29:G29"/>
    <mergeCell ref="H29:I29"/>
    <mergeCell ref="B30:C30"/>
    <mergeCell ref="F30:G30"/>
    <mergeCell ref="H30:I30"/>
    <mergeCell ref="B23:L24"/>
    <mergeCell ref="F25:G25"/>
    <mergeCell ref="B26:J26"/>
    <mergeCell ref="B28:C28"/>
    <mergeCell ref="F28:G28"/>
    <mergeCell ref="H28:I28"/>
    <mergeCell ref="A1:M1"/>
    <mergeCell ref="G10:K11"/>
    <mergeCell ref="G13:K13"/>
    <mergeCell ref="G14:K14"/>
    <mergeCell ref="G15:K15"/>
    <mergeCell ref="L20:M20"/>
  </mergeCells>
  <pageMargins left="0" right="0" top="0.74803149606299213" bottom="0.74803149606299213" header="0.31496062992125984" footer="0.31496062992125984"/>
  <pageSetup paperSize="9" scale="95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DD65E7-400B-499F-AB0A-B0680E66338C}">
          <x14:formula1>
            <xm:f>BDD_licencies!$A$7:$A$345</xm:f>
          </x14:formula1>
          <xm:sqref>N3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62206-7B12-47F0-9D55-A8AB87EAB4BC}">
  <sheetPr codeName="Feuil6"/>
  <dimension ref="A10:N43"/>
  <sheetViews>
    <sheetView topLeftCell="A13" workbookViewId="0"/>
  </sheetViews>
  <sheetFormatPr baseColWidth="10" defaultColWidth="0" defaultRowHeight="15" x14ac:dyDescent="0.25"/>
  <cols>
    <col min="1" max="14" width="11.42578125" customWidth="1"/>
    <col min="15" max="16384" width="11.42578125" hidden="1"/>
  </cols>
  <sheetData>
    <row r="10" spans="3:12" x14ac:dyDescent="0.25">
      <c r="F10" s="274" t="s">
        <v>243</v>
      </c>
      <c r="G10" s="274"/>
      <c r="H10" s="274"/>
      <c r="I10" s="274"/>
      <c r="J10" s="274"/>
      <c r="K10" s="80"/>
    </row>
    <row r="11" spans="3:12" x14ac:dyDescent="0.25">
      <c r="F11" s="274" t="s">
        <v>244</v>
      </c>
      <c r="G11" s="274"/>
      <c r="H11" s="274"/>
      <c r="I11" s="274"/>
      <c r="J11" s="274"/>
      <c r="K11" s="80"/>
      <c r="L11" s="80"/>
    </row>
    <row r="12" spans="3:12" x14ac:dyDescent="0.25">
      <c r="F12" s="274" t="s">
        <v>245</v>
      </c>
      <c r="G12" s="274"/>
      <c r="H12" s="274"/>
      <c r="I12" s="274"/>
      <c r="J12" s="274"/>
      <c r="K12" s="80"/>
      <c r="L12" s="80"/>
    </row>
    <row r="15" spans="3:12" ht="34.5" x14ac:dyDescent="0.25">
      <c r="C15" s="273" t="s">
        <v>246</v>
      </c>
      <c r="D15" s="273"/>
      <c r="E15" s="273"/>
      <c r="F15" s="273"/>
      <c r="G15" s="273"/>
      <c r="H15" s="273"/>
      <c r="I15" s="273"/>
      <c r="J15" s="273"/>
      <c r="K15" s="81"/>
    </row>
    <row r="20" spans="3:10" ht="18.75" x14ac:dyDescent="0.3">
      <c r="D20" s="82" t="s">
        <v>247</v>
      </c>
      <c r="F20" s="270"/>
      <c r="G20" s="270"/>
      <c r="H20" s="270"/>
      <c r="I20" s="270"/>
    </row>
    <row r="21" spans="3:10" x14ac:dyDescent="0.25">
      <c r="F21" s="270"/>
      <c r="G21" s="270"/>
      <c r="H21" s="270"/>
      <c r="I21" s="270"/>
    </row>
    <row r="22" spans="3:10" x14ac:dyDescent="0.25">
      <c r="F22" s="270"/>
      <c r="G22" s="270"/>
      <c r="H22" s="270"/>
      <c r="I22" s="270"/>
    </row>
    <row r="23" spans="3:10" x14ac:dyDescent="0.25">
      <c r="F23" s="270"/>
      <c r="G23" s="270"/>
      <c r="H23" s="270"/>
      <c r="I23" s="270"/>
    </row>
    <row r="26" spans="3:10" x14ac:dyDescent="0.25">
      <c r="C26" t="s">
        <v>248</v>
      </c>
      <c r="J26" s="85"/>
    </row>
    <row r="28" spans="3:10" x14ac:dyDescent="0.25">
      <c r="C28" t="s">
        <v>249</v>
      </c>
      <c r="F28" s="272"/>
      <c r="G28" s="272"/>
      <c r="H28" s="272"/>
      <c r="I28" s="272"/>
    </row>
    <row r="31" spans="3:10" ht="18.75" x14ac:dyDescent="0.25">
      <c r="C31" s="83" t="s">
        <v>250</v>
      </c>
    </row>
    <row r="32" spans="3:10" x14ac:dyDescent="0.25">
      <c r="E32" s="14" t="s">
        <v>251</v>
      </c>
    </row>
    <row r="33" spans="3:10" x14ac:dyDescent="0.25">
      <c r="E33" s="14" t="s">
        <v>203</v>
      </c>
      <c r="G33" s="272"/>
      <c r="H33" s="272"/>
      <c r="I33" s="272"/>
    </row>
    <row r="34" spans="3:10" x14ac:dyDescent="0.25">
      <c r="C34" s="84"/>
      <c r="E34" s="271" t="s">
        <v>252</v>
      </c>
      <c r="F34" s="271"/>
      <c r="G34" s="271"/>
      <c r="H34" s="271"/>
      <c r="I34" s="271"/>
      <c r="J34" s="271"/>
    </row>
    <row r="35" spans="3:10" x14ac:dyDescent="0.25">
      <c r="C35" s="84"/>
      <c r="E35" s="271"/>
      <c r="F35" s="271"/>
      <c r="G35" s="271"/>
      <c r="H35" s="271"/>
      <c r="I35" s="271"/>
      <c r="J35" s="271"/>
    </row>
    <row r="36" spans="3:10" x14ac:dyDescent="0.25">
      <c r="E36" t="s">
        <v>253</v>
      </c>
    </row>
    <row r="40" spans="3:10" x14ac:dyDescent="0.25">
      <c r="C40" t="s">
        <v>254</v>
      </c>
      <c r="G40" s="85"/>
    </row>
    <row r="41" spans="3:10" x14ac:dyDescent="0.25">
      <c r="C41" t="s">
        <v>255</v>
      </c>
      <c r="G41" s="86"/>
    </row>
    <row r="42" spans="3:10" x14ac:dyDescent="0.25">
      <c r="H42" t="s">
        <v>256</v>
      </c>
    </row>
    <row r="43" spans="3:10" x14ac:dyDescent="0.25">
      <c r="H43" t="s">
        <v>240</v>
      </c>
    </row>
  </sheetData>
  <mergeCells count="11">
    <mergeCell ref="F10:J10"/>
    <mergeCell ref="F11:J11"/>
    <mergeCell ref="F12:J12"/>
    <mergeCell ref="F20:I20"/>
    <mergeCell ref="F21:I21"/>
    <mergeCell ref="F23:I23"/>
    <mergeCell ref="E34:J35"/>
    <mergeCell ref="F28:I28"/>
    <mergeCell ref="G33:I33"/>
    <mergeCell ref="C15:J15"/>
    <mergeCell ref="F22:I22"/>
  </mergeCells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EBE49-2AD1-4DB2-85CF-2D1468DCEDEE}">
  <sheetPr codeName="Feuil8"/>
  <dimension ref="A1:AN46"/>
  <sheetViews>
    <sheetView topLeftCell="A19" workbookViewId="0">
      <selection activeCell="J12" sqref="J12"/>
    </sheetView>
  </sheetViews>
  <sheetFormatPr baseColWidth="10" defaultColWidth="0" defaultRowHeight="15" x14ac:dyDescent="0.25"/>
  <cols>
    <col min="1" max="1" width="8" customWidth="1"/>
    <col min="2" max="2" width="23.140625" bestFit="1" customWidth="1"/>
    <col min="3" max="3" width="11.42578125" customWidth="1"/>
    <col min="4" max="4" width="25.28515625" bestFit="1" customWidth="1"/>
    <col min="5" max="8" width="11.42578125" customWidth="1"/>
    <col min="9" max="9" width="13.5703125" customWidth="1"/>
    <col min="10" max="10" width="15" bestFit="1" customWidth="1"/>
    <col min="11" max="11" width="13.7109375" customWidth="1"/>
    <col min="12" max="24" width="11.42578125" hidden="1" customWidth="1"/>
    <col min="25" max="25" width="11.42578125" customWidth="1"/>
    <col min="26" max="26" width="18" bestFit="1" customWidth="1"/>
    <col min="27" max="29" width="11.42578125" customWidth="1"/>
    <col min="30" max="38" width="11.42578125" hidden="1" customWidth="1"/>
    <col min="39" max="40" width="0" hidden="1" customWidth="1"/>
    <col min="41" max="16384" width="11.42578125" hidden="1"/>
  </cols>
  <sheetData>
    <row r="1" spans="1:27" ht="40.5" customHeight="1" x14ac:dyDescent="0.25">
      <c r="A1" s="1"/>
      <c r="B1" s="109"/>
      <c r="C1" s="110"/>
      <c r="D1" s="110"/>
      <c r="E1" s="110"/>
      <c r="F1" s="110"/>
      <c r="G1" s="110"/>
      <c r="H1" s="110"/>
      <c r="I1" s="110"/>
      <c r="J1" s="110"/>
      <c r="K1" s="11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x14ac:dyDescent="0.25">
      <c r="A2" s="1"/>
      <c r="B2" s="276" t="s">
        <v>272</v>
      </c>
      <c r="C2" s="275"/>
      <c r="D2" s="2" t="s">
        <v>265</v>
      </c>
      <c r="G2" s="261" t="s">
        <v>273</v>
      </c>
      <c r="H2" s="261"/>
      <c r="I2" s="2"/>
      <c r="J2" s="1"/>
      <c r="K2" s="11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x14ac:dyDescent="0.25">
      <c r="A3" s="1"/>
      <c r="B3" s="276" t="s">
        <v>274</v>
      </c>
      <c r="C3" s="275"/>
      <c r="D3" s="2"/>
      <c r="G3" s="275" t="s">
        <v>275</v>
      </c>
      <c r="H3" s="275"/>
      <c r="I3" s="6"/>
      <c r="J3" s="1"/>
      <c r="K3" s="11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x14ac:dyDescent="0.25">
      <c r="A4" s="1"/>
      <c r="B4" s="276"/>
      <c r="C4" s="275"/>
      <c r="D4" s="139"/>
      <c r="G4" s="275" t="s">
        <v>276</v>
      </c>
      <c r="H4" s="275"/>
      <c r="I4" s="13"/>
      <c r="J4" s="1"/>
      <c r="K4" s="11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x14ac:dyDescent="0.25">
      <c r="A5" s="1"/>
      <c r="B5" s="138"/>
      <c r="C5" s="1"/>
      <c r="D5" s="1"/>
      <c r="E5" s="1"/>
      <c r="F5" s="1"/>
      <c r="G5" s="1"/>
      <c r="H5" s="1"/>
      <c r="I5" s="1"/>
      <c r="J5" s="1"/>
      <c r="K5" s="11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ht="18.75" customHeight="1" x14ac:dyDescent="0.25">
      <c r="A6" s="1"/>
      <c r="B6" s="277" t="s">
        <v>301</v>
      </c>
      <c r="C6" s="278"/>
      <c r="D6" s="278"/>
      <c r="E6" s="278"/>
      <c r="F6" s="278"/>
      <c r="G6" s="278"/>
      <c r="H6" s="278"/>
      <c r="I6" s="278"/>
      <c r="J6" s="278"/>
      <c r="K6" s="279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90" t="s">
        <v>277</v>
      </c>
      <c r="Z6" s="91">
        <v>387292690</v>
      </c>
      <c r="AA6" s="90" t="s">
        <v>278</v>
      </c>
    </row>
    <row r="7" spans="1:27" ht="18.75" customHeight="1" x14ac:dyDescent="0.25">
      <c r="A7" s="1"/>
      <c r="B7" s="277"/>
      <c r="C7" s="278"/>
      <c r="D7" s="278"/>
      <c r="E7" s="278"/>
      <c r="F7" s="278"/>
      <c r="G7" s="278"/>
      <c r="H7" s="278"/>
      <c r="I7" s="278"/>
      <c r="J7" s="278"/>
      <c r="K7" s="279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90" t="s">
        <v>279</v>
      </c>
      <c r="Z7" s="92">
        <v>475442034</v>
      </c>
      <c r="AA7" s="93" t="s">
        <v>280</v>
      </c>
    </row>
    <row r="8" spans="1:27" ht="15" customHeight="1" x14ac:dyDescent="0.25">
      <c r="A8" s="1"/>
      <c r="B8" s="277"/>
      <c r="C8" s="278"/>
      <c r="D8" s="278"/>
      <c r="E8" s="278"/>
      <c r="F8" s="278"/>
      <c r="G8" s="278"/>
      <c r="H8" s="278"/>
      <c r="I8" s="278"/>
      <c r="J8" s="278"/>
      <c r="K8" s="279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15" customHeight="1" x14ac:dyDescent="0.25">
      <c r="A9" s="1"/>
      <c r="B9" s="277"/>
      <c r="C9" s="278"/>
      <c r="D9" s="278"/>
      <c r="E9" s="278"/>
      <c r="F9" s="278"/>
      <c r="G9" s="278"/>
      <c r="H9" s="278"/>
      <c r="I9" s="278"/>
      <c r="J9" s="278"/>
      <c r="K9" s="279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x14ac:dyDescent="0.25">
      <c r="A10" s="1"/>
      <c r="B10" s="117" t="s">
        <v>281</v>
      </c>
      <c r="C10" s="96" t="s">
        <v>282</v>
      </c>
      <c r="D10" s="96" t="s">
        <v>283</v>
      </c>
      <c r="E10" s="96" t="s">
        <v>284</v>
      </c>
      <c r="F10" s="96" t="s">
        <v>285</v>
      </c>
      <c r="G10" s="96" t="s">
        <v>284</v>
      </c>
      <c r="H10" s="96" t="s">
        <v>286</v>
      </c>
      <c r="I10" s="96" t="s">
        <v>284</v>
      </c>
      <c r="J10" s="96" t="s">
        <v>442</v>
      </c>
      <c r="K10" s="11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ht="15.75" x14ac:dyDescent="0.25">
      <c r="A11" s="1"/>
      <c r="B11" s="133" t="s">
        <v>613</v>
      </c>
      <c r="C11" s="121" t="s">
        <v>350</v>
      </c>
      <c r="D11" s="122" t="str">
        <f>IF(C11="","",VLOOKUP(C11,BDD_materiel!A$8:F$341,2,0))</f>
        <v>Serviette Tibhar Spectra</v>
      </c>
      <c r="E11" s="123">
        <f>IF(C11="","",VLOOKUP(C11,BDD_materiel!A$8:F$341,4,0))</f>
        <v>9.0299999999999994</v>
      </c>
      <c r="F11" s="122">
        <v>2</v>
      </c>
      <c r="G11" s="123">
        <f>IF(C11="","",E11*F11)</f>
        <v>18.059999999999999</v>
      </c>
      <c r="H11" s="124">
        <v>0.15</v>
      </c>
      <c r="I11" s="123">
        <f>IF(C11="","",(G11-(G11*H11)))</f>
        <v>15.350999999999999</v>
      </c>
      <c r="J11" s="123">
        <v>0</v>
      </c>
      <c r="K11" s="145">
        <f>IF(C11="","",I11-J11)</f>
        <v>15.350999999999999</v>
      </c>
      <c r="L11" s="89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ht="15.75" x14ac:dyDescent="0.25">
      <c r="A12" s="1"/>
      <c r="B12" s="134"/>
      <c r="C12" s="125"/>
      <c r="D12" s="126" t="str">
        <f>IF(C12="","",VLOOKUP(C12,BDD_materiel!A$8:F$341,2,0))</f>
        <v/>
      </c>
      <c r="E12" s="127" t="str">
        <f>IF(C12="","",VLOOKUP(C12,BDD_materiel!A$8:F$341,4,0))</f>
        <v/>
      </c>
      <c r="F12" s="126"/>
      <c r="G12" s="127" t="str">
        <f t="shared" ref="G12:G25" si="0">IF(C12="","",E12*F12)</f>
        <v/>
      </c>
      <c r="H12" s="128"/>
      <c r="I12" s="127" t="str">
        <f t="shared" ref="I12:I25" si="1">IF(C12="","",(G12-(G12*H12)))</f>
        <v/>
      </c>
      <c r="J12" s="127"/>
      <c r="K12" s="145" t="str">
        <f t="shared" ref="K12:K25" si="2">IF(C12="","",I12-J12)</f>
        <v/>
      </c>
      <c r="L12" s="89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ht="15.75" x14ac:dyDescent="0.25">
      <c r="A13" s="1"/>
      <c r="B13" s="134"/>
      <c r="C13" s="125"/>
      <c r="D13" s="126" t="str">
        <f>IF(C13="","",VLOOKUP(C13,BDD_materiel!A$8:F$341,2,0))</f>
        <v/>
      </c>
      <c r="E13" s="127" t="str">
        <f>IF(C13="","",VLOOKUP(C13,BDD_materiel!A$8:F$341,4,0))</f>
        <v/>
      </c>
      <c r="F13" s="126"/>
      <c r="G13" s="127" t="str">
        <f t="shared" si="0"/>
        <v/>
      </c>
      <c r="H13" s="128"/>
      <c r="I13" s="127" t="str">
        <f t="shared" si="1"/>
        <v/>
      </c>
      <c r="J13" s="127"/>
      <c r="K13" s="145" t="str">
        <f t="shared" si="2"/>
        <v/>
      </c>
      <c r="L13" s="89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15.75" x14ac:dyDescent="0.25">
      <c r="A14" s="1"/>
      <c r="B14" s="134"/>
      <c r="C14" s="125"/>
      <c r="D14" s="126" t="str">
        <f>IF(C14="","",VLOOKUP(C14,BDD_materiel!A$8:F$341,2,0))</f>
        <v/>
      </c>
      <c r="E14" s="127" t="str">
        <f>IF(C14="","",VLOOKUP(C14,BDD_materiel!A$8:F$341,4,0))</f>
        <v/>
      </c>
      <c r="F14" s="126"/>
      <c r="G14" s="127" t="str">
        <f t="shared" si="0"/>
        <v/>
      </c>
      <c r="H14" s="128"/>
      <c r="I14" s="127" t="str">
        <f t="shared" si="1"/>
        <v/>
      </c>
      <c r="J14" s="127"/>
      <c r="K14" s="145" t="str">
        <f t="shared" si="2"/>
        <v/>
      </c>
      <c r="L14" s="89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15.75" x14ac:dyDescent="0.25">
      <c r="A15" s="1"/>
      <c r="B15" s="134"/>
      <c r="C15" s="125"/>
      <c r="D15" s="126" t="str">
        <f>IF(C15="","",VLOOKUP(C15,BDD_materiel!A$8:F$341,2,0))</f>
        <v/>
      </c>
      <c r="E15" s="127" t="str">
        <f>IF(C15="","",VLOOKUP(C15,BDD_materiel!A$8:F$341,4,0))</f>
        <v/>
      </c>
      <c r="F15" s="126"/>
      <c r="G15" s="127" t="str">
        <f t="shared" si="0"/>
        <v/>
      </c>
      <c r="H15" s="128"/>
      <c r="I15" s="127" t="str">
        <f t="shared" si="1"/>
        <v/>
      </c>
      <c r="J15" s="127"/>
      <c r="K15" s="145" t="str">
        <f t="shared" si="2"/>
        <v/>
      </c>
      <c r="L15" s="89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15.75" x14ac:dyDescent="0.25">
      <c r="A16" s="1"/>
      <c r="B16" s="134"/>
      <c r="C16" s="125"/>
      <c r="D16" s="126" t="str">
        <f>IF(C16="","",VLOOKUP(C16,BDD_materiel!A$8:F$341,2,0))</f>
        <v/>
      </c>
      <c r="E16" s="127" t="str">
        <f>IF(C16="","",VLOOKUP(C16,BDD_materiel!A$8:F$341,4,0))</f>
        <v/>
      </c>
      <c r="F16" s="126"/>
      <c r="G16" s="127" t="str">
        <f t="shared" si="0"/>
        <v/>
      </c>
      <c r="H16" s="128"/>
      <c r="I16" s="127" t="str">
        <f t="shared" si="1"/>
        <v/>
      </c>
      <c r="J16" s="127"/>
      <c r="K16" s="145" t="str">
        <f t="shared" si="2"/>
        <v/>
      </c>
      <c r="L16" s="89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8" ht="15.75" x14ac:dyDescent="0.25">
      <c r="A17" s="1"/>
      <c r="B17" s="134"/>
      <c r="C17" s="125"/>
      <c r="D17" s="126" t="str">
        <f>IF(C17="","",VLOOKUP(C17,BDD_materiel!A$8:F$341,2,0))</f>
        <v/>
      </c>
      <c r="E17" s="127" t="str">
        <f>IF(C17="","",VLOOKUP(C17,BDD_materiel!A$8:F$341,4,0))</f>
        <v/>
      </c>
      <c r="F17" s="126"/>
      <c r="G17" s="127" t="str">
        <f t="shared" si="0"/>
        <v/>
      </c>
      <c r="H17" s="128"/>
      <c r="I17" s="127" t="str">
        <f t="shared" si="1"/>
        <v/>
      </c>
      <c r="J17" s="127"/>
      <c r="K17" s="145" t="str">
        <f t="shared" si="2"/>
        <v/>
      </c>
      <c r="L17" s="89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8" ht="15.75" x14ac:dyDescent="0.25">
      <c r="A18" s="1"/>
      <c r="B18" s="134"/>
      <c r="C18" s="125"/>
      <c r="D18" s="126" t="str">
        <f>IF(C18="","",VLOOKUP(C18,BDD_materiel!A$8:F$341,2,0))</f>
        <v/>
      </c>
      <c r="E18" s="127" t="str">
        <f>IF(C18="","",VLOOKUP(C18,BDD_materiel!A$8:F$341,4,0))</f>
        <v/>
      </c>
      <c r="F18" s="126"/>
      <c r="G18" s="127" t="str">
        <f t="shared" si="0"/>
        <v/>
      </c>
      <c r="H18" s="128"/>
      <c r="I18" s="127" t="str">
        <f t="shared" si="1"/>
        <v/>
      </c>
      <c r="J18" s="127"/>
      <c r="K18" s="145" t="str">
        <f t="shared" si="2"/>
        <v/>
      </c>
      <c r="L18" s="89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8" ht="15.75" x14ac:dyDescent="0.25">
      <c r="A19" s="1"/>
      <c r="B19" s="134"/>
      <c r="C19" s="125"/>
      <c r="D19" s="126" t="str">
        <f>IF(C19="","",VLOOKUP(C19,BDD_materiel!A$8:F$341,2,0))</f>
        <v/>
      </c>
      <c r="E19" s="127" t="str">
        <f>IF(C19="","",VLOOKUP(C19,BDD_materiel!A$8:F$341,4,0))</f>
        <v/>
      </c>
      <c r="F19" s="126"/>
      <c r="G19" s="127" t="str">
        <f t="shared" si="0"/>
        <v/>
      </c>
      <c r="H19" s="128"/>
      <c r="I19" s="127" t="str">
        <f t="shared" si="1"/>
        <v/>
      </c>
      <c r="J19" s="127"/>
      <c r="K19" s="145" t="str">
        <f t="shared" si="2"/>
        <v/>
      </c>
      <c r="L19" s="89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8" ht="15.75" x14ac:dyDescent="0.25">
      <c r="A20" s="1"/>
      <c r="B20" s="134"/>
      <c r="C20" s="125"/>
      <c r="D20" s="126" t="str">
        <f>IF(C20="","",VLOOKUP(C20,BDD_materiel!A$8:F$341,2,0))</f>
        <v/>
      </c>
      <c r="E20" s="127" t="str">
        <f>IF(C20="","",VLOOKUP(C20,BDD_materiel!A$8:F$341,4,0))</f>
        <v/>
      </c>
      <c r="F20" s="126"/>
      <c r="G20" s="127" t="str">
        <f t="shared" si="0"/>
        <v/>
      </c>
      <c r="H20" s="128"/>
      <c r="I20" s="127" t="str">
        <f t="shared" si="1"/>
        <v/>
      </c>
      <c r="J20" s="127"/>
      <c r="K20" s="145" t="str">
        <f t="shared" si="2"/>
        <v/>
      </c>
      <c r="L20" s="89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8" ht="15.75" x14ac:dyDescent="0.25">
      <c r="A21" s="1"/>
      <c r="B21" s="134"/>
      <c r="C21" s="125"/>
      <c r="D21" s="126" t="str">
        <f>IF(C21="","",VLOOKUP(C21,BDD_materiel!A$8:F$341,2,0))</f>
        <v/>
      </c>
      <c r="E21" s="127" t="str">
        <f>IF(C21="","",VLOOKUP(C21,BDD_materiel!A$8:F$341,4,0))</f>
        <v/>
      </c>
      <c r="F21" s="129"/>
      <c r="G21" s="127" t="str">
        <f t="shared" si="0"/>
        <v/>
      </c>
      <c r="H21" s="130"/>
      <c r="I21" s="127" t="str">
        <f t="shared" si="1"/>
        <v/>
      </c>
      <c r="J21" s="141"/>
      <c r="K21" s="145" t="str">
        <f t="shared" si="2"/>
        <v/>
      </c>
      <c r="L21" s="89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8" ht="15.75" x14ac:dyDescent="0.25">
      <c r="A22" s="1"/>
      <c r="B22" s="134"/>
      <c r="C22" s="125"/>
      <c r="D22" s="126" t="str">
        <f>IF(C22="","",VLOOKUP(C22,BDD_materiel!A$8:F$341,2,0))</f>
        <v/>
      </c>
      <c r="E22" s="127" t="str">
        <f>IF(C22="","",VLOOKUP(C22,BDD_materiel!A$8:F$341,4,0))</f>
        <v/>
      </c>
      <c r="F22" s="129"/>
      <c r="G22" s="127" t="str">
        <f t="shared" si="0"/>
        <v/>
      </c>
      <c r="H22" s="130"/>
      <c r="I22" s="127" t="str">
        <f t="shared" si="1"/>
        <v/>
      </c>
      <c r="J22" s="141"/>
      <c r="K22" s="145" t="str">
        <f t="shared" si="2"/>
        <v/>
      </c>
      <c r="L22" s="89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8" ht="15.75" x14ac:dyDescent="0.25">
      <c r="A23" s="1"/>
      <c r="B23" s="134"/>
      <c r="C23" s="125"/>
      <c r="D23" s="126" t="str">
        <f>IF(C23="","",VLOOKUP(C23,BDD_materiel!A$8:F$341,2,0))</f>
        <v/>
      </c>
      <c r="E23" s="127" t="str">
        <f>IF(C23="","",VLOOKUP(C23,BDD_materiel!A$8:F$341,4,0))</f>
        <v/>
      </c>
      <c r="F23" s="129"/>
      <c r="G23" s="127" t="str">
        <f t="shared" si="0"/>
        <v/>
      </c>
      <c r="H23" s="130"/>
      <c r="I23" s="127" t="str">
        <f t="shared" si="1"/>
        <v/>
      </c>
      <c r="J23" s="142"/>
      <c r="K23" s="145" t="str">
        <f t="shared" si="2"/>
        <v/>
      </c>
      <c r="L23" s="89"/>
      <c r="M23" s="1"/>
      <c r="N23" s="1"/>
      <c r="O23" s="1"/>
      <c r="P23" s="89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8" ht="15.75" x14ac:dyDescent="0.25">
      <c r="A24" s="1"/>
      <c r="B24" s="134"/>
      <c r="C24" s="125"/>
      <c r="D24" s="126" t="str">
        <f>IF(C24="","",VLOOKUP(C24,BDD_materiel!A$8:F$341,2,0))</f>
        <v/>
      </c>
      <c r="E24" s="127" t="str">
        <f>IF(C24="","",VLOOKUP(C24,BDD_materiel!A$8:F$341,4,0))</f>
        <v/>
      </c>
      <c r="F24" s="129"/>
      <c r="G24" s="127" t="str">
        <f t="shared" si="0"/>
        <v/>
      </c>
      <c r="H24" s="130"/>
      <c r="I24" s="127" t="str">
        <f t="shared" si="1"/>
        <v/>
      </c>
      <c r="J24" s="143"/>
      <c r="K24" s="145" t="str">
        <f t="shared" si="2"/>
        <v/>
      </c>
      <c r="L24" s="89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8" ht="15.75" x14ac:dyDescent="0.25">
      <c r="A25" s="1"/>
      <c r="B25" s="134"/>
      <c r="C25" s="125"/>
      <c r="D25" s="126" t="str">
        <f>IF(C25="","",VLOOKUP(C25,BDD_materiel!A$8:F$341,2,0))</f>
        <v/>
      </c>
      <c r="E25" s="127" t="str">
        <f>IF(C25="","",VLOOKUP(C25,BDD_materiel!A$8:F$341,4,0))</f>
        <v/>
      </c>
      <c r="F25" s="131"/>
      <c r="G25" s="127" t="str">
        <f t="shared" si="0"/>
        <v/>
      </c>
      <c r="H25" s="132"/>
      <c r="I25" s="127" t="str">
        <f t="shared" si="1"/>
        <v/>
      </c>
      <c r="J25" s="143"/>
      <c r="K25" s="145" t="str">
        <f t="shared" si="2"/>
        <v/>
      </c>
      <c r="L25" s="89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8" x14ac:dyDescent="0.25">
      <c r="A26" s="1"/>
      <c r="B26" s="112"/>
      <c r="C26" s="97"/>
      <c r="D26" s="97"/>
      <c r="E26" s="97" t="s">
        <v>287</v>
      </c>
      <c r="F26" s="97"/>
      <c r="G26" s="105"/>
      <c r="H26" s="119"/>
      <c r="I26" s="106">
        <f>SUM(I11:I20)</f>
        <v>15.350999999999999</v>
      </c>
      <c r="J26" s="144"/>
      <c r="K26" s="145">
        <f>SUM(K11:K25)</f>
        <v>15.350999999999999</v>
      </c>
      <c r="L26" s="89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8" x14ac:dyDescent="0.25">
      <c r="A27" s="1"/>
      <c r="B27" s="112"/>
      <c r="C27" s="97"/>
      <c r="D27" s="97"/>
      <c r="E27" s="97" t="s">
        <v>288</v>
      </c>
      <c r="F27" s="97"/>
      <c r="G27" s="97"/>
      <c r="H27" s="97"/>
      <c r="I27" s="106">
        <f>IF(C11="","",IF(I26&lt;45,parametre!I12,IF(I26&lt;=80,parametre!I13,0)))</f>
        <v>4.7</v>
      </c>
      <c r="J27" s="144"/>
      <c r="K27" s="145">
        <f>IF(C11="","",IF(I26&lt;45,parametre!I12,IF(I26&lt;=80,parametre!I13,0)))</f>
        <v>4.7</v>
      </c>
      <c r="L27" s="89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8" x14ac:dyDescent="0.25">
      <c r="A28" s="1"/>
      <c r="B28" s="112"/>
      <c r="C28" s="97"/>
      <c r="D28" s="97"/>
      <c r="E28" s="97" t="s">
        <v>289</v>
      </c>
      <c r="F28" s="97"/>
      <c r="G28" s="97"/>
      <c r="H28" s="97"/>
      <c r="I28" s="105"/>
      <c r="J28" s="144"/>
      <c r="K28" s="11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8" x14ac:dyDescent="0.25">
      <c r="A29" s="1"/>
      <c r="B29" s="112"/>
      <c r="C29" s="97"/>
      <c r="D29" s="97"/>
      <c r="E29" s="97"/>
      <c r="F29" s="97"/>
      <c r="G29" s="97"/>
      <c r="H29" s="97"/>
      <c r="I29" s="107">
        <f>IF(C11="","",I26+I27-I28)</f>
        <v>20.050999999999998</v>
      </c>
      <c r="J29" s="144"/>
      <c r="K29" s="145">
        <f>SUM(K11:K25)</f>
        <v>15.350999999999999</v>
      </c>
      <c r="L29" s="89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69"/>
    </row>
    <row r="30" spans="1:28" ht="15.75" thickBot="1" x14ac:dyDescent="0.3">
      <c r="A30" s="1"/>
      <c r="B30" s="138"/>
      <c r="C30" s="1"/>
      <c r="D30" s="1"/>
      <c r="E30" s="1"/>
      <c r="F30" s="1"/>
      <c r="G30" s="1"/>
      <c r="H30" s="1"/>
      <c r="I30" s="1"/>
      <c r="J30" s="1"/>
      <c r="K30" s="11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8" ht="15" customHeight="1" x14ac:dyDescent="0.25">
      <c r="A31" s="1"/>
      <c r="B31" s="280" t="s">
        <v>290</v>
      </c>
      <c r="C31" s="281"/>
      <c r="D31" s="281"/>
      <c r="E31" s="281"/>
      <c r="F31" s="281"/>
      <c r="G31" s="281"/>
      <c r="H31" s="281"/>
      <c r="I31" s="281"/>
      <c r="J31" s="281"/>
      <c r="K31" s="282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8" ht="15" customHeight="1" x14ac:dyDescent="0.25">
      <c r="A32" s="1"/>
      <c r="B32" s="283"/>
      <c r="C32" s="284"/>
      <c r="D32" s="284"/>
      <c r="E32" s="284"/>
      <c r="F32" s="284"/>
      <c r="G32" s="284"/>
      <c r="H32" s="284"/>
      <c r="I32" s="284"/>
      <c r="J32" s="284"/>
      <c r="K32" s="285"/>
      <c r="L32" s="1"/>
      <c r="M32" s="1"/>
      <c r="N32" s="1"/>
      <c r="O32" s="1"/>
      <c r="P32" s="1"/>
      <c r="Q32" s="1"/>
      <c r="R32" s="1"/>
      <c r="S32" s="275" t="s">
        <v>291</v>
      </c>
      <c r="T32" s="275"/>
      <c r="U32" s="14"/>
      <c r="V32" s="1"/>
      <c r="W32" s="1"/>
      <c r="X32" s="1"/>
      <c r="Y32" s="1"/>
      <c r="Z32" s="1"/>
      <c r="AA32" s="1"/>
    </row>
    <row r="33" spans="1:27" ht="29.25" customHeight="1" x14ac:dyDescent="0.25">
      <c r="A33" s="1"/>
      <c r="B33" s="118" t="s">
        <v>292</v>
      </c>
      <c r="C33" s="98" t="s">
        <v>293</v>
      </c>
      <c r="D33" s="98" t="s">
        <v>294</v>
      </c>
      <c r="E33" s="99" t="s">
        <v>295</v>
      </c>
      <c r="F33" s="99" t="s">
        <v>296</v>
      </c>
      <c r="G33" s="99" t="s">
        <v>219</v>
      </c>
      <c r="H33" s="98" t="s">
        <v>297</v>
      </c>
      <c r="I33" s="108" t="s">
        <v>298</v>
      </c>
      <c r="J33" s="108" t="s">
        <v>440</v>
      </c>
      <c r="K33" s="111"/>
      <c r="L33" s="1"/>
      <c r="M33" s="1"/>
      <c r="N33" s="1"/>
      <c r="O33" s="1"/>
      <c r="P33" s="1"/>
      <c r="Q33" s="1"/>
      <c r="R33" s="1"/>
      <c r="S33" s="94" t="s">
        <v>299</v>
      </c>
      <c r="T33" s="94" t="s">
        <v>300</v>
      </c>
      <c r="U33" s="14"/>
      <c r="V33" s="1"/>
      <c r="W33" s="1"/>
      <c r="X33" s="1"/>
      <c r="Y33" s="1"/>
      <c r="Z33" s="1"/>
      <c r="AA33" s="1"/>
    </row>
    <row r="34" spans="1:27" x14ac:dyDescent="0.25">
      <c r="A34" s="1"/>
      <c r="B34" s="138"/>
      <c r="C34" s="100"/>
      <c r="D34" s="100"/>
      <c r="E34" s="101"/>
      <c r="F34" s="102"/>
      <c r="G34" s="100" t="str">
        <f>IF(B34="","",SUMIFS((K$11:K$20),(B$11:B$20),B34))</f>
        <v/>
      </c>
      <c r="H34" s="100" t="str">
        <f t="shared" ref="H34:H42" si="3">IF(B34="","",M$34)</f>
        <v/>
      </c>
      <c r="I34" s="102" t="str">
        <f>IF(G34="","",G34+H34)</f>
        <v/>
      </c>
      <c r="J34" s="102"/>
      <c r="K34" s="146"/>
      <c r="L34" s="1">
        <f>COUNTA(B34:B42)</f>
        <v>0</v>
      </c>
      <c r="M34" s="89" t="e">
        <f>I27/L34</f>
        <v>#DIV/0!</v>
      </c>
      <c r="N34" s="89">
        <f>SUM(B34:B42)</f>
        <v>0</v>
      </c>
      <c r="O34" s="89">
        <f>SUM(C34:C42)</f>
        <v>0</v>
      </c>
      <c r="P34" s="89" t="e">
        <f>I34-F34</f>
        <v>#VALUE!</v>
      </c>
      <c r="Q34" s="1"/>
      <c r="R34" s="1"/>
      <c r="S34" s="1">
        <f>_xlfn.NUMBERVALUE(I34)</f>
        <v>0</v>
      </c>
      <c r="T34" s="1">
        <f>ROUNDUP(S34,2)</f>
        <v>0</v>
      </c>
      <c r="U34" s="89"/>
      <c r="V34" s="1"/>
      <c r="W34" s="89" t="str">
        <f>IF(F34="","",I34-F34)</f>
        <v/>
      </c>
      <c r="X34" s="1"/>
      <c r="Y34" s="1"/>
      <c r="Z34" s="1"/>
      <c r="AA34" s="1"/>
    </row>
    <row r="35" spans="1:27" x14ac:dyDescent="0.25">
      <c r="A35" s="1"/>
      <c r="B35" s="138"/>
      <c r="C35" s="100"/>
      <c r="D35" s="100"/>
      <c r="E35" s="101"/>
      <c r="F35" s="102"/>
      <c r="G35" s="100" t="str">
        <f t="shared" ref="G35:G42" si="4">IF(B35="","",SUMIFS((I$11:I$20),(B$11:B$20),B35))</f>
        <v/>
      </c>
      <c r="H35" s="100" t="str">
        <f t="shared" si="3"/>
        <v/>
      </c>
      <c r="I35" s="102" t="str">
        <f t="shared" ref="I35:I42" si="5">IF(G35="","",G35+H35)</f>
        <v/>
      </c>
      <c r="J35" s="102"/>
      <c r="K35" s="111"/>
      <c r="L35" s="1"/>
      <c r="M35" s="1"/>
      <c r="N35" s="1"/>
      <c r="O35" s="1"/>
      <c r="P35" s="89" t="e">
        <f t="shared" ref="P35:P39" si="6">G35-F35</f>
        <v>#VALUE!</v>
      </c>
      <c r="Q35" s="1"/>
      <c r="R35" s="1"/>
      <c r="S35" s="1">
        <f t="shared" ref="S35:S42" si="7">_xlfn.NUMBERVALUE(I35)</f>
        <v>0</v>
      </c>
      <c r="T35" s="1">
        <f t="shared" ref="T35:T42" si="8">ROUNDUP(S35,2)</f>
        <v>0</v>
      </c>
      <c r="U35" s="89"/>
      <c r="V35" s="1"/>
      <c r="W35" s="89" t="str">
        <f t="shared" ref="W35:W42" si="9">IF(F35="","",I35-F35)</f>
        <v/>
      </c>
      <c r="X35" s="1"/>
      <c r="Y35" s="1"/>
      <c r="Z35" s="1"/>
      <c r="AA35" s="1"/>
    </row>
    <row r="36" spans="1:27" x14ac:dyDescent="0.25">
      <c r="A36" s="1"/>
      <c r="B36" s="138"/>
      <c r="C36" s="100"/>
      <c r="D36" s="100"/>
      <c r="E36" s="101"/>
      <c r="F36" s="102"/>
      <c r="G36" s="100" t="str">
        <f t="shared" si="4"/>
        <v/>
      </c>
      <c r="H36" s="100" t="str">
        <f t="shared" si="3"/>
        <v/>
      </c>
      <c r="I36" s="102" t="str">
        <f t="shared" si="5"/>
        <v/>
      </c>
      <c r="J36" s="102"/>
      <c r="K36" s="111"/>
      <c r="L36" s="1"/>
      <c r="M36" s="1"/>
      <c r="N36" s="1"/>
      <c r="O36" s="1"/>
      <c r="P36" s="89" t="e">
        <f t="shared" si="6"/>
        <v>#VALUE!</v>
      </c>
      <c r="Q36" s="1"/>
      <c r="R36" s="1"/>
      <c r="S36" s="1">
        <f t="shared" si="7"/>
        <v>0</v>
      </c>
      <c r="T36" s="1">
        <f t="shared" si="8"/>
        <v>0</v>
      </c>
      <c r="U36" s="89"/>
      <c r="V36" s="1"/>
      <c r="W36" s="89" t="str">
        <f t="shared" si="9"/>
        <v/>
      </c>
      <c r="X36" s="1"/>
      <c r="Y36" s="1"/>
      <c r="Z36" s="1"/>
      <c r="AA36" s="1"/>
    </row>
    <row r="37" spans="1:27" x14ac:dyDescent="0.25">
      <c r="A37" s="1"/>
      <c r="B37" s="138"/>
      <c r="C37" s="100"/>
      <c r="D37" s="100"/>
      <c r="E37" s="101"/>
      <c r="F37" s="102"/>
      <c r="G37" s="100" t="str">
        <f t="shared" si="4"/>
        <v/>
      </c>
      <c r="H37" s="100" t="str">
        <f t="shared" si="3"/>
        <v/>
      </c>
      <c r="I37" s="102" t="str">
        <f t="shared" si="5"/>
        <v/>
      </c>
      <c r="J37" s="102"/>
      <c r="K37" s="111"/>
      <c r="L37" s="1"/>
      <c r="M37" s="1"/>
      <c r="N37" s="1"/>
      <c r="O37" s="1"/>
      <c r="P37" s="89" t="e">
        <f t="shared" si="6"/>
        <v>#VALUE!</v>
      </c>
      <c r="Q37" s="1"/>
      <c r="R37" s="1"/>
      <c r="S37" s="1">
        <f t="shared" si="7"/>
        <v>0</v>
      </c>
      <c r="T37" s="1">
        <f t="shared" si="8"/>
        <v>0</v>
      </c>
      <c r="U37" s="89"/>
      <c r="V37" s="1"/>
      <c r="W37" s="89" t="str">
        <f t="shared" si="9"/>
        <v/>
      </c>
      <c r="X37" s="1"/>
      <c r="Y37" s="1"/>
      <c r="Z37" s="1"/>
      <c r="AA37" s="1"/>
    </row>
    <row r="38" spans="1:27" x14ac:dyDescent="0.25">
      <c r="A38" s="1"/>
      <c r="B38" s="138"/>
      <c r="C38" s="100"/>
      <c r="D38" s="100"/>
      <c r="E38" s="101"/>
      <c r="F38" s="102"/>
      <c r="G38" s="100" t="str">
        <f t="shared" si="4"/>
        <v/>
      </c>
      <c r="H38" s="100" t="str">
        <f t="shared" si="3"/>
        <v/>
      </c>
      <c r="I38" s="102" t="str">
        <f t="shared" si="5"/>
        <v/>
      </c>
      <c r="J38" s="102"/>
      <c r="K38" s="111"/>
      <c r="L38" s="1"/>
      <c r="M38" s="1"/>
      <c r="N38" s="1"/>
      <c r="O38" s="1"/>
      <c r="P38" s="89" t="e">
        <f t="shared" si="6"/>
        <v>#VALUE!</v>
      </c>
      <c r="Q38" s="1"/>
      <c r="R38" s="1"/>
      <c r="S38" s="1">
        <f t="shared" si="7"/>
        <v>0</v>
      </c>
      <c r="T38" s="1">
        <f t="shared" si="8"/>
        <v>0</v>
      </c>
      <c r="U38" s="89"/>
      <c r="V38" s="1"/>
      <c r="W38" s="89" t="str">
        <f t="shared" si="9"/>
        <v/>
      </c>
      <c r="X38" s="1"/>
      <c r="Y38" s="1"/>
      <c r="Z38" s="89"/>
      <c r="AA38" s="1"/>
    </row>
    <row r="39" spans="1:27" x14ac:dyDescent="0.25">
      <c r="A39" s="1"/>
      <c r="B39" s="138"/>
      <c r="C39" s="100"/>
      <c r="D39" s="100"/>
      <c r="E39" s="101"/>
      <c r="F39" s="102"/>
      <c r="G39" s="100" t="str">
        <f t="shared" si="4"/>
        <v/>
      </c>
      <c r="H39" s="100" t="str">
        <f t="shared" si="3"/>
        <v/>
      </c>
      <c r="I39" s="102" t="str">
        <f t="shared" si="5"/>
        <v/>
      </c>
      <c r="J39" s="102"/>
      <c r="K39" s="111"/>
      <c r="L39" s="1"/>
      <c r="M39" s="1"/>
      <c r="N39" s="1"/>
      <c r="O39" s="1"/>
      <c r="P39" s="89" t="e">
        <f t="shared" si="6"/>
        <v>#VALUE!</v>
      </c>
      <c r="Q39" s="1"/>
      <c r="R39" s="1"/>
      <c r="S39" s="1">
        <f t="shared" si="7"/>
        <v>0</v>
      </c>
      <c r="T39" s="1">
        <f t="shared" si="8"/>
        <v>0</v>
      </c>
      <c r="U39" s="89"/>
      <c r="V39" s="1"/>
      <c r="W39" s="89" t="str">
        <f t="shared" si="9"/>
        <v/>
      </c>
      <c r="X39" s="1"/>
      <c r="Y39" s="1"/>
      <c r="Z39" s="1"/>
      <c r="AA39" s="1"/>
    </row>
    <row r="40" spans="1:27" x14ac:dyDescent="0.25">
      <c r="A40" s="1"/>
      <c r="B40" s="138"/>
      <c r="C40" s="100"/>
      <c r="D40" s="100"/>
      <c r="E40" s="101"/>
      <c r="F40" s="102"/>
      <c r="G40" s="100"/>
      <c r="H40" s="100"/>
      <c r="I40" s="102"/>
      <c r="J40" s="102"/>
      <c r="K40" s="111"/>
      <c r="L40" s="1"/>
      <c r="M40" s="1"/>
      <c r="N40" s="1"/>
      <c r="O40" s="1"/>
      <c r="P40" s="89"/>
      <c r="Q40" s="1"/>
      <c r="R40" s="1"/>
      <c r="S40" s="1"/>
      <c r="T40" s="1"/>
      <c r="U40" s="89"/>
      <c r="V40" s="1"/>
      <c r="W40" s="89"/>
      <c r="X40" s="1"/>
      <c r="Y40" s="1"/>
      <c r="Z40" s="1"/>
      <c r="AA40" s="1"/>
    </row>
    <row r="41" spans="1:27" x14ac:dyDescent="0.25">
      <c r="A41" s="1"/>
      <c r="B41" s="138"/>
      <c r="C41" s="100"/>
      <c r="D41" s="100"/>
      <c r="E41" s="101"/>
      <c r="F41" s="102"/>
      <c r="G41" s="100"/>
      <c r="H41" s="100"/>
      <c r="I41" s="102"/>
      <c r="J41" s="102"/>
      <c r="K41" s="111"/>
      <c r="L41" s="1"/>
      <c r="M41" s="1"/>
      <c r="N41" s="1"/>
      <c r="O41" s="1"/>
      <c r="P41" s="89"/>
      <c r="Q41" s="1"/>
      <c r="R41" s="1"/>
      <c r="S41" s="1"/>
      <c r="T41" s="1"/>
      <c r="U41" s="89"/>
      <c r="V41" s="1"/>
      <c r="W41" s="89"/>
      <c r="X41" s="1"/>
      <c r="Y41" s="1"/>
      <c r="Z41" s="1"/>
      <c r="AA41" s="1"/>
    </row>
    <row r="42" spans="1:27" ht="15.75" thickBot="1" x14ac:dyDescent="0.3">
      <c r="A42" s="1"/>
      <c r="B42" s="158"/>
      <c r="C42" s="113"/>
      <c r="D42" s="113"/>
      <c r="E42" s="114"/>
      <c r="F42" s="115"/>
      <c r="G42" s="113" t="str">
        <f t="shared" si="4"/>
        <v/>
      </c>
      <c r="H42" s="113" t="str">
        <f t="shared" si="3"/>
        <v/>
      </c>
      <c r="I42" s="115" t="str">
        <f t="shared" si="5"/>
        <v/>
      </c>
      <c r="J42" s="115"/>
      <c r="K42" s="116"/>
      <c r="L42" s="1"/>
      <c r="M42" s="1"/>
      <c r="N42" s="1"/>
      <c r="O42" s="1"/>
      <c r="P42" s="1"/>
      <c r="Q42" s="1"/>
      <c r="R42" s="1"/>
      <c r="S42" s="1">
        <f t="shared" si="7"/>
        <v>0</v>
      </c>
      <c r="T42" s="1">
        <f t="shared" si="8"/>
        <v>0</v>
      </c>
      <c r="U42" s="89"/>
      <c r="V42" s="1"/>
      <c r="W42" s="89" t="str">
        <f t="shared" si="9"/>
        <v/>
      </c>
      <c r="X42" s="1"/>
      <c r="Y42" s="1"/>
      <c r="Z42" s="1"/>
      <c r="AA42" s="1"/>
    </row>
    <row r="43" spans="1:27" x14ac:dyDescent="0.25">
      <c r="A43" s="1"/>
      <c r="B43" s="1"/>
      <c r="C43" s="1"/>
      <c r="D43" s="89"/>
      <c r="E43" s="89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x14ac:dyDescent="0.25">
      <c r="A44" s="1"/>
      <c r="B44" s="89"/>
      <c r="C44" s="1"/>
      <c r="D44" s="1"/>
      <c r="E44" s="8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</sheetData>
  <mergeCells count="9">
    <mergeCell ref="G3:H3"/>
    <mergeCell ref="G2:H2"/>
    <mergeCell ref="S32:T32"/>
    <mergeCell ref="G4:H4"/>
    <mergeCell ref="B2:C2"/>
    <mergeCell ref="B3:C3"/>
    <mergeCell ref="B4:C4"/>
    <mergeCell ref="B6:K9"/>
    <mergeCell ref="B31:K32"/>
  </mergeCells>
  <dataValidations count="3">
    <dataValidation type="list" allowBlank="1" showInputMessage="1" showErrorMessage="1" sqref="B34:B42" xr:uid="{9D1CC973-44AC-4C34-8AF9-48121EEF11EF}">
      <formula1>$B$11:$B$20</formula1>
    </dataValidation>
    <dataValidation type="list" allowBlank="1" showInputMessage="1" showErrorMessage="1" sqref="C34:C42" xr:uid="{301B4FA1-6E93-493F-A9D3-275F769F8BE6}">
      <formula1>paiement</formula1>
    </dataValidation>
    <dataValidation type="list" allowBlank="1" showInputMessage="1" showErrorMessage="1" sqref="D34:D42" xr:uid="{953C0D7C-76EB-407E-8525-71193D70FC09}">
      <formula1>banque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6FE8BD-5985-42E4-9202-8D30CAB649C2}">
          <x14:formula1>
            <xm:f>parametre!$S$2:$S$4</xm:f>
          </x14:formula1>
          <xm:sqref>D2</xm:sqref>
        </x14:dataValidation>
        <x14:dataValidation type="list" allowBlank="1" showInputMessage="1" showErrorMessage="1" xr:uid="{8A86F396-9C6E-4160-A154-0FCF6AF01505}">
          <x14:formula1>
            <xm:f>BDD_materiel!$A$8:$A$211</xm:f>
          </x14:formula1>
          <xm:sqref>C11:C25</xm:sqref>
        </x14:dataValidation>
        <x14:dataValidation type="list" allowBlank="1" showInputMessage="1" showErrorMessage="1" xr:uid="{E4BABE95-B7E9-403C-9486-758910DDF34C}">
          <x14:formula1>
            <xm:f>BDD_licencies!$A$7:$A$939</xm:f>
          </x14:formula1>
          <xm:sqref>B11:B25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8DC37-E505-41A6-BC21-0831DA5E24CF}">
  <sheetPr codeName="Feuil9"/>
  <dimension ref="A1:O175"/>
  <sheetViews>
    <sheetView workbookViewId="0">
      <selection activeCell="G31" sqref="G31"/>
    </sheetView>
  </sheetViews>
  <sheetFormatPr baseColWidth="10" defaultColWidth="0" defaultRowHeight="15" x14ac:dyDescent="0.25"/>
  <cols>
    <col min="1" max="1" width="11.42578125" style="1" customWidth="1"/>
    <col min="2" max="2" width="9.85546875" style="1" bestFit="1" customWidth="1"/>
    <col min="3" max="3" width="9.5703125" style="1" bestFit="1" customWidth="1"/>
    <col min="4" max="5" width="11.42578125" style="1" customWidth="1"/>
    <col min="6" max="6" width="21.28515625" style="1" bestFit="1" customWidth="1"/>
    <col min="7" max="7" width="14.85546875" style="1" customWidth="1"/>
    <col min="8" max="8" width="13" style="1" customWidth="1"/>
    <col min="9" max="9" width="11.42578125" style="1" customWidth="1"/>
    <col min="10" max="10" width="14" style="1" customWidth="1"/>
    <col min="11" max="11" width="13.42578125" style="1" bestFit="1" customWidth="1"/>
    <col min="12" max="12" width="17.7109375" style="1" customWidth="1"/>
    <col min="13" max="15" width="11.42578125" style="1" customWidth="1"/>
    <col min="16" max="16384" width="11.42578125" style="1" hidden="1"/>
  </cols>
  <sheetData>
    <row r="1" spans="1:12" ht="15" customHeight="1" x14ac:dyDescent="0.25">
      <c r="A1" s="286" t="s">
        <v>307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</row>
    <row r="2" spans="1:12" ht="15" customHeight="1" x14ac:dyDescent="0.25">
      <c r="A2" s="286"/>
      <c r="B2" s="286"/>
      <c r="C2" s="286"/>
      <c r="D2" s="286"/>
      <c r="E2" s="286"/>
      <c r="F2" s="286"/>
      <c r="G2" s="286"/>
      <c r="H2" s="286"/>
      <c r="I2" s="286"/>
      <c r="J2" s="286"/>
      <c r="K2" s="286"/>
      <c r="L2" s="286"/>
    </row>
    <row r="3" spans="1:12" ht="15" customHeight="1" x14ac:dyDescent="0.25">
      <c r="A3" s="286"/>
      <c r="B3" s="286"/>
      <c r="C3" s="286"/>
      <c r="D3" s="286"/>
      <c r="E3" s="286"/>
      <c r="F3" s="286"/>
      <c r="G3" s="286"/>
      <c r="H3" s="286"/>
      <c r="I3" s="286"/>
      <c r="J3" s="286"/>
      <c r="K3" s="286"/>
      <c r="L3" s="286"/>
    </row>
    <row r="4" spans="1:12" x14ac:dyDescent="0.25">
      <c r="A4" s="288" t="s">
        <v>438</v>
      </c>
      <c r="B4" s="288"/>
      <c r="C4" s="288"/>
      <c r="D4" s="288"/>
      <c r="E4" s="288"/>
      <c r="F4" s="287" t="s">
        <v>439</v>
      </c>
      <c r="G4" s="287"/>
      <c r="H4" s="287"/>
      <c r="I4" s="287"/>
      <c r="J4" s="287"/>
      <c r="K4" s="287"/>
      <c r="L4" s="287"/>
    </row>
    <row r="5" spans="1:12" s="103" customFormat="1" ht="31.5" customHeight="1" x14ac:dyDescent="0.25">
      <c r="A5" s="103" t="s">
        <v>262</v>
      </c>
      <c r="B5" s="103" t="s">
        <v>274</v>
      </c>
      <c r="C5" s="104" t="s">
        <v>309</v>
      </c>
      <c r="D5" s="103" t="s">
        <v>310</v>
      </c>
      <c r="E5" s="103" t="s">
        <v>11</v>
      </c>
      <c r="F5" s="103" t="s">
        <v>2</v>
      </c>
      <c r="G5" s="104" t="s">
        <v>201</v>
      </c>
      <c r="H5" s="103" t="s">
        <v>110</v>
      </c>
      <c r="I5" s="103" t="s">
        <v>295</v>
      </c>
      <c r="J5" s="104" t="s">
        <v>296</v>
      </c>
      <c r="K5" s="104" t="s">
        <v>308</v>
      </c>
      <c r="L5" s="103" t="s">
        <v>441</v>
      </c>
    </row>
    <row r="6" spans="1:12" x14ac:dyDescent="0.25">
      <c r="A6" s="1" t="s">
        <v>265</v>
      </c>
      <c r="B6" s="1">
        <v>4867435</v>
      </c>
      <c r="C6" s="140">
        <v>43505</v>
      </c>
      <c r="D6" s="1">
        <v>2688914</v>
      </c>
      <c r="E6" s="89">
        <v>118.76</v>
      </c>
      <c r="F6" s="1" t="s">
        <v>437</v>
      </c>
      <c r="G6" s="1" t="s">
        <v>202</v>
      </c>
      <c r="J6" s="89">
        <v>29.87</v>
      </c>
      <c r="K6" s="89">
        <v>29.865000000000002</v>
      </c>
      <c r="L6" s="1" t="s">
        <v>507</v>
      </c>
    </row>
    <row r="7" spans="1:12" x14ac:dyDescent="0.25">
      <c r="C7" s="140"/>
      <c r="E7" s="89"/>
      <c r="F7" s="1" t="s">
        <v>436</v>
      </c>
      <c r="J7" s="89"/>
      <c r="K7" s="89">
        <v>27.965</v>
      </c>
    </row>
    <row r="8" spans="1:12" x14ac:dyDescent="0.25">
      <c r="C8" s="140"/>
      <c r="E8" s="89"/>
      <c r="F8" s="1" t="s">
        <v>443</v>
      </c>
      <c r="G8" s="1" t="s">
        <v>203</v>
      </c>
      <c r="J8" s="89">
        <v>10</v>
      </c>
      <c r="K8" s="89">
        <v>10</v>
      </c>
    </row>
    <row r="9" spans="1:12" x14ac:dyDescent="0.25">
      <c r="C9" s="140"/>
      <c r="E9" s="89"/>
      <c r="F9" s="1" t="s">
        <v>435</v>
      </c>
      <c r="J9" s="89">
        <v>50.92</v>
      </c>
      <c r="K9" s="89">
        <v>50.914999999999999</v>
      </c>
    </row>
    <row r="10" spans="1:12" x14ac:dyDescent="0.25">
      <c r="A10" s="1" t="s">
        <v>265</v>
      </c>
      <c r="B10" s="1">
        <v>4873906</v>
      </c>
      <c r="C10" s="140">
        <v>43566</v>
      </c>
      <c r="D10" s="1">
        <v>2701613</v>
      </c>
      <c r="E10" s="89">
        <v>73.09</v>
      </c>
      <c r="F10" s="1" t="s">
        <v>573</v>
      </c>
      <c r="G10" s="1" t="s">
        <v>203</v>
      </c>
      <c r="J10" s="89"/>
      <c r="K10" s="89">
        <v>39.515000000000001</v>
      </c>
    </row>
    <row r="11" spans="1:12" x14ac:dyDescent="0.25">
      <c r="C11" s="140"/>
      <c r="E11" s="89"/>
      <c r="F11" s="1" t="s">
        <v>574</v>
      </c>
      <c r="G11" s="1" t="s">
        <v>583</v>
      </c>
      <c r="J11" s="89"/>
      <c r="K11" s="89">
        <v>33.564999999999998</v>
      </c>
    </row>
    <row r="12" spans="1:12" x14ac:dyDescent="0.25">
      <c r="A12" s="1" t="s">
        <v>265</v>
      </c>
      <c r="C12" s="140"/>
      <c r="E12" s="89"/>
      <c r="F12" s="1" t="s">
        <v>573</v>
      </c>
      <c r="G12" s="1" t="s">
        <v>203</v>
      </c>
      <c r="J12" s="89"/>
      <c r="K12" s="89">
        <v>39.515000000000001</v>
      </c>
    </row>
    <row r="13" spans="1:12" x14ac:dyDescent="0.25">
      <c r="C13" s="140"/>
      <c r="E13" s="89"/>
      <c r="F13" s="1" t="s">
        <v>574</v>
      </c>
      <c r="J13" s="89"/>
      <c r="K13" s="89">
        <v>33.564999999999998</v>
      </c>
    </row>
    <row r="14" spans="1:12" x14ac:dyDescent="0.25">
      <c r="C14" s="140"/>
      <c r="E14" s="89"/>
      <c r="J14" s="89"/>
      <c r="K14" s="89"/>
    </row>
    <row r="15" spans="1:12" x14ac:dyDescent="0.25">
      <c r="C15" s="140"/>
      <c r="E15" s="89"/>
      <c r="J15" s="89"/>
      <c r="K15" s="89"/>
    </row>
    <row r="16" spans="1:12" x14ac:dyDescent="0.25">
      <c r="C16" s="140"/>
      <c r="E16" s="89"/>
      <c r="J16" s="89"/>
      <c r="K16" s="89"/>
    </row>
    <row r="17" spans="3:11" x14ac:dyDescent="0.25">
      <c r="C17" s="140"/>
      <c r="E17" s="89"/>
      <c r="J17" s="89"/>
      <c r="K17" s="89"/>
    </row>
    <row r="18" spans="3:11" x14ac:dyDescent="0.25">
      <c r="C18" s="140"/>
      <c r="E18" s="89"/>
      <c r="J18" s="89"/>
      <c r="K18" s="89"/>
    </row>
    <row r="19" spans="3:11" x14ac:dyDescent="0.25">
      <c r="C19" s="140"/>
      <c r="E19" s="89"/>
      <c r="J19" s="89"/>
      <c r="K19" s="89"/>
    </row>
    <row r="20" spans="3:11" x14ac:dyDescent="0.25">
      <c r="C20" s="140"/>
      <c r="E20" s="89"/>
      <c r="J20" s="89"/>
      <c r="K20" s="89"/>
    </row>
    <row r="21" spans="3:11" x14ac:dyDescent="0.25">
      <c r="C21" s="140"/>
      <c r="E21" s="89"/>
      <c r="J21" s="89"/>
      <c r="K21" s="89"/>
    </row>
    <row r="22" spans="3:11" x14ac:dyDescent="0.25">
      <c r="C22" s="140"/>
      <c r="E22" s="89"/>
      <c r="J22" s="89"/>
      <c r="K22" s="89"/>
    </row>
    <row r="23" spans="3:11" x14ac:dyDescent="0.25">
      <c r="C23" s="140"/>
      <c r="E23" s="89"/>
      <c r="J23" s="89"/>
      <c r="K23" s="89"/>
    </row>
    <row r="24" spans="3:11" x14ac:dyDescent="0.25">
      <c r="C24" s="140"/>
      <c r="E24" s="89"/>
      <c r="J24" s="89"/>
      <c r="K24" s="89"/>
    </row>
    <row r="25" spans="3:11" x14ac:dyDescent="0.25">
      <c r="C25" s="140"/>
      <c r="E25" s="89"/>
      <c r="J25" s="89"/>
      <c r="K25" s="89"/>
    </row>
    <row r="26" spans="3:11" x14ac:dyDescent="0.25">
      <c r="C26" s="140"/>
      <c r="E26" s="89"/>
      <c r="J26" s="89"/>
      <c r="K26" s="89"/>
    </row>
    <row r="27" spans="3:11" x14ac:dyDescent="0.25">
      <c r="C27" s="140"/>
      <c r="E27" s="89"/>
      <c r="J27" s="89"/>
      <c r="K27" s="89"/>
    </row>
    <row r="28" spans="3:11" x14ac:dyDescent="0.25">
      <c r="C28" s="140"/>
      <c r="E28" s="89"/>
      <c r="J28" s="89"/>
      <c r="K28" s="89"/>
    </row>
    <row r="29" spans="3:11" x14ac:dyDescent="0.25">
      <c r="C29" s="140"/>
      <c r="E29" s="89"/>
      <c r="J29" s="89"/>
      <c r="K29" s="89"/>
    </row>
    <row r="30" spans="3:11" x14ac:dyDescent="0.25">
      <c r="C30" s="140"/>
      <c r="E30" s="89"/>
      <c r="J30" s="89"/>
      <c r="K30" s="89"/>
    </row>
    <row r="31" spans="3:11" x14ac:dyDescent="0.25">
      <c r="C31" s="140"/>
      <c r="E31" s="89"/>
      <c r="J31" s="89"/>
      <c r="K31" s="89"/>
    </row>
    <row r="32" spans="3:11" x14ac:dyDescent="0.25">
      <c r="C32" s="140"/>
      <c r="E32" s="89"/>
      <c r="J32" s="89"/>
      <c r="K32" s="89"/>
    </row>
    <row r="33" spans="3:11" x14ac:dyDescent="0.25">
      <c r="C33" s="140"/>
      <c r="E33" s="89"/>
      <c r="J33" s="89"/>
      <c r="K33" s="89"/>
    </row>
    <row r="34" spans="3:11" x14ac:dyDescent="0.25">
      <c r="C34" s="140"/>
      <c r="E34" s="89"/>
      <c r="J34" s="89"/>
      <c r="K34" s="89"/>
    </row>
    <row r="35" spans="3:11" x14ac:dyDescent="0.25">
      <c r="C35" s="140"/>
      <c r="E35" s="89"/>
      <c r="J35" s="89"/>
      <c r="K35" s="89"/>
    </row>
    <row r="36" spans="3:11" x14ac:dyDescent="0.25">
      <c r="C36" s="140"/>
      <c r="E36" s="89"/>
      <c r="J36" s="89"/>
      <c r="K36" s="89"/>
    </row>
    <row r="37" spans="3:11" x14ac:dyDescent="0.25">
      <c r="C37" s="140"/>
      <c r="E37" s="89"/>
      <c r="J37" s="89"/>
      <c r="K37" s="89"/>
    </row>
    <row r="38" spans="3:11" x14ac:dyDescent="0.25">
      <c r="C38" s="140"/>
      <c r="E38" s="89"/>
      <c r="J38" s="89"/>
      <c r="K38" s="89"/>
    </row>
    <row r="39" spans="3:11" x14ac:dyDescent="0.25">
      <c r="C39" s="140"/>
      <c r="E39" s="89"/>
      <c r="J39" s="89"/>
      <c r="K39" s="89"/>
    </row>
    <row r="40" spans="3:11" x14ac:dyDescent="0.25">
      <c r="C40" s="140"/>
      <c r="E40" s="89"/>
      <c r="J40" s="89"/>
      <c r="K40" s="89"/>
    </row>
    <row r="41" spans="3:11" x14ac:dyDescent="0.25">
      <c r="C41" s="140"/>
      <c r="E41" s="89"/>
      <c r="J41" s="89"/>
      <c r="K41" s="89"/>
    </row>
    <row r="42" spans="3:11" x14ac:dyDescent="0.25">
      <c r="C42" s="140"/>
      <c r="E42" s="89"/>
      <c r="J42" s="89"/>
      <c r="K42" s="89"/>
    </row>
    <row r="43" spans="3:11" x14ac:dyDescent="0.25">
      <c r="C43" s="140"/>
      <c r="E43" s="89"/>
      <c r="J43" s="89"/>
      <c r="K43" s="89"/>
    </row>
    <row r="44" spans="3:11" x14ac:dyDescent="0.25">
      <c r="C44" s="140"/>
      <c r="E44" s="89"/>
      <c r="J44" s="89"/>
      <c r="K44" s="89"/>
    </row>
    <row r="45" spans="3:11" x14ac:dyDescent="0.25">
      <c r="C45" s="140"/>
      <c r="E45" s="89"/>
      <c r="J45" s="89"/>
      <c r="K45" s="89"/>
    </row>
    <row r="46" spans="3:11" x14ac:dyDescent="0.25">
      <c r="C46" s="140"/>
      <c r="E46" s="89"/>
      <c r="J46" s="89"/>
      <c r="K46" s="89"/>
    </row>
    <row r="47" spans="3:11" x14ac:dyDescent="0.25">
      <c r="C47" s="140"/>
      <c r="E47" s="89"/>
      <c r="J47" s="89"/>
      <c r="K47" s="89"/>
    </row>
    <row r="48" spans="3:11" x14ac:dyDescent="0.25">
      <c r="C48" s="140"/>
      <c r="E48" s="89"/>
      <c r="J48" s="89"/>
      <c r="K48" s="89"/>
    </row>
    <row r="49" spans="3:11" x14ac:dyDescent="0.25">
      <c r="C49" s="140"/>
      <c r="E49" s="89"/>
      <c r="J49" s="89"/>
      <c r="K49" s="89"/>
    </row>
    <row r="50" spans="3:11" x14ac:dyDescent="0.25">
      <c r="C50" s="140"/>
      <c r="E50" s="89"/>
      <c r="J50" s="89"/>
      <c r="K50" s="89"/>
    </row>
    <row r="51" spans="3:11" x14ac:dyDescent="0.25">
      <c r="C51" s="140"/>
      <c r="E51" s="89"/>
      <c r="J51" s="89"/>
      <c r="K51" s="89"/>
    </row>
    <row r="52" spans="3:11" x14ac:dyDescent="0.25">
      <c r="C52" s="140"/>
      <c r="E52" s="89"/>
      <c r="J52" s="89"/>
      <c r="K52" s="89"/>
    </row>
    <row r="53" spans="3:11" x14ac:dyDescent="0.25">
      <c r="C53" s="140"/>
      <c r="E53" s="89"/>
      <c r="J53" s="89"/>
      <c r="K53" s="89"/>
    </row>
    <row r="54" spans="3:11" x14ac:dyDescent="0.25">
      <c r="C54" s="140"/>
      <c r="E54" s="89"/>
      <c r="J54" s="89"/>
      <c r="K54" s="89"/>
    </row>
    <row r="55" spans="3:11" x14ac:dyDescent="0.25">
      <c r="C55" s="140"/>
      <c r="E55" s="89"/>
      <c r="J55" s="89"/>
      <c r="K55" s="89"/>
    </row>
    <row r="56" spans="3:11" x14ac:dyDescent="0.25">
      <c r="C56" s="140"/>
      <c r="E56" s="89"/>
      <c r="J56" s="89"/>
      <c r="K56" s="89"/>
    </row>
    <row r="57" spans="3:11" x14ac:dyDescent="0.25">
      <c r="C57" s="140"/>
      <c r="E57" s="89"/>
      <c r="J57" s="89"/>
      <c r="K57" s="89"/>
    </row>
    <row r="58" spans="3:11" x14ac:dyDescent="0.25">
      <c r="C58" s="140"/>
      <c r="E58" s="89"/>
      <c r="J58" s="89"/>
      <c r="K58" s="89"/>
    </row>
    <row r="59" spans="3:11" x14ac:dyDescent="0.25">
      <c r="C59" s="140"/>
      <c r="E59" s="89"/>
      <c r="J59" s="89"/>
      <c r="K59" s="89"/>
    </row>
    <row r="60" spans="3:11" x14ac:dyDescent="0.25">
      <c r="C60" s="140"/>
      <c r="E60" s="89"/>
      <c r="J60" s="89"/>
      <c r="K60" s="89"/>
    </row>
    <row r="61" spans="3:11" x14ac:dyDescent="0.25">
      <c r="C61" s="140"/>
      <c r="E61" s="89"/>
      <c r="J61" s="89"/>
      <c r="K61" s="89"/>
    </row>
    <row r="62" spans="3:11" x14ac:dyDescent="0.25">
      <c r="C62" s="140"/>
      <c r="E62" s="89"/>
      <c r="J62" s="89"/>
      <c r="K62" s="89"/>
    </row>
    <row r="63" spans="3:11" x14ac:dyDescent="0.25">
      <c r="C63" s="140"/>
      <c r="E63" s="89"/>
      <c r="J63" s="89"/>
      <c r="K63" s="89"/>
    </row>
    <row r="64" spans="3:11" x14ac:dyDescent="0.25">
      <c r="C64" s="140"/>
      <c r="E64" s="89"/>
      <c r="J64" s="89"/>
      <c r="K64" s="89"/>
    </row>
    <row r="65" spans="3:11" x14ac:dyDescent="0.25">
      <c r="C65" s="140"/>
      <c r="E65" s="89"/>
      <c r="J65" s="89"/>
      <c r="K65" s="89"/>
    </row>
    <row r="66" spans="3:11" x14ac:dyDescent="0.25">
      <c r="C66" s="140"/>
      <c r="E66" s="89"/>
      <c r="J66" s="89"/>
      <c r="K66" s="89"/>
    </row>
    <row r="67" spans="3:11" x14ac:dyDescent="0.25">
      <c r="C67" s="140"/>
      <c r="E67" s="89"/>
      <c r="J67" s="89"/>
      <c r="K67" s="89"/>
    </row>
    <row r="68" spans="3:11" x14ac:dyDescent="0.25">
      <c r="C68" s="140"/>
      <c r="E68" s="89"/>
      <c r="J68" s="89"/>
      <c r="K68" s="89"/>
    </row>
    <row r="69" spans="3:11" x14ac:dyDescent="0.25">
      <c r="C69" s="140"/>
      <c r="E69" s="89"/>
      <c r="J69" s="89"/>
      <c r="K69" s="89"/>
    </row>
    <row r="70" spans="3:11" x14ac:dyDescent="0.25">
      <c r="C70" s="140"/>
      <c r="E70" s="89"/>
      <c r="J70" s="89"/>
      <c r="K70" s="89"/>
    </row>
    <row r="71" spans="3:11" x14ac:dyDescent="0.25">
      <c r="C71" s="140"/>
      <c r="E71" s="89"/>
      <c r="J71" s="89"/>
      <c r="K71" s="89"/>
    </row>
    <row r="72" spans="3:11" x14ac:dyDescent="0.25">
      <c r="C72" s="140"/>
      <c r="E72" s="89"/>
      <c r="J72" s="89"/>
      <c r="K72" s="89"/>
    </row>
    <row r="73" spans="3:11" x14ac:dyDescent="0.25">
      <c r="C73" s="140"/>
      <c r="E73" s="89"/>
      <c r="J73" s="89"/>
      <c r="K73" s="89"/>
    </row>
    <row r="74" spans="3:11" x14ac:dyDescent="0.25">
      <c r="C74" s="140"/>
      <c r="E74" s="89"/>
      <c r="J74" s="89"/>
      <c r="K74" s="89"/>
    </row>
    <row r="75" spans="3:11" x14ac:dyDescent="0.25">
      <c r="C75" s="140"/>
      <c r="E75" s="89"/>
      <c r="J75" s="89"/>
      <c r="K75" s="89"/>
    </row>
    <row r="76" spans="3:11" x14ac:dyDescent="0.25">
      <c r="C76" s="140"/>
      <c r="E76" s="89"/>
      <c r="J76" s="89"/>
      <c r="K76" s="89"/>
    </row>
    <row r="77" spans="3:11" x14ac:dyDescent="0.25">
      <c r="C77" s="140"/>
      <c r="E77" s="89"/>
      <c r="J77" s="89"/>
      <c r="K77" s="89"/>
    </row>
    <row r="78" spans="3:11" x14ac:dyDescent="0.25">
      <c r="C78" s="140"/>
      <c r="E78" s="89"/>
      <c r="J78" s="89"/>
      <c r="K78" s="89"/>
    </row>
    <row r="79" spans="3:11" x14ac:dyDescent="0.25">
      <c r="C79" s="140"/>
      <c r="E79" s="89"/>
      <c r="J79" s="89"/>
      <c r="K79" s="89"/>
    </row>
    <row r="80" spans="3:11" x14ac:dyDescent="0.25">
      <c r="C80" s="140"/>
      <c r="E80" s="89"/>
      <c r="J80" s="89"/>
      <c r="K80" s="89"/>
    </row>
    <row r="81" spans="3:11" x14ac:dyDescent="0.25">
      <c r="C81" s="140"/>
      <c r="E81" s="89"/>
      <c r="J81" s="89"/>
      <c r="K81" s="89"/>
    </row>
    <row r="82" spans="3:11" x14ac:dyDescent="0.25">
      <c r="C82" s="140"/>
      <c r="E82" s="89"/>
      <c r="J82" s="89"/>
      <c r="K82" s="89"/>
    </row>
    <row r="83" spans="3:11" x14ac:dyDescent="0.25">
      <c r="C83" s="140"/>
      <c r="E83" s="89"/>
      <c r="J83" s="89"/>
      <c r="K83" s="89"/>
    </row>
    <row r="84" spans="3:11" x14ac:dyDescent="0.25">
      <c r="C84" s="140"/>
      <c r="E84" s="89"/>
      <c r="J84" s="89"/>
      <c r="K84" s="89"/>
    </row>
    <row r="85" spans="3:11" x14ac:dyDescent="0.25">
      <c r="C85" s="140"/>
      <c r="E85" s="89"/>
      <c r="J85" s="89"/>
      <c r="K85" s="89"/>
    </row>
    <row r="86" spans="3:11" x14ac:dyDescent="0.25">
      <c r="C86" s="140"/>
      <c r="E86" s="89"/>
      <c r="J86" s="89"/>
      <c r="K86" s="89"/>
    </row>
    <row r="87" spans="3:11" x14ac:dyDescent="0.25">
      <c r="C87" s="140"/>
      <c r="E87" s="89"/>
      <c r="J87" s="89"/>
      <c r="K87" s="89"/>
    </row>
    <row r="88" spans="3:11" x14ac:dyDescent="0.25">
      <c r="C88" s="140"/>
      <c r="E88" s="89"/>
      <c r="J88" s="89"/>
      <c r="K88" s="89"/>
    </row>
    <row r="89" spans="3:11" x14ac:dyDescent="0.25">
      <c r="C89" s="140"/>
      <c r="E89" s="89"/>
      <c r="J89" s="89"/>
      <c r="K89" s="89"/>
    </row>
    <row r="90" spans="3:11" x14ac:dyDescent="0.25">
      <c r="C90" s="140"/>
      <c r="E90" s="89"/>
      <c r="J90" s="89"/>
      <c r="K90" s="89"/>
    </row>
    <row r="91" spans="3:11" x14ac:dyDescent="0.25">
      <c r="C91" s="140"/>
      <c r="E91" s="89"/>
      <c r="J91" s="89"/>
      <c r="K91" s="89"/>
    </row>
    <row r="92" spans="3:11" x14ac:dyDescent="0.25">
      <c r="C92" s="140"/>
      <c r="E92" s="89"/>
      <c r="J92" s="89"/>
      <c r="K92" s="89"/>
    </row>
    <row r="93" spans="3:11" x14ac:dyDescent="0.25">
      <c r="C93" s="140"/>
      <c r="E93" s="89"/>
      <c r="J93" s="89"/>
      <c r="K93" s="89"/>
    </row>
    <row r="94" spans="3:11" x14ac:dyDescent="0.25">
      <c r="E94" s="89"/>
      <c r="J94" s="89"/>
      <c r="K94" s="89"/>
    </row>
    <row r="95" spans="3:11" x14ac:dyDescent="0.25">
      <c r="E95" s="89"/>
      <c r="J95" s="89"/>
      <c r="K95" s="89"/>
    </row>
    <row r="96" spans="3:11" x14ac:dyDescent="0.25">
      <c r="E96" s="89"/>
      <c r="J96" s="89"/>
      <c r="K96" s="89"/>
    </row>
    <row r="97" spans="5:11" x14ac:dyDescent="0.25">
      <c r="E97" s="89"/>
      <c r="J97" s="89"/>
      <c r="K97" s="89"/>
    </row>
    <row r="98" spans="5:11" x14ac:dyDescent="0.25">
      <c r="E98" s="89"/>
      <c r="J98" s="89"/>
      <c r="K98" s="89"/>
    </row>
    <row r="99" spans="5:11" x14ac:dyDescent="0.25">
      <c r="E99" s="89"/>
      <c r="J99" s="89"/>
      <c r="K99" s="89"/>
    </row>
    <row r="100" spans="5:11" x14ac:dyDescent="0.25">
      <c r="E100" s="89"/>
      <c r="J100" s="89"/>
      <c r="K100" s="89"/>
    </row>
    <row r="101" spans="5:11" x14ac:dyDescent="0.25">
      <c r="E101" s="89"/>
      <c r="J101" s="89"/>
      <c r="K101" s="89"/>
    </row>
    <row r="102" spans="5:11" x14ac:dyDescent="0.25">
      <c r="E102" s="89"/>
      <c r="J102" s="89"/>
      <c r="K102" s="89"/>
    </row>
    <row r="103" spans="5:11" x14ac:dyDescent="0.25">
      <c r="E103" s="89"/>
      <c r="J103" s="89"/>
      <c r="K103" s="89"/>
    </row>
    <row r="104" spans="5:11" x14ac:dyDescent="0.25">
      <c r="E104" s="89"/>
      <c r="J104" s="89"/>
      <c r="K104" s="89"/>
    </row>
    <row r="105" spans="5:11" x14ac:dyDescent="0.25">
      <c r="E105" s="89"/>
      <c r="J105" s="89"/>
      <c r="K105" s="89"/>
    </row>
    <row r="106" spans="5:11" x14ac:dyDescent="0.25">
      <c r="E106" s="89"/>
      <c r="J106" s="89"/>
      <c r="K106" s="89"/>
    </row>
    <row r="107" spans="5:11" x14ac:dyDescent="0.25">
      <c r="E107" s="89"/>
      <c r="J107" s="89"/>
      <c r="K107" s="89"/>
    </row>
    <row r="108" spans="5:11" x14ac:dyDescent="0.25">
      <c r="E108" s="89"/>
      <c r="J108" s="89"/>
      <c r="K108" s="89"/>
    </row>
    <row r="109" spans="5:11" x14ac:dyDescent="0.25">
      <c r="E109" s="89"/>
      <c r="J109" s="89"/>
      <c r="K109" s="89"/>
    </row>
    <row r="110" spans="5:11" x14ac:dyDescent="0.25">
      <c r="E110" s="89"/>
      <c r="J110" s="89"/>
      <c r="K110" s="89"/>
    </row>
    <row r="111" spans="5:11" x14ac:dyDescent="0.25">
      <c r="E111" s="89"/>
      <c r="J111" s="89"/>
      <c r="K111" s="89"/>
    </row>
    <row r="112" spans="5:11" x14ac:dyDescent="0.25">
      <c r="E112" s="89"/>
      <c r="J112" s="89"/>
      <c r="K112" s="89"/>
    </row>
    <row r="113" spans="5:11" x14ac:dyDescent="0.25">
      <c r="E113" s="89"/>
      <c r="J113" s="89"/>
      <c r="K113" s="89"/>
    </row>
    <row r="114" spans="5:11" x14ac:dyDescent="0.25">
      <c r="E114" s="89"/>
      <c r="J114" s="89"/>
      <c r="K114" s="89"/>
    </row>
    <row r="115" spans="5:11" x14ac:dyDescent="0.25">
      <c r="E115" s="89"/>
      <c r="J115" s="89"/>
      <c r="K115" s="89"/>
    </row>
    <row r="116" spans="5:11" x14ac:dyDescent="0.25">
      <c r="E116" s="89"/>
      <c r="J116" s="89"/>
      <c r="K116" s="89"/>
    </row>
    <row r="117" spans="5:11" x14ac:dyDescent="0.25">
      <c r="E117" s="89"/>
      <c r="J117" s="89"/>
      <c r="K117" s="89"/>
    </row>
    <row r="118" spans="5:11" x14ac:dyDescent="0.25">
      <c r="E118" s="89"/>
      <c r="J118" s="89"/>
      <c r="K118" s="89"/>
    </row>
    <row r="119" spans="5:11" x14ac:dyDescent="0.25">
      <c r="E119" s="89"/>
      <c r="J119" s="89"/>
      <c r="K119" s="89"/>
    </row>
    <row r="120" spans="5:11" x14ac:dyDescent="0.25">
      <c r="E120" s="89"/>
      <c r="J120" s="89"/>
      <c r="K120" s="89"/>
    </row>
    <row r="121" spans="5:11" x14ac:dyDescent="0.25">
      <c r="E121" s="89"/>
      <c r="J121" s="89"/>
      <c r="K121" s="89"/>
    </row>
    <row r="122" spans="5:11" x14ac:dyDescent="0.25">
      <c r="E122" s="89"/>
      <c r="J122" s="89"/>
      <c r="K122" s="89"/>
    </row>
    <row r="123" spans="5:11" x14ac:dyDescent="0.25">
      <c r="E123" s="89"/>
      <c r="J123" s="89"/>
      <c r="K123" s="89"/>
    </row>
    <row r="124" spans="5:11" x14ac:dyDescent="0.25">
      <c r="E124" s="89"/>
      <c r="J124" s="89"/>
      <c r="K124" s="89"/>
    </row>
    <row r="125" spans="5:11" x14ac:dyDescent="0.25">
      <c r="E125" s="89"/>
      <c r="J125" s="89"/>
      <c r="K125" s="89"/>
    </row>
    <row r="126" spans="5:11" x14ac:dyDescent="0.25">
      <c r="E126" s="89"/>
      <c r="J126" s="89"/>
      <c r="K126" s="89"/>
    </row>
    <row r="127" spans="5:11" x14ac:dyDescent="0.25">
      <c r="E127" s="89"/>
      <c r="J127" s="89"/>
      <c r="K127" s="89"/>
    </row>
    <row r="128" spans="5:11" x14ac:dyDescent="0.25">
      <c r="E128" s="89"/>
      <c r="J128" s="89"/>
      <c r="K128" s="89"/>
    </row>
    <row r="129" spans="5:11" x14ac:dyDescent="0.25">
      <c r="E129" s="89"/>
      <c r="J129" s="89"/>
      <c r="K129" s="89"/>
    </row>
    <row r="130" spans="5:11" x14ac:dyDescent="0.25">
      <c r="E130" s="89"/>
      <c r="J130" s="89"/>
      <c r="K130" s="89"/>
    </row>
    <row r="131" spans="5:11" x14ac:dyDescent="0.25">
      <c r="E131" s="89"/>
      <c r="J131" s="89"/>
      <c r="K131" s="89"/>
    </row>
    <row r="132" spans="5:11" x14ac:dyDescent="0.25">
      <c r="E132" s="89"/>
      <c r="J132" s="89"/>
      <c r="K132" s="89"/>
    </row>
    <row r="133" spans="5:11" x14ac:dyDescent="0.25">
      <c r="E133" s="89"/>
      <c r="J133" s="89"/>
      <c r="K133" s="89"/>
    </row>
    <row r="134" spans="5:11" x14ac:dyDescent="0.25">
      <c r="E134" s="89"/>
      <c r="J134" s="89"/>
      <c r="K134" s="89"/>
    </row>
    <row r="135" spans="5:11" x14ac:dyDescent="0.25">
      <c r="E135" s="89"/>
      <c r="J135" s="89"/>
      <c r="K135" s="89"/>
    </row>
    <row r="136" spans="5:11" x14ac:dyDescent="0.25">
      <c r="E136" s="89"/>
      <c r="J136" s="89"/>
      <c r="K136" s="89"/>
    </row>
    <row r="137" spans="5:11" x14ac:dyDescent="0.25">
      <c r="E137" s="89"/>
      <c r="J137" s="89"/>
      <c r="K137" s="89"/>
    </row>
    <row r="138" spans="5:11" x14ac:dyDescent="0.25">
      <c r="E138" s="89"/>
      <c r="J138" s="89"/>
      <c r="K138" s="89"/>
    </row>
    <row r="139" spans="5:11" x14ac:dyDescent="0.25">
      <c r="E139" s="89"/>
      <c r="J139" s="89"/>
      <c r="K139" s="89"/>
    </row>
    <row r="140" spans="5:11" x14ac:dyDescent="0.25">
      <c r="E140" s="89"/>
      <c r="J140" s="89"/>
      <c r="K140" s="89"/>
    </row>
    <row r="141" spans="5:11" x14ac:dyDescent="0.25">
      <c r="E141" s="89"/>
      <c r="J141" s="89"/>
      <c r="K141" s="89"/>
    </row>
    <row r="142" spans="5:11" x14ac:dyDescent="0.25">
      <c r="E142" s="89"/>
      <c r="J142" s="89"/>
      <c r="K142" s="89"/>
    </row>
    <row r="143" spans="5:11" x14ac:dyDescent="0.25">
      <c r="E143" s="89"/>
      <c r="J143" s="89"/>
      <c r="K143" s="89"/>
    </row>
    <row r="144" spans="5:11" x14ac:dyDescent="0.25">
      <c r="E144" s="89"/>
      <c r="J144" s="89"/>
      <c r="K144" s="89"/>
    </row>
    <row r="145" spans="5:11" x14ac:dyDescent="0.25">
      <c r="E145" s="89"/>
      <c r="J145" s="89"/>
      <c r="K145" s="89"/>
    </row>
    <row r="146" spans="5:11" x14ac:dyDescent="0.25">
      <c r="E146" s="89"/>
      <c r="J146" s="89"/>
      <c r="K146" s="89"/>
    </row>
    <row r="147" spans="5:11" x14ac:dyDescent="0.25">
      <c r="E147" s="89"/>
      <c r="J147" s="89"/>
      <c r="K147" s="89"/>
    </row>
    <row r="148" spans="5:11" x14ac:dyDescent="0.25">
      <c r="E148" s="89"/>
      <c r="J148" s="89"/>
      <c r="K148" s="89"/>
    </row>
    <row r="149" spans="5:11" x14ac:dyDescent="0.25">
      <c r="E149" s="89"/>
      <c r="J149" s="89"/>
      <c r="K149" s="89"/>
    </row>
    <row r="150" spans="5:11" x14ac:dyDescent="0.25">
      <c r="E150" s="89"/>
      <c r="J150" s="89"/>
      <c r="K150" s="89"/>
    </row>
    <row r="151" spans="5:11" x14ac:dyDescent="0.25">
      <c r="E151" s="89"/>
      <c r="J151" s="89"/>
      <c r="K151" s="89"/>
    </row>
    <row r="152" spans="5:11" x14ac:dyDescent="0.25">
      <c r="E152" s="89"/>
      <c r="J152" s="89"/>
      <c r="K152" s="89"/>
    </row>
    <row r="153" spans="5:11" x14ac:dyDescent="0.25">
      <c r="E153" s="89"/>
      <c r="J153" s="89"/>
      <c r="K153" s="89"/>
    </row>
    <row r="154" spans="5:11" x14ac:dyDescent="0.25">
      <c r="E154" s="89"/>
      <c r="J154" s="89"/>
      <c r="K154" s="89"/>
    </row>
    <row r="155" spans="5:11" x14ac:dyDescent="0.25">
      <c r="E155" s="89"/>
      <c r="J155" s="89"/>
      <c r="K155" s="89"/>
    </row>
    <row r="156" spans="5:11" x14ac:dyDescent="0.25">
      <c r="E156" s="89"/>
      <c r="J156" s="89"/>
      <c r="K156" s="89"/>
    </row>
    <row r="157" spans="5:11" x14ac:dyDescent="0.25">
      <c r="E157" s="89"/>
      <c r="J157" s="89"/>
      <c r="K157" s="89"/>
    </row>
    <row r="158" spans="5:11" x14ac:dyDescent="0.25">
      <c r="E158" s="89"/>
      <c r="J158" s="89"/>
      <c r="K158" s="89"/>
    </row>
    <row r="159" spans="5:11" x14ac:dyDescent="0.25">
      <c r="E159" s="89"/>
      <c r="J159" s="89"/>
      <c r="K159" s="89"/>
    </row>
    <row r="160" spans="5:11" x14ac:dyDescent="0.25">
      <c r="E160" s="89"/>
      <c r="J160" s="89"/>
      <c r="K160" s="89"/>
    </row>
    <row r="161" spans="5:11" x14ac:dyDescent="0.25">
      <c r="E161" s="89"/>
      <c r="J161" s="89"/>
      <c r="K161" s="89"/>
    </row>
    <row r="162" spans="5:11" x14ac:dyDescent="0.25">
      <c r="E162" s="89"/>
      <c r="J162" s="89"/>
      <c r="K162" s="89"/>
    </row>
    <row r="163" spans="5:11" x14ac:dyDescent="0.25">
      <c r="E163" s="89"/>
      <c r="J163" s="89"/>
      <c r="K163" s="89"/>
    </row>
    <row r="164" spans="5:11" x14ac:dyDescent="0.25">
      <c r="E164" s="89"/>
      <c r="J164" s="89"/>
      <c r="K164" s="89"/>
    </row>
    <row r="165" spans="5:11" x14ac:dyDescent="0.25">
      <c r="E165" s="89"/>
      <c r="J165" s="89"/>
      <c r="K165" s="89"/>
    </row>
    <row r="166" spans="5:11" x14ac:dyDescent="0.25">
      <c r="E166" s="89"/>
      <c r="J166" s="89"/>
      <c r="K166" s="89"/>
    </row>
    <row r="167" spans="5:11" x14ac:dyDescent="0.25">
      <c r="E167" s="89"/>
      <c r="J167" s="89"/>
      <c r="K167" s="89"/>
    </row>
    <row r="168" spans="5:11" x14ac:dyDescent="0.25">
      <c r="E168" s="89"/>
      <c r="J168" s="89"/>
      <c r="K168" s="89"/>
    </row>
    <row r="169" spans="5:11" x14ac:dyDescent="0.25">
      <c r="J169" s="89"/>
      <c r="K169" s="89"/>
    </row>
    <row r="170" spans="5:11" x14ac:dyDescent="0.25">
      <c r="J170" s="89"/>
      <c r="K170" s="89"/>
    </row>
    <row r="171" spans="5:11" x14ac:dyDescent="0.25">
      <c r="J171" s="89"/>
    </row>
    <row r="172" spans="5:11" x14ac:dyDescent="0.25">
      <c r="J172" s="89"/>
    </row>
    <row r="173" spans="5:11" x14ac:dyDescent="0.25">
      <c r="J173" s="89"/>
    </row>
    <row r="174" spans="5:11" x14ac:dyDescent="0.25">
      <c r="J174" s="89"/>
    </row>
    <row r="175" spans="5:11" x14ac:dyDescent="0.25">
      <c r="J175" s="89"/>
    </row>
  </sheetData>
  <mergeCells count="3">
    <mergeCell ref="A1:L3"/>
    <mergeCell ref="F4:L4"/>
    <mergeCell ref="A4:E4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9B57D-750A-4EEE-8C65-12D1A600B5E4}">
  <sheetPr codeName="Feuil12"/>
  <dimension ref="A1:I14"/>
  <sheetViews>
    <sheetView workbookViewId="0">
      <selection activeCell="F10" sqref="F10:G10"/>
    </sheetView>
  </sheetViews>
  <sheetFormatPr baseColWidth="10" defaultColWidth="0" defaultRowHeight="15" zeroHeight="1" x14ac:dyDescent="0.25"/>
  <cols>
    <col min="1" max="4" width="11.42578125" customWidth="1"/>
    <col min="5" max="5" width="8" bestFit="1" customWidth="1"/>
    <col min="6" max="7" width="11.42578125" customWidth="1"/>
    <col min="8" max="8" width="11.42578125" hidden="1" customWidth="1"/>
    <col min="9" max="9" width="11.42578125" customWidth="1"/>
    <col min="10" max="16384" width="11.42578125" hidden="1"/>
  </cols>
  <sheetData>
    <row r="1" spans="2:9" x14ac:dyDescent="0.25">
      <c r="B1" s="289" t="s">
        <v>448</v>
      </c>
      <c r="C1" s="289"/>
      <c r="D1" s="289"/>
      <c r="E1" s="289"/>
      <c r="F1" s="289"/>
      <c r="G1" s="289"/>
      <c r="H1" s="147" t="s">
        <v>443</v>
      </c>
      <c r="I1" s="148"/>
    </row>
    <row r="2" spans="2:9" x14ac:dyDescent="0.25">
      <c r="B2" s="289"/>
      <c r="C2" s="289"/>
      <c r="D2" s="289"/>
      <c r="E2" s="289"/>
      <c r="F2" s="289"/>
      <c r="G2" s="289"/>
      <c r="H2" s="148"/>
      <c r="I2" s="148"/>
    </row>
    <row r="3" spans="2:9" x14ac:dyDescent="0.25">
      <c r="B3" s="289"/>
      <c r="C3" s="289"/>
      <c r="D3" s="289"/>
      <c r="E3" s="289"/>
      <c r="F3" s="289"/>
      <c r="G3" s="289"/>
      <c r="H3" s="148"/>
      <c r="I3" s="148"/>
    </row>
    <row r="4" spans="2:9" x14ac:dyDescent="0.25">
      <c r="B4" s="289"/>
      <c r="C4" s="289"/>
      <c r="D4" s="289"/>
      <c r="E4" s="289"/>
      <c r="F4" s="289"/>
      <c r="G4" s="289"/>
      <c r="H4" s="148"/>
      <c r="I4" s="148"/>
    </row>
    <row r="5" spans="2:9" x14ac:dyDescent="0.25">
      <c r="B5" s="289"/>
      <c r="C5" s="289"/>
      <c r="D5" s="289"/>
      <c r="E5" s="289"/>
      <c r="F5" s="289"/>
      <c r="G5" s="289"/>
      <c r="H5" s="148"/>
      <c r="I5" s="148"/>
    </row>
    <row r="6" spans="2:9" x14ac:dyDescent="0.25">
      <c r="B6" s="148"/>
      <c r="C6" s="148"/>
      <c r="D6" s="148"/>
      <c r="E6" s="148"/>
      <c r="F6" s="148"/>
      <c r="G6" s="148"/>
      <c r="H6" s="148"/>
      <c r="I6" s="148"/>
    </row>
    <row r="7" spans="2:9" x14ac:dyDescent="0.25">
      <c r="B7" s="148"/>
      <c r="C7" s="148"/>
      <c r="D7" s="148"/>
      <c r="E7" s="148"/>
      <c r="F7" s="148"/>
      <c r="G7" s="148"/>
      <c r="H7" s="148"/>
      <c r="I7" s="148"/>
    </row>
    <row r="8" spans="2:9" x14ac:dyDescent="0.25">
      <c r="B8" s="290" t="s">
        <v>447</v>
      </c>
      <c r="C8" s="290"/>
      <c r="D8" s="290"/>
      <c r="E8" s="12">
        <f>COUNTA('tableau des commandes'!A6:A419)</f>
        <v>3</v>
      </c>
      <c r="F8" s="148"/>
      <c r="G8" s="148"/>
      <c r="H8" s="148"/>
      <c r="I8" s="148"/>
    </row>
    <row r="9" spans="2:9" x14ac:dyDescent="0.25">
      <c r="B9" s="148"/>
      <c r="C9" s="148"/>
      <c r="D9" s="148"/>
      <c r="E9" s="148"/>
      <c r="F9" s="148"/>
      <c r="G9" s="148"/>
      <c r="H9" s="148"/>
      <c r="I9" s="148"/>
    </row>
    <row r="10" spans="2:9" x14ac:dyDescent="0.25">
      <c r="B10" s="148"/>
      <c r="C10" s="148"/>
      <c r="D10" s="148"/>
      <c r="E10" s="148"/>
      <c r="F10" s="148"/>
      <c r="G10" s="148"/>
      <c r="H10" s="148"/>
      <c r="I10" s="148"/>
    </row>
    <row r="11" spans="2:9" x14ac:dyDescent="0.25">
      <c r="B11" s="148" t="s">
        <v>450</v>
      </c>
      <c r="C11" s="148"/>
      <c r="D11" s="148"/>
      <c r="E11" s="149">
        <f>SUM('tableau des commandes'!E6:E292)</f>
        <v>191.85000000000002</v>
      </c>
      <c r="F11" s="148"/>
      <c r="G11" s="148"/>
      <c r="H11" s="148"/>
      <c r="I11" s="148"/>
    </row>
    <row r="12" spans="2:9" x14ac:dyDescent="0.25">
      <c r="B12" s="148" t="s">
        <v>449</v>
      </c>
      <c r="C12" s="148"/>
      <c r="D12" s="148"/>
      <c r="E12" s="149">
        <f>SUMIFS(('tableau des commandes'!K$6:K$192),('tableau des commandes'!F$6:F$192),H1)</f>
        <v>10</v>
      </c>
      <c r="F12" s="148"/>
      <c r="G12" s="148"/>
      <c r="H12" s="148"/>
      <c r="I12" s="148"/>
    </row>
    <row r="13" spans="2:9" x14ac:dyDescent="0.25">
      <c r="B13" s="148" t="s">
        <v>450</v>
      </c>
      <c r="C13" s="148"/>
      <c r="D13" s="148" t="s">
        <v>451</v>
      </c>
      <c r="E13" s="149">
        <f>E11-E12</f>
        <v>181.85000000000002</v>
      </c>
      <c r="F13" s="148"/>
      <c r="G13" s="148"/>
      <c r="H13" s="148"/>
      <c r="I13" s="148"/>
    </row>
    <row r="14" spans="2:9" x14ac:dyDescent="0.25">
      <c r="B14" s="148"/>
      <c r="C14" s="148"/>
      <c r="D14" s="148"/>
      <c r="E14" s="148"/>
      <c r="F14" s="148"/>
      <c r="G14" s="148"/>
      <c r="H14" s="148"/>
      <c r="I14" s="148"/>
    </row>
  </sheetData>
  <mergeCells count="2">
    <mergeCell ref="B1:G5"/>
    <mergeCell ref="B8:D8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550CE-3DB6-45DF-A4F9-DE394223DB63}">
  <sheetPr codeName="Feuil11"/>
  <dimension ref="B3:M57"/>
  <sheetViews>
    <sheetView workbookViewId="0">
      <selection activeCell="B4" sqref="B4"/>
    </sheetView>
  </sheetViews>
  <sheetFormatPr baseColWidth="10" defaultRowHeight="15" x14ac:dyDescent="0.25"/>
  <cols>
    <col min="1" max="1" width="5.42578125" customWidth="1"/>
    <col min="2" max="2" width="23" customWidth="1"/>
    <col min="16" max="16" width="23.42578125" customWidth="1"/>
  </cols>
  <sheetData>
    <row r="3" spans="2:13" x14ac:dyDescent="0.25">
      <c r="D3" s="218" t="s">
        <v>207</v>
      </c>
      <c r="E3" s="218"/>
      <c r="F3" s="218"/>
      <c r="G3" s="218"/>
      <c r="H3" s="218"/>
      <c r="I3" s="218"/>
      <c r="J3" s="218"/>
      <c r="K3" s="218"/>
      <c r="L3" s="218"/>
      <c r="M3" s="218"/>
    </row>
    <row r="4" spans="2:13" x14ac:dyDescent="0.25">
      <c r="B4" t="s">
        <v>574</v>
      </c>
      <c r="D4" s="218"/>
      <c r="E4" s="218"/>
      <c r="F4" s="218"/>
      <c r="G4" s="218"/>
      <c r="H4" s="218"/>
      <c r="I4" s="218"/>
      <c r="J4" s="218"/>
      <c r="K4" s="218"/>
      <c r="L4" s="218"/>
      <c r="M4" s="218"/>
    </row>
    <row r="5" spans="2:13" x14ac:dyDescent="0.25">
      <c r="D5" s="218"/>
      <c r="E5" s="218"/>
      <c r="F5" s="218"/>
      <c r="G5" s="218"/>
      <c r="H5" s="218"/>
      <c r="I5" s="218"/>
      <c r="J5" s="218"/>
      <c r="K5" s="218"/>
      <c r="L5" s="218"/>
      <c r="M5" s="218"/>
    </row>
    <row r="6" spans="2:13" x14ac:dyDescent="0.25">
      <c r="D6" s="218"/>
      <c r="E6" s="218"/>
      <c r="F6" s="218"/>
      <c r="G6" s="218"/>
      <c r="H6" s="218"/>
      <c r="I6" s="218"/>
      <c r="J6" s="218"/>
      <c r="K6" s="218"/>
      <c r="L6" s="218"/>
      <c r="M6" s="218"/>
    </row>
    <row r="7" spans="2:13" x14ac:dyDescent="0.25">
      <c r="D7" s="218"/>
      <c r="E7" s="218"/>
      <c r="F7" s="218"/>
      <c r="G7" s="218"/>
      <c r="H7" s="218"/>
      <c r="I7" s="218"/>
      <c r="J7" s="218"/>
      <c r="K7" s="218"/>
      <c r="L7" s="218"/>
      <c r="M7" s="218"/>
    </row>
    <row r="8" spans="2:13" x14ac:dyDescent="0.25">
      <c r="D8" s="218"/>
      <c r="E8" s="218"/>
      <c r="F8" s="218"/>
      <c r="G8" s="218"/>
      <c r="H8" s="218"/>
      <c r="I8" s="218"/>
      <c r="J8" s="218"/>
      <c r="K8" s="218"/>
      <c r="L8" s="218"/>
      <c r="M8" s="218"/>
    </row>
    <row r="12" spans="2:13" x14ac:dyDescent="0.25">
      <c r="I12" s="62"/>
    </row>
    <row r="16" spans="2:13" x14ac:dyDescent="0.25">
      <c r="J16" s="219" t="str">
        <f>B4</f>
        <v>BARBIERI Gilbert</v>
      </c>
      <c r="K16" s="220"/>
      <c r="L16" s="221"/>
    </row>
    <row r="17" spans="5:12" x14ac:dyDescent="0.25">
      <c r="J17" s="222" t="e">
        <f>VLOOKUP(J16,BDD_licencies!A7:BQ276,8,0)</f>
        <v>#N/A</v>
      </c>
      <c r="K17" s="223"/>
      <c r="L17" s="224"/>
    </row>
    <row r="18" spans="5:12" x14ac:dyDescent="0.25">
      <c r="J18" s="135"/>
      <c r="K18" s="137"/>
      <c r="L18" s="136"/>
    </row>
    <row r="19" spans="5:12" x14ac:dyDescent="0.25">
      <c r="E19" s="225" t="s">
        <v>208</v>
      </c>
      <c r="F19" s="226"/>
      <c r="G19" s="227"/>
      <c r="J19" s="135" t="e">
        <f>VLOOKUP(J16,BDD_licencies!A7:BQ276,9,0)</f>
        <v>#N/A</v>
      </c>
      <c r="K19" s="223" t="e">
        <f>VLOOKUP(J16,BDD_licencies!A7:BQ276,10,0)</f>
        <v>#N/A</v>
      </c>
      <c r="L19" s="224"/>
    </row>
    <row r="20" spans="5:12" x14ac:dyDescent="0.25">
      <c r="E20" s="228" t="s">
        <v>209</v>
      </c>
      <c r="F20" s="229"/>
      <c r="G20" s="230"/>
      <c r="J20" s="222"/>
      <c r="K20" s="223"/>
      <c r="L20" s="224"/>
    </row>
    <row r="21" spans="5:12" x14ac:dyDescent="0.25">
      <c r="E21" s="228" t="s">
        <v>210</v>
      </c>
      <c r="F21" s="229"/>
      <c r="G21" s="230"/>
      <c r="J21" s="231"/>
      <c r="K21" s="232"/>
      <c r="L21" s="233"/>
    </row>
    <row r="22" spans="5:12" x14ac:dyDescent="0.25">
      <c r="E22" s="228" t="s">
        <v>211</v>
      </c>
      <c r="F22" s="229"/>
      <c r="G22" s="230"/>
    </row>
    <row r="23" spans="5:12" x14ac:dyDescent="0.25">
      <c r="E23" s="215" t="s">
        <v>212</v>
      </c>
      <c r="F23" s="216"/>
      <c r="G23" s="217"/>
    </row>
    <row r="24" spans="5:12" ht="15.75" thickBot="1" x14ac:dyDescent="0.3"/>
    <row r="25" spans="5:12" ht="15.75" thickTop="1" x14ac:dyDescent="0.25">
      <c r="F25" s="234" t="s">
        <v>213</v>
      </c>
      <c r="G25" s="235"/>
      <c r="H25" s="240" t="s">
        <v>214</v>
      </c>
      <c r="I25" s="243"/>
      <c r="J25" s="246"/>
      <c r="K25" s="246"/>
      <c r="L25" s="247"/>
    </row>
    <row r="26" spans="5:12" x14ac:dyDescent="0.25">
      <c r="F26" s="236"/>
      <c r="G26" s="237"/>
      <c r="H26" s="241"/>
      <c r="I26" s="244"/>
      <c r="J26" s="248"/>
      <c r="K26" s="248"/>
      <c r="L26" s="249"/>
    </row>
    <row r="27" spans="5:12" ht="15.75" thickBot="1" x14ac:dyDescent="0.3">
      <c r="F27" s="238"/>
      <c r="G27" s="239"/>
      <c r="H27" s="242"/>
      <c r="I27" s="245"/>
      <c r="J27" s="250"/>
      <c r="K27" s="250"/>
      <c r="L27" s="251"/>
    </row>
    <row r="28" spans="5:12" ht="15.75" thickTop="1" x14ac:dyDescent="0.25">
      <c r="E28" s="218"/>
      <c r="F28" s="218"/>
      <c r="G28" s="218"/>
      <c r="H28" s="218"/>
      <c r="I28" s="218"/>
      <c r="J28" s="218"/>
      <c r="K28" s="218"/>
      <c r="L28" s="218"/>
    </row>
    <row r="29" spans="5:12" x14ac:dyDescent="0.25">
      <c r="E29" s="252"/>
      <c r="F29" s="252"/>
      <c r="G29" s="252"/>
      <c r="H29" s="252"/>
      <c r="I29" s="252"/>
      <c r="J29" s="252"/>
      <c r="K29" s="252"/>
      <c r="L29" s="252"/>
    </row>
    <row r="30" spans="5:12" x14ac:dyDescent="0.25">
      <c r="E30" s="253"/>
      <c r="F30" s="253"/>
      <c r="G30" s="253"/>
      <c r="H30" s="253"/>
      <c r="I30" s="253"/>
      <c r="J30" s="253"/>
      <c r="K30" s="253"/>
      <c r="L30" s="253"/>
    </row>
    <row r="31" spans="5:12" x14ac:dyDescent="0.25">
      <c r="E31" s="253"/>
      <c r="F31" s="253"/>
      <c r="G31" s="253"/>
      <c r="H31" s="253"/>
      <c r="I31" s="253"/>
      <c r="J31" s="253"/>
      <c r="K31" s="253"/>
      <c r="L31" s="253"/>
    </row>
    <row r="32" spans="5:12" x14ac:dyDescent="0.25">
      <c r="E32" s="253"/>
      <c r="F32" s="253"/>
      <c r="G32" s="253"/>
      <c r="H32" s="253"/>
      <c r="I32" s="253"/>
      <c r="J32" s="253"/>
      <c r="K32" s="253"/>
      <c r="L32" s="253"/>
    </row>
    <row r="33" spans="5:12" x14ac:dyDescent="0.25">
      <c r="F33" s="254" t="s">
        <v>216</v>
      </c>
      <c r="G33" s="254"/>
      <c r="H33" s="254"/>
      <c r="J33" s="63" t="s">
        <v>217</v>
      </c>
      <c r="K33" s="63" t="s">
        <v>218</v>
      </c>
      <c r="L33" s="63" t="s">
        <v>219</v>
      </c>
    </row>
    <row r="34" spans="5:12" x14ac:dyDescent="0.25">
      <c r="E34" s="218" t="s">
        <v>360</v>
      </c>
      <c r="F34" s="218"/>
      <c r="G34" s="218"/>
      <c r="H34" s="218"/>
      <c r="I34" s="218"/>
      <c r="J34" s="64">
        <v>46.9</v>
      </c>
      <c r="K34" s="65">
        <v>1</v>
      </c>
      <c r="L34" s="64">
        <f>IF(J34="","",J34*K34)</f>
        <v>46.9</v>
      </c>
    </row>
    <row r="35" spans="5:12" x14ac:dyDescent="0.25">
      <c r="E35" s="218"/>
      <c r="F35" s="218"/>
      <c r="G35" s="218"/>
      <c r="H35" s="218"/>
      <c r="I35" s="218"/>
      <c r="J35" s="64"/>
      <c r="K35" s="65"/>
      <c r="L35" s="64" t="str">
        <f t="shared" ref="L35:L43" si="0">IF(J35="","",J35*K35)</f>
        <v/>
      </c>
    </row>
    <row r="36" spans="5:12" x14ac:dyDescent="0.25">
      <c r="E36" s="218"/>
      <c r="F36" s="218"/>
      <c r="G36" s="218"/>
      <c r="H36" s="218"/>
      <c r="I36" s="218"/>
      <c r="J36" s="64"/>
      <c r="K36" s="61"/>
      <c r="L36" s="64" t="str">
        <f t="shared" si="0"/>
        <v/>
      </c>
    </row>
    <row r="37" spans="5:12" x14ac:dyDescent="0.25">
      <c r="E37" s="218"/>
      <c r="F37" s="218"/>
      <c r="G37" s="218"/>
      <c r="H37" s="218"/>
      <c r="I37" s="218"/>
      <c r="J37" s="64"/>
      <c r="K37" s="65"/>
      <c r="L37" s="64" t="str">
        <f t="shared" si="0"/>
        <v/>
      </c>
    </row>
    <row r="38" spans="5:12" x14ac:dyDescent="0.25">
      <c r="E38" s="218"/>
      <c r="F38" s="218"/>
      <c r="G38" s="218"/>
      <c r="H38" s="218"/>
      <c r="I38" s="218"/>
      <c r="J38" s="64"/>
      <c r="K38" s="79"/>
      <c r="L38" s="64" t="str">
        <f t="shared" si="0"/>
        <v/>
      </c>
    </row>
    <row r="39" spans="5:12" x14ac:dyDescent="0.25">
      <c r="E39" s="218"/>
      <c r="F39" s="218"/>
      <c r="G39" s="218"/>
      <c r="H39" s="218"/>
      <c r="I39" s="218"/>
      <c r="J39" s="64"/>
      <c r="K39" s="65"/>
      <c r="L39" s="64" t="str">
        <f t="shared" si="0"/>
        <v/>
      </c>
    </row>
    <row r="40" spans="5:12" x14ac:dyDescent="0.25">
      <c r="E40" s="218"/>
      <c r="F40" s="218"/>
      <c r="G40" s="218"/>
      <c r="H40" s="218"/>
      <c r="I40" s="218"/>
      <c r="J40" s="64"/>
      <c r="K40" s="65"/>
      <c r="L40" s="64" t="str">
        <f t="shared" si="0"/>
        <v/>
      </c>
    </row>
    <row r="41" spans="5:12" x14ac:dyDescent="0.25">
      <c r="E41" s="218"/>
      <c r="F41" s="218"/>
      <c r="G41" s="218"/>
      <c r="H41" s="218"/>
      <c r="I41" s="218"/>
      <c r="J41" s="64"/>
      <c r="K41" s="65"/>
      <c r="L41" s="64" t="str">
        <f t="shared" si="0"/>
        <v/>
      </c>
    </row>
    <row r="42" spans="5:12" x14ac:dyDescent="0.25">
      <c r="E42" s="218"/>
      <c r="F42" s="218"/>
      <c r="G42" s="218"/>
      <c r="H42" s="218"/>
      <c r="I42" s="218"/>
      <c r="J42" s="64"/>
      <c r="K42" s="65"/>
      <c r="L42" s="64" t="str">
        <f t="shared" si="0"/>
        <v/>
      </c>
    </row>
    <row r="43" spans="5:12" x14ac:dyDescent="0.25">
      <c r="E43" s="218"/>
      <c r="F43" s="218"/>
      <c r="G43" s="218"/>
      <c r="H43" s="218"/>
      <c r="I43" s="218"/>
      <c r="J43" s="64"/>
      <c r="K43" s="65"/>
      <c r="L43" s="64" t="str">
        <f t="shared" si="0"/>
        <v/>
      </c>
    </row>
    <row r="44" spans="5:12" x14ac:dyDescent="0.25">
      <c r="H44" s="254" t="s">
        <v>220</v>
      </c>
      <c r="I44" s="254"/>
      <c r="K44" s="65"/>
      <c r="L44" s="66">
        <f>SUM(L34:L43)</f>
        <v>46.9</v>
      </c>
    </row>
    <row r="45" spans="5:12" x14ac:dyDescent="0.25">
      <c r="H45" s="256" t="s">
        <v>221</v>
      </c>
      <c r="I45" s="256"/>
      <c r="J45" s="67" t="s">
        <v>222</v>
      </c>
      <c r="K45" s="68"/>
      <c r="L45" s="66">
        <f>IF(K45="",0,(L44*K45))</f>
        <v>0</v>
      </c>
    </row>
    <row r="46" spans="5:12" x14ac:dyDescent="0.25">
      <c r="H46" s="256"/>
      <c r="I46" s="256"/>
      <c r="J46" s="67" t="s">
        <v>223</v>
      </c>
      <c r="K46" s="69"/>
      <c r="L46" s="66">
        <f>K46</f>
        <v>0</v>
      </c>
    </row>
    <row r="47" spans="5:12" x14ac:dyDescent="0.25">
      <c r="H47" s="254" t="s">
        <v>224</v>
      </c>
      <c r="I47" s="254"/>
      <c r="L47" s="69">
        <f>L44-L45-L46</f>
        <v>46.9</v>
      </c>
    </row>
    <row r="49" spans="5:12" x14ac:dyDescent="0.25">
      <c r="F49" s="255" t="s">
        <v>225</v>
      </c>
      <c r="G49" s="255"/>
      <c r="H49" s="255"/>
      <c r="I49" s="43">
        <f>L47</f>
        <v>46.9</v>
      </c>
    </row>
    <row r="51" spans="5:12" x14ac:dyDescent="0.25">
      <c r="I51" s="69">
        <f>I49</f>
        <v>46.9</v>
      </c>
    </row>
    <row r="52" spans="5:12" x14ac:dyDescent="0.25">
      <c r="F52" s="257"/>
      <c r="G52" s="258"/>
      <c r="H52" s="258"/>
      <c r="I52" s="258"/>
      <c r="J52" s="258"/>
      <c r="K52" s="258"/>
      <c r="L52" s="259"/>
    </row>
    <row r="53" spans="5:12" x14ac:dyDescent="0.25">
      <c r="E53" s="218" t="s">
        <v>226</v>
      </c>
      <c r="F53" s="218"/>
      <c r="G53" s="218"/>
      <c r="H53" s="218"/>
      <c r="I53" s="218"/>
      <c r="J53" s="218"/>
      <c r="K53" s="218"/>
      <c r="L53" s="218"/>
    </row>
    <row r="54" spans="5:12" x14ac:dyDescent="0.25">
      <c r="I54" s="255" t="s">
        <v>227</v>
      </c>
      <c r="J54" s="255"/>
      <c r="K54" s="70">
        <f ca="1">TODAY()</f>
        <v>43642</v>
      </c>
      <c r="L54" s="70"/>
    </row>
    <row r="56" spans="5:12" x14ac:dyDescent="0.25">
      <c r="J56" s="218" t="s">
        <v>228</v>
      </c>
      <c r="K56" s="218"/>
      <c r="L56" s="218"/>
    </row>
    <row r="57" spans="5:12" x14ac:dyDescent="0.25">
      <c r="J57" s="218" t="s">
        <v>229</v>
      </c>
      <c r="K57" s="218"/>
      <c r="L57" s="218"/>
    </row>
  </sheetData>
  <mergeCells count="40">
    <mergeCell ref="F52:L52"/>
    <mergeCell ref="E53:L53"/>
    <mergeCell ref="I54:J54"/>
    <mergeCell ref="J56:L56"/>
    <mergeCell ref="J57:L57"/>
    <mergeCell ref="E35:I35"/>
    <mergeCell ref="F25:G27"/>
    <mergeCell ref="H25:H27"/>
    <mergeCell ref="I25:I27"/>
    <mergeCell ref="J25:L27"/>
    <mergeCell ref="E28:L28"/>
    <mergeCell ref="E30:L30"/>
    <mergeCell ref="E31:L31"/>
    <mergeCell ref="E32:L32"/>
    <mergeCell ref="F33:H33"/>
    <mergeCell ref="E34:I34"/>
    <mergeCell ref="H47:I47"/>
    <mergeCell ref="F49:H49"/>
    <mergeCell ref="E36:I36"/>
    <mergeCell ref="E37:I37"/>
    <mergeCell ref="E38:I38"/>
    <mergeCell ref="E39:I39"/>
    <mergeCell ref="E40:I40"/>
    <mergeCell ref="E41:I41"/>
    <mergeCell ref="E42:I42"/>
    <mergeCell ref="E43:I43"/>
    <mergeCell ref="H44:I44"/>
    <mergeCell ref="H45:I46"/>
    <mergeCell ref="D3:M8"/>
    <mergeCell ref="J16:L16"/>
    <mergeCell ref="J17:L17"/>
    <mergeCell ref="E19:G19"/>
    <mergeCell ref="E29:L29"/>
    <mergeCell ref="E20:G20"/>
    <mergeCell ref="J20:L20"/>
    <mergeCell ref="E21:G21"/>
    <mergeCell ref="J21:L21"/>
    <mergeCell ref="E22:G22"/>
    <mergeCell ref="E23:G23"/>
    <mergeCell ref="K19:L19"/>
  </mergeCell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38C66EB-9AB6-4C76-9B46-954EED524E87}">
          <x14:formula1>
            <xm:f>'Faire commande'!$B$34:$B$42</xm:f>
          </x14:formula1>
          <xm:sqref>B4</xm:sqref>
        </x14:dataValidation>
        <x14:dataValidation type="list" allowBlank="1" showInputMessage="1" showErrorMessage="1" xr:uid="{AF0FA6C7-776D-48DB-8482-BC1EAEFD4708}">
          <x14:formula1>
            <xm:f>'Faire commande'!$D$11:$D$25</xm:f>
          </x14:formula1>
          <xm:sqref>E34:I34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55935-5523-41E9-9E71-277F3408CCDD}">
  <sheetPr codeName="Feuil13"/>
  <dimension ref="A1:N37"/>
  <sheetViews>
    <sheetView showGridLines="0" workbookViewId="0">
      <selection sqref="A1:M20"/>
    </sheetView>
  </sheetViews>
  <sheetFormatPr baseColWidth="10" defaultColWidth="0" defaultRowHeight="36" customHeight="1" zeroHeight="1" x14ac:dyDescent="0.25"/>
  <cols>
    <col min="1" max="5" width="11.42578125" customWidth="1"/>
    <col min="6" max="6" width="14.28515625" customWidth="1"/>
    <col min="7" max="11" width="11.42578125" customWidth="1"/>
    <col min="12" max="12" width="12.28515625" customWidth="1"/>
    <col min="13" max="14" width="11.42578125" customWidth="1"/>
    <col min="15" max="16384" width="11.42578125" hidden="1"/>
  </cols>
  <sheetData>
    <row r="1" spans="2:13" ht="31.5" customHeight="1" x14ac:dyDescent="0.4">
      <c r="B1" s="291" t="s">
        <v>472</v>
      </c>
      <c r="C1" s="218"/>
      <c r="D1" s="218"/>
      <c r="E1" s="218"/>
      <c r="F1" s="218"/>
    </row>
    <row r="2" spans="2:13" ht="15" x14ac:dyDescent="0.25"/>
    <row r="3" spans="2:13" ht="15" x14ac:dyDescent="0.25">
      <c r="C3" s="61" t="s">
        <v>218</v>
      </c>
      <c r="D3" s="61" t="s">
        <v>11</v>
      </c>
      <c r="F3" s="61"/>
      <c r="I3" t="s">
        <v>469</v>
      </c>
      <c r="J3" s="205"/>
      <c r="K3" s="64">
        <f>J3</f>
        <v>0</v>
      </c>
      <c r="M3" s="61"/>
    </row>
    <row r="4" spans="2:13" ht="15" x14ac:dyDescent="0.25">
      <c r="B4" t="s">
        <v>452</v>
      </c>
      <c r="C4" s="205"/>
      <c r="D4" s="64">
        <f>500*C4</f>
        <v>0</v>
      </c>
      <c r="F4" s="61"/>
      <c r="I4" t="s">
        <v>469</v>
      </c>
      <c r="J4" s="205"/>
      <c r="K4" s="64">
        <f t="shared" ref="K4:K13" si="0">J4</f>
        <v>0</v>
      </c>
      <c r="M4" s="61"/>
    </row>
    <row r="5" spans="2:13" ht="15" x14ac:dyDescent="0.25">
      <c r="B5" t="s">
        <v>453</v>
      </c>
      <c r="C5" s="205"/>
      <c r="D5" s="64">
        <f>200*C5</f>
        <v>0</v>
      </c>
      <c r="F5" s="61"/>
      <c r="I5" t="s">
        <v>469</v>
      </c>
      <c r="J5" s="205"/>
      <c r="K5" s="64">
        <f t="shared" si="0"/>
        <v>0</v>
      </c>
      <c r="L5" s="218" t="s">
        <v>470</v>
      </c>
      <c r="M5" s="218"/>
    </row>
    <row r="6" spans="2:13" ht="15" x14ac:dyDescent="0.25">
      <c r="B6" t="s">
        <v>454</v>
      </c>
      <c r="C6" s="205"/>
      <c r="D6" s="64">
        <f>100*C6</f>
        <v>0</v>
      </c>
      <c r="F6" s="61" t="s">
        <v>455</v>
      </c>
      <c r="I6" t="s">
        <v>469</v>
      </c>
      <c r="J6" s="205"/>
      <c r="K6" s="64">
        <f t="shared" si="0"/>
        <v>0</v>
      </c>
      <c r="M6" s="61"/>
    </row>
    <row r="7" spans="2:13" ht="15" x14ac:dyDescent="0.25">
      <c r="B7" t="s">
        <v>456</v>
      </c>
      <c r="C7" s="205"/>
      <c r="D7" s="64">
        <f>50*C7</f>
        <v>0</v>
      </c>
      <c r="F7" s="61"/>
      <c r="I7" t="s">
        <v>469</v>
      </c>
      <c r="J7" s="205"/>
      <c r="K7" s="64">
        <f t="shared" si="0"/>
        <v>0</v>
      </c>
      <c r="L7" s="64">
        <f>SUM(K3:K13)</f>
        <v>0</v>
      </c>
    </row>
    <row r="8" spans="2:13" ht="15" x14ac:dyDescent="0.25">
      <c r="B8" t="s">
        <v>457</v>
      </c>
      <c r="C8" s="205"/>
      <c r="D8" s="64">
        <f>20*C8</f>
        <v>0</v>
      </c>
      <c r="F8" s="64">
        <f>SUM(D4:D10)</f>
        <v>0</v>
      </c>
      <c r="I8" t="s">
        <v>469</v>
      </c>
      <c r="J8" s="205"/>
      <c r="K8" s="64">
        <f t="shared" si="0"/>
        <v>0</v>
      </c>
      <c r="M8" s="61"/>
    </row>
    <row r="9" spans="2:13" ht="15" x14ac:dyDescent="0.25">
      <c r="B9" t="s">
        <v>458</v>
      </c>
      <c r="C9" s="205"/>
      <c r="D9" s="64">
        <f>10*C9</f>
        <v>0</v>
      </c>
      <c r="F9" s="61"/>
      <c r="I9" t="s">
        <v>469</v>
      </c>
      <c r="J9" s="205"/>
      <c r="K9" s="64">
        <f t="shared" si="0"/>
        <v>0</v>
      </c>
      <c r="M9" s="61"/>
    </row>
    <row r="10" spans="2:13" ht="15" x14ac:dyDescent="0.25">
      <c r="B10" t="s">
        <v>459</v>
      </c>
      <c r="C10" s="205"/>
      <c r="D10" s="64">
        <f>5*C10</f>
        <v>0</v>
      </c>
      <c r="F10" s="61"/>
      <c r="I10" t="s">
        <v>469</v>
      </c>
      <c r="J10" s="205"/>
      <c r="K10" s="64">
        <f t="shared" si="0"/>
        <v>0</v>
      </c>
      <c r="M10" s="61"/>
    </row>
    <row r="11" spans="2:13" ht="15" x14ac:dyDescent="0.25">
      <c r="C11" s="63"/>
      <c r="D11" s="61"/>
      <c r="F11" s="61"/>
      <c r="I11" t="s">
        <v>469</v>
      </c>
      <c r="J11" s="205"/>
      <c r="K11" s="64">
        <f t="shared" si="0"/>
        <v>0</v>
      </c>
      <c r="M11" s="61"/>
    </row>
    <row r="12" spans="2:13" ht="15" x14ac:dyDescent="0.25">
      <c r="B12" t="s">
        <v>460</v>
      </c>
      <c r="C12" s="205">
        <v>9</v>
      </c>
      <c r="D12" s="64">
        <f>C12*2</f>
        <v>18</v>
      </c>
      <c r="F12" s="61"/>
      <c r="I12" t="s">
        <v>469</v>
      </c>
      <c r="J12" s="205"/>
      <c r="K12" s="64">
        <f t="shared" si="0"/>
        <v>0</v>
      </c>
      <c r="M12" s="61"/>
    </row>
    <row r="13" spans="2:13" ht="15" x14ac:dyDescent="0.25">
      <c r="B13" t="s">
        <v>461</v>
      </c>
      <c r="C13" s="205">
        <v>14</v>
      </c>
      <c r="D13" s="64">
        <f>C13*1</f>
        <v>14</v>
      </c>
      <c r="F13" s="61"/>
      <c r="I13" t="s">
        <v>469</v>
      </c>
      <c r="J13" s="205"/>
      <c r="K13" s="64">
        <f t="shared" si="0"/>
        <v>0</v>
      </c>
      <c r="M13" s="61"/>
    </row>
    <row r="14" spans="2:13" ht="15" x14ac:dyDescent="0.25">
      <c r="B14" t="s">
        <v>462</v>
      </c>
      <c r="C14" s="205">
        <v>33</v>
      </c>
      <c r="D14" s="64">
        <f>C14*0.5</f>
        <v>16.5</v>
      </c>
      <c r="F14" s="61"/>
      <c r="K14" s="61"/>
      <c r="M14" s="61"/>
    </row>
    <row r="15" spans="2:13" ht="15" x14ac:dyDescent="0.25">
      <c r="B15" t="s">
        <v>463</v>
      </c>
      <c r="C15" s="205">
        <v>32</v>
      </c>
      <c r="D15" s="64">
        <f>C15*0.2</f>
        <v>6.4</v>
      </c>
      <c r="F15" s="61" t="s">
        <v>464</v>
      </c>
      <c r="K15" s="254" t="s">
        <v>471</v>
      </c>
      <c r="L15" s="254"/>
      <c r="M15" s="254"/>
    </row>
    <row r="16" spans="2:13" ht="15" customHeight="1" x14ac:dyDescent="0.25">
      <c r="B16" t="s">
        <v>465</v>
      </c>
      <c r="C16" s="205">
        <v>26</v>
      </c>
      <c r="D16" s="64">
        <f>C16*0.1</f>
        <v>2.6</v>
      </c>
      <c r="F16" s="61"/>
      <c r="K16" s="61"/>
      <c r="M16" s="61"/>
    </row>
    <row r="17" spans="2:13" ht="15" customHeight="1" x14ac:dyDescent="0.25">
      <c r="B17" t="s">
        <v>466</v>
      </c>
      <c r="C17" s="205">
        <v>10</v>
      </c>
      <c r="D17" s="64">
        <f>C17*0.05</f>
        <v>0.5</v>
      </c>
      <c r="F17" s="64">
        <f>SUM(D12:D19)</f>
        <v>58.26</v>
      </c>
      <c r="L17" s="292">
        <f>F8+F17+L7</f>
        <v>58.26</v>
      </c>
      <c r="M17" s="292"/>
    </row>
    <row r="18" spans="2:13" ht="15" x14ac:dyDescent="0.25">
      <c r="B18" t="s">
        <v>467</v>
      </c>
      <c r="C18" s="205">
        <v>11</v>
      </c>
      <c r="D18" s="64">
        <f>C18*0.02</f>
        <v>0.22</v>
      </c>
      <c r="F18" s="61"/>
      <c r="L18" s="292"/>
      <c r="M18" s="292"/>
    </row>
    <row r="19" spans="2:13" ht="15" customHeight="1" x14ac:dyDescent="0.25">
      <c r="B19" t="s">
        <v>468</v>
      </c>
      <c r="C19" s="205">
        <v>4</v>
      </c>
      <c r="D19" s="64">
        <f>C19*0.01</f>
        <v>0.04</v>
      </c>
      <c r="F19" s="61"/>
    </row>
    <row r="20" spans="2:13" ht="36" customHeight="1" x14ac:dyDescent="0.25">
      <c r="C20" s="63"/>
      <c r="D20" s="64"/>
      <c r="F20" s="61"/>
    </row>
    <row r="21" spans="2:13" ht="36" hidden="1" customHeight="1" x14ac:dyDescent="0.25"/>
    <row r="22" spans="2:13" ht="36" hidden="1" customHeight="1" x14ac:dyDescent="0.25"/>
    <row r="23" spans="2:13" ht="36" hidden="1" customHeight="1" x14ac:dyDescent="0.25"/>
    <row r="24" spans="2:13" ht="36" hidden="1" customHeight="1" x14ac:dyDescent="0.25"/>
    <row r="25" spans="2:13" ht="36" hidden="1" customHeight="1" x14ac:dyDescent="0.25"/>
    <row r="26" spans="2:13" ht="36" hidden="1" customHeight="1" x14ac:dyDescent="0.25"/>
    <row r="27" spans="2:13" ht="36" hidden="1" customHeight="1" x14ac:dyDescent="0.25"/>
    <row r="28" spans="2:13" ht="36" hidden="1" customHeight="1" x14ac:dyDescent="0.25"/>
    <row r="29" spans="2:13" ht="36" hidden="1" customHeight="1" x14ac:dyDescent="0.25"/>
    <row r="30" spans="2:13" ht="36" hidden="1" customHeight="1" x14ac:dyDescent="0.25"/>
    <row r="31" spans="2:13" ht="36" hidden="1" customHeight="1" x14ac:dyDescent="0.25"/>
    <row r="32" spans="2:13" ht="36" hidden="1" customHeight="1" x14ac:dyDescent="0.25"/>
    <row r="33" spans="4:6" ht="36" hidden="1" customHeight="1" x14ac:dyDescent="0.25"/>
    <row r="34" spans="4:6" ht="36" hidden="1" customHeight="1" x14ac:dyDescent="0.25"/>
    <row r="35" spans="4:6" ht="36" hidden="1" customHeight="1" x14ac:dyDescent="0.25">
      <c r="D35" s="61"/>
      <c r="F35" s="61"/>
    </row>
    <row r="36" spans="4:6" ht="36" hidden="1" customHeight="1" x14ac:dyDescent="0.45">
      <c r="D36" s="61"/>
      <c r="F36" s="151"/>
    </row>
    <row r="37" spans="4:6" ht="36" hidden="1" customHeight="1" x14ac:dyDescent="0.45">
      <c r="D37" s="61"/>
      <c r="E37" s="151"/>
      <c r="F37" s="151"/>
    </row>
  </sheetData>
  <sheetProtection sheet="1" objects="1" scenarios="1"/>
  <mergeCells count="4">
    <mergeCell ref="B1:F1"/>
    <mergeCell ref="L17:M18"/>
    <mergeCell ref="K15:M15"/>
    <mergeCell ref="L5:M5"/>
  </mergeCells>
  <printOptions verticalCentered="1"/>
  <pageMargins left="0" right="0" top="0.74803149606299213" bottom="0.74803149606299213" header="0.31496062992125984" footer="0.31496062992125984"/>
  <pageSetup paperSize="9" scale="95" orientation="landscape" horizontalDpi="4294967293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F71E0-5B4B-4B5F-AE6A-14E515401F64}">
  <sheetPr codeName="Feuil14"/>
  <dimension ref="A1:XFB11"/>
  <sheetViews>
    <sheetView showGridLines="0" zoomScaleNormal="100" workbookViewId="0">
      <selection activeCell="A7" sqref="A7:XFD7"/>
    </sheetView>
  </sheetViews>
  <sheetFormatPr baseColWidth="10" defaultColWidth="0" defaultRowHeight="15" x14ac:dyDescent="0.25"/>
  <cols>
    <col min="1" max="1" width="5.7109375" style="1" customWidth="1"/>
    <col min="2" max="2" width="11.5703125" style="1" customWidth="1"/>
    <col min="3" max="3" width="32.140625" style="1" customWidth="1"/>
    <col min="4" max="4" width="11.5703125" style="1" hidden="1" customWidth="1"/>
    <col min="5" max="7" width="11.5703125" style="1" customWidth="1"/>
    <col min="8" max="10" width="14.42578125" style="1" customWidth="1"/>
    <col min="11" max="11" width="11.5703125" hidden="1" customWidth="1"/>
    <col min="12" max="12" width="19.5703125" style="1" hidden="1" customWidth="1"/>
    <col min="13" max="13" width="11.42578125" style="1" hidden="1" customWidth="1"/>
    <col min="14" max="15" width="11.42578125" style="1" customWidth="1"/>
    <col min="16" max="16382" width="11.42578125" style="1" hidden="1"/>
    <col min="16383" max="16384" width="2" style="1" hidden="1"/>
  </cols>
  <sheetData>
    <row r="1" spans="1:14" ht="30" customHeight="1" x14ac:dyDescent="0.25"/>
    <row r="2" spans="1:14" ht="35.25" customHeight="1" x14ac:dyDescent="0.25">
      <c r="A2" s="293" t="s">
        <v>483</v>
      </c>
      <c r="B2" s="275"/>
      <c r="C2" s="275"/>
      <c r="D2" s="275"/>
      <c r="E2" s="275"/>
      <c r="F2" s="275"/>
      <c r="G2" s="275"/>
      <c r="H2" s="275"/>
    </row>
    <row r="3" spans="1:14" ht="11.25" customHeight="1" x14ac:dyDescent="0.25">
      <c r="A3" s="1">
        <v>1</v>
      </c>
      <c r="B3" s="1">
        <v>2</v>
      </c>
      <c r="C3" s="1">
        <v>3</v>
      </c>
      <c r="D3" s="1">
        <v>4</v>
      </c>
      <c r="E3" s="1">
        <v>5</v>
      </c>
      <c r="F3" s="1">
        <v>6</v>
      </c>
      <c r="G3" s="1">
        <v>7</v>
      </c>
      <c r="H3" s="1">
        <v>8</v>
      </c>
      <c r="I3" s="1">
        <v>9</v>
      </c>
      <c r="J3" s="1">
        <v>10</v>
      </c>
      <c r="K3" s="1">
        <v>11</v>
      </c>
      <c r="L3" s="1">
        <v>12</v>
      </c>
      <c r="M3" s="1">
        <v>13</v>
      </c>
    </row>
    <row r="4" spans="1:14" s="103" customFormat="1" ht="30" x14ac:dyDescent="0.25">
      <c r="A4" s="103" t="s">
        <v>214</v>
      </c>
      <c r="B4" s="103" t="s">
        <v>479</v>
      </c>
      <c r="C4" s="103" t="s">
        <v>480</v>
      </c>
      <c r="D4" s="103" t="s">
        <v>11</v>
      </c>
      <c r="E4" s="103" t="s">
        <v>11</v>
      </c>
      <c r="F4" s="104" t="s">
        <v>481</v>
      </c>
      <c r="G4" s="104" t="s">
        <v>108</v>
      </c>
      <c r="H4" s="103" t="s">
        <v>482</v>
      </c>
      <c r="I4" s="103" t="s">
        <v>504</v>
      </c>
      <c r="J4" s="103" t="s">
        <v>506</v>
      </c>
      <c r="K4" s="103" t="s">
        <v>487</v>
      </c>
    </row>
    <row r="5" spans="1:14" ht="14.25" hidden="1" customHeight="1" x14ac:dyDescent="0.25">
      <c r="A5" s="1" t="s">
        <v>116</v>
      </c>
      <c r="B5" s="140" t="s">
        <v>117</v>
      </c>
      <c r="C5" s="1" t="s">
        <v>118</v>
      </c>
      <c r="D5" s="1" t="s">
        <v>119</v>
      </c>
      <c r="E5" s="89" t="s">
        <v>120</v>
      </c>
      <c r="F5" s="1" t="s">
        <v>121</v>
      </c>
      <c r="G5" s="1" t="s">
        <v>122</v>
      </c>
      <c r="H5" s="1" t="s">
        <v>123</v>
      </c>
      <c r="I5" s="1" t="s">
        <v>503</v>
      </c>
      <c r="J5" s="1" t="s">
        <v>505</v>
      </c>
      <c r="K5" s="1" t="s">
        <v>124</v>
      </c>
      <c r="L5" s="1" t="s">
        <v>125</v>
      </c>
      <c r="M5" s="1" t="s">
        <v>126</v>
      </c>
      <c r="N5" s="1" t="s">
        <v>127</v>
      </c>
    </row>
    <row r="6" spans="1:14" hidden="1" x14ac:dyDescent="0.25">
      <c r="B6" s="140"/>
      <c r="E6" s="89">
        <f t="shared" ref="E6" si="0">_xlfn.NUMBERVALUE(D6)</f>
        <v>0</v>
      </c>
      <c r="K6" s="1" t="str">
        <f t="shared" ref="K6" si="1">IF(B6="","",MONTH(B6))</f>
        <v/>
      </c>
      <c r="L6" s="1" t="str">
        <f>CONCATENATE(Tableau4[[#This Row],[Colonne3]],Tableau4[[#This Row],[Colonne9]])</f>
        <v/>
      </c>
      <c r="M6" s="1">
        <f>SUMIFS(Tableau4[[#This Row],[Colonne5]],Tableau4[[#This Row],[Colonne10]],L6)</f>
        <v>0</v>
      </c>
    </row>
    <row r="7" spans="1:14" x14ac:dyDescent="0.25">
      <c r="K7" s="1"/>
    </row>
    <row r="8" spans="1:14" x14ac:dyDescent="0.25">
      <c r="K8" s="1"/>
    </row>
    <row r="9" spans="1:14" x14ac:dyDescent="0.25">
      <c r="K9" s="1"/>
    </row>
    <row r="10" spans="1:14" x14ac:dyDescent="0.25">
      <c r="K10" s="1"/>
    </row>
    <row r="11" spans="1:14" x14ac:dyDescent="0.25">
      <c r="K11" s="1"/>
    </row>
  </sheetData>
  <mergeCells count="1">
    <mergeCell ref="A2:H2"/>
  </mergeCells>
  <phoneticPr fontId="43" type="noConversion"/>
  <printOptions horizontalCentered="1"/>
  <pageMargins left="0" right="0" top="0.74803149606299213" bottom="0" header="0.31496062992125984" footer="0.31496062992125984"/>
  <pageSetup paperSize="9" orientation="landscape" horizontalDpi="4294967293" verticalDpi="0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46400-9B02-4CDC-A481-285CE1D5863D}">
  <sheetPr codeName="Feuil18"/>
  <dimension ref="A1:W34"/>
  <sheetViews>
    <sheetView workbookViewId="0">
      <selection activeCell="A31" sqref="A31:H31"/>
    </sheetView>
  </sheetViews>
  <sheetFormatPr baseColWidth="10" defaultRowHeight="15" x14ac:dyDescent="0.25"/>
  <cols>
    <col min="3" max="3" width="13" bestFit="1" customWidth="1"/>
    <col min="4" max="4" width="3.7109375" customWidth="1"/>
    <col min="13" max="13" width="18.42578125" customWidth="1"/>
    <col min="14" max="14" width="10.5703125" bestFit="1" customWidth="1"/>
    <col min="15" max="15" width="11.28515625" bestFit="1" customWidth="1"/>
    <col min="16" max="17" width="8.7109375" bestFit="1" customWidth="1"/>
    <col min="18" max="18" width="6" bestFit="1" customWidth="1"/>
    <col min="19" max="19" width="6.85546875" bestFit="1" customWidth="1"/>
  </cols>
  <sheetData>
    <row r="1" spans="1:23" ht="15" customHeight="1" x14ac:dyDescent="0.25">
      <c r="A1" s="310" t="s">
        <v>607</v>
      </c>
      <c r="B1" s="310"/>
      <c r="C1" s="310"/>
      <c r="D1" s="310"/>
      <c r="E1" s="310"/>
      <c r="F1" s="310"/>
      <c r="G1" s="310"/>
      <c r="H1" s="310"/>
      <c r="K1" s="170"/>
      <c r="L1" s="170"/>
      <c r="M1" s="170"/>
    </row>
    <row r="2" spans="1:23" ht="15" customHeight="1" x14ac:dyDescent="0.25">
      <c r="A2" s="310"/>
      <c r="B2" s="310"/>
      <c r="C2" s="310"/>
      <c r="D2" s="310"/>
      <c r="E2" s="310"/>
      <c r="F2" s="310"/>
      <c r="G2" s="310"/>
      <c r="H2" s="310"/>
      <c r="K2" s="170"/>
      <c r="L2" s="170"/>
      <c r="M2" s="170"/>
    </row>
    <row r="3" spans="1:23" x14ac:dyDescent="0.25">
      <c r="A3" s="310"/>
      <c r="B3" s="310"/>
      <c r="C3" s="310"/>
      <c r="D3" s="310"/>
      <c r="E3" s="310"/>
      <c r="F3" s="310"/>
      <c r="G3" s="310"/>
      <c r="H3" s="310"/>
      <c r="K3" s="61"/>
      <c r="L3" s="61"/>
      <c r="M3" s="61"/>
      <c r="N3" s="297" t="s">
        <v>564</v>
      </c>
      <c r="O3" s="297"/>
      <c r="P3" s="297"/>
      <c r="Q3" s="297"/>
      <c r="R3" s="298" t="s">
        <v>568</v>
      </c>
      <c r="S3" s="298"/>
      <c r="T3" s="298"/>
      <c r="U3" s="298"/>
    </row>
    <row r="4" spans="1:23" ht="30" x14ac:dyDescent="0.25">
      <c r="A4" s="61"/>
      <c r="B4" s="61"/>
      <c r="C4" s="61"/>
      <c r="D4" s="61"/>
      <c r="E4" s="61"/>
      <c r="F4" s="61"/>
      <c r="G4" s="61"/>
      <c r="H4" s="61"/>
      <c r="K4" s="61"/>
      <c r="L4" s="61"/>
      <c r="M4" s="171" t="s">
        <v>558</v>
      </c>
      <c r="N4" s="169" t="s">
        <v>559</v>
      </c>
      <c r="O4" s="169" t="s">
        <v>516</v>
      </c>
      <c r="P4" s="175" t="s">
        <v>560</v>
      </c>
      <c r="Q4" s="175" t="s">
        <v>563</v>
      </c>
      <c r="R4" s="103" t="s">
        <v>565</v>
      </c>
      <c r="S4" s="103" t="s">
        <v>566</v>
      </c>
      <c r="T4" s="103" t="s">
        <v>581</v>
      </c>
      <c r="U4" s="103" t="s">
        <v>567</v>
      </c>
    </row>
    <row r="5" spans="1:23" x14ac:dyDescent="0.25">
      <c r="A5" s="61"/>
      <c r="B5" s="61"/>
      <c r="C5" s="61"/>
      <c r="D5" s="61"/>
      <c r="E5" s="61"/>
      <c r="F5" s="61"/>
      <c r="G5" s="61"/>
      <c r="H5" s="61"/>
      <c r="K5" s="61"/>
      <c r="L5" s="61"/>
      <c r="M5" s="64"/>
      <c r="N5" s="176"/>
      <c r="O5" s="176"/>
      <c r="P5" s="176"/>
      <c r="Q5" s="176"/>
    </row>
    <row r="6" spans="1:23" ht="21" x14ac:dyDescent="0.35">
      <c r="A6" s="161" t="s">
        <v>479</v>
      </c>
      <c r="B6" s="184" t="s">
        <v>602</v>
      </c>
      <c r="C6" s="162"/>
      <c r="D6" s="162"/>
      <c r="E6" s="61"/>
      <c r="F6" s="218" t="s">
        <v>552</v>
      </c>
      <c r="G6" s="218"/>
      <c r="H6" s="163"/>
      <c r="K6" s="61"/>
      <c r="L6" s="296" t="s">
        <v>561</v>
      </c>
      <c r="M6" s="172"/>
      <c r="N6" s="177"/>
      <c r="O6" s="178"/>
      <c r="P6" s="179" t="str">
        <f>IFERROR(O6/N6,"")</f>
        <v/>
      </c>
      <c r="Q6" s="179"/>
      <c r="R6" s="1"/>
      <c r="S6" s="1">
        <f>IFERROR((N6-R6),"")</f>
        <v>0</v>
      </c>
      <c r="T6" s="171" t="str">
        <f>IFERROR((S6*P6),"")</f>
        <v/>
      </c>
      <c r="U6" s="89" t="str">
        <f>IFERROR((S6*Q6)-(S6*P6),"")</f>
        <v/>
      </c>
    </row>
    <row r="7" spans="1:23" ht="21" x14ac:dyDescent="0.25">
      <c r="A7" s="61"/>
      <c r="B7" s="61"/>
      <c r="C7" s="61"/>
      <c r="D7" s="61"/>
      <c r="E7" s="61"/>
      <c r="F7" s="271" t="s">
        <v>553</v>
      </c>
      <c r="G7" s="271"/>
      <c r="H7" s="164"/>
      <c r="K7" s="61"/>
      <c r="L7" s="296"/>
      <c r="M7" s="173" t="s">
        <v>542</v>
      </c>
      <c r="N7" s="180">
        <v>12</v>
      </c>
      <c r="O7" s="181">
        <v>4.54</v>
      </c>
      <c r="P7" s="179">
        <f t="shared" ref="P7:P17" si="0">IFERROR(O7/N7,"")</f>
        <v>0.37833333333333335</v>
      </c>
      <c r="Q7" s="179">
        <v>1</v>
      </c>
      <c r="R7" s="1">
        <v>9</v>
      </c>
      <c r="S7" s="1">
        <f t="shared" ref="S7:S17" si="1">IFERROR((N7-R7),"")</f>
        <v>3</v>
      </c>
      <c r="T7" s="171">
        <f t="shared" ref="T7:T17" si="2">IFERROR((S7*P7),"")</f>
        <v>1.135</v>
      </c>
      <c r="U7" s="89">
        <f t="shared" ref="U7:U17" si="3">IFERROR((S7*Q7)-(S7*P7),"")</f>
        <v>1.865</v>
      </c>
    </row>
    <row r="8" spans="1:23" ht="21" x14ac:dyDescent="0.35">
      <c r="A8" s="61"/>
      <c r="B8" s="61"/>
      <c r="C8" s="61"/>
      <c r="D8" s="61"/>
      <c r="E8" s="61"/>
      <c r="F8" s="44"/>
      <c r="G8" s="165"/>
      <c r="H8" s="165"/>
      <c r="K8" s="61"/>
      <c r="L8" s="296"/>
      <c r="M8" s="173" t="s">
        <v>593</v>
      </c>
      <c r="N8" s="180">
        <v>12</v>
      </c>
      <c r="O8" s="181">
        <v>4.62</v>
      </c>
      <c r="P8" s="179">
        <f t="shared" si="0"/>
        <v>0.38500000000000001</v>
      </c>
      <c r="Q8" s="179">
        <v>1</v>
      </c>
      <c r="R8" s="1">
        <v>10</v>
      </c>
      <c r="S8" s="1">
        <f t="shared" si="1"/>
        <v>2</v>
      </c>
      <c r="T8" s="171">
        <f t="shared" si="2"/>
        <v>0.77</v>
      </c>
      <c r="U8" s="89">
        <f t="shared" si="3"/>
        <v>1.23</v>
      </c>
    </row>
    <row r="9" spans="1:23" ht="24" thickBot="1" x14ac:dyDescent="0.4">
      <c r="A9" s="311" t="s">
        <v>554</v>
      </c>
      <c r="B9" s="311"/>
      <c r="C9" s="311"/>
      <c r="D9" s="166"/>
      <c r="E9" s="311" t="s">
        <v>555</v>
      </c>
      <c r="F9" s="311"/>
      <c r="G9" s="311"/>
      <c r="H9" s="61"/>
      <c r="K9" s="61"/>
      <c r="L9" s="296"/>
      <c r="M9" s="173" t="s">
        <v>594</v>
      </c>
      <c r="N9" s="180">
        <v>12</v>
      </c>
      <c r="O9" s="181">
        <v>6.4</v>
      </c>
      <c r="P9" s="179">
        <f t="shared" si="0"/>
        <v>0.53333333333333333</v>
      </c>
      <c r="Q9" s="179">
        <v>1</v>
      </c>
      <c r="R9" s="1">
        <v>12</v>
      </c>
      <c r="S9" s="1">
        <f t="shared" si="1"/>
        <v>0</v>
      </c>
      <c r="T9" s="171">
        <f t="shared" si="2"/>
        <v>0</v>
      </c>
      <c r="U9" s="89">
        <f t="shared" si="3"/>
        <v>0</v>
      </c>
      <c r="W9" s="69"/>
    </row>
    <row r="10" spans="1:23" ht="15.75" thickTop="1" x14ac:dyDescent="0.25">
      <c r="A10" s="300"/>
      <c r="B10" s="300"/>
      <c r="C10" s="171"/>
      <c r="D10" s="1"/>
      <c r="E10" s="300" t="s">
        <v>597</v>
      </c>
      <c r="F10" s="300"/>
      <c r="G10" s="171">
        <v>20.7</v>
      </c>
      <c r="H10" s="61"/>
      <c r="K10" s="61"/>
      <c r="L10" s="296"/>
      <c r="M10" s="173" t="s">
        <v>595</v>
      </c>
      <c r="N10" s="180">
        <v>18</v>
      </c>
      <c r="O10" s="181">
        <v>5.97</v>
      </c>
      <c r="P10" s="179">
        <f t="shared" si="0"/>
        <v>0.33166666666666667</v>
      </c>
      <c r="Q10" s="179">
        <v>1</v>
      </c>
      <c r="R10" s="1">
        <v>6</v>
      </c>
      <c r="S10" s="1">
        <f t="shared" si="1"/>
        <v>12</v>
      </c>
      <c r="T10" s="171">
        <f t="shared" si="2"/>
        <v>3.98</v>
      </c>
      <c r="U10" s="89">
        <f t="shared" si="3"/>
        <v>8.02</v>
      </c>
    </row>
    <row r="11" spans="1:23" ht="15.75" x14ac:dyDescent="0.25">
      <c r="A11" s="309" t="s">
        <v>582</v>
      </c>
      <c r="B11" s="309"/>
      <c r="C11" s="185">
        <v>381.7</v>
      </c>
      <c r="D11" s="186"/>
      <c r="E11" s="308" t="s">
        <v>580</v>
      </c>
      <c r="F11" s="308"/>
      <c r="G11" s="191">
        <v>16.21</v>
      </c>
      <c r="H11" s="61"/>
      <c r="K11" s="61"/>
      <c r="L11" s="296"/>
      <c r="M11" s="173" t="s">
        <v>596</v>
      </c>
      <c r="N11" s="180">
        <v>30</v>
      </c>
      <c r="O11" s="181">
        <v>12.9</v>
      </c>
      <c r="P11" s="179">
        <f t="shared" si="0"/>
        <v>0.43</v>
      </c>
      <c r="Q11" s="179">
        <v>1</v>
      </c>
      <c r="R11" s="1">
        <v>6</v>
      </c>
      <c r="S11" s="1">
        <f t="shared" si="1"/>
        <v>24</v>
      </c>
      <c r="T11" s="171">
        <f t="shared" si="2"/>
        <v>10.32</v>
      </c>
      <c r="U11" s="89">
        <f t="shared" si="3"/>
        <v>13.68</v>
      </c>
      <c r="V11" s="69"/>
    </row>
    <row r="12" spans="1:23" ht="15.75" x14ac:dyDescent="0.25">
      <c r="A12" s="309"/>
      <c r="B12" s="309"/>
      <c r="C12" s="185"/>
      <c r="D12" s="186"/>
      <c r="E12" s="308" t="s">
        <v>598</v>
      </c>
      <c r="F12" s="308"/>
      <c r="G12" s="191">
        <v>10.8</v>
      </c>
      <c r="H12" s="61"/>
      <c r="K12" s="61"/>
      <c r="L12" s="296"/>
      <c r="M12" s="173"/>
      <c r="N12" s="180"/>
      <c r="O12" s="181"/>
      <c r="P12" s="179" t="str">
        <f t="shared" si="0"/>
        <v/>
      </c>
      <c r="Q12" s="179"/>
      <c r="R12" s="1"/>
      <c r="S12" s="1">
        <f t="shared" si="1"/>
        <v>0</v>
      </c>
      <c r="T12" s="171" t="str">
        <f t="shared" si="2"/>
        <v/>
      </c>
      <c r="U12" s="89" t="str">
        <f t="shared" si="3"/>
        <v/>
      </c>
    </row>
    <row r="13" spans="1:23" ht="15.75" x14ac:dyDescent="0.25">
      <c r="A13" s="308" t="s">
        <v>603</v>
      </c>
      <c r="B13" s="308"/>
      <c r="C13" s="185">
        <v>35.5</v>
      </c>
      <c r="D13" s="187"/>
      <c r="E13" s="308" t="s">
        <v>599</v>
      </c>
      <c r="F13" s="308"/>
      <c r="G13" s="191">
        <v>10.8</v>
      </c>
      <c r="H13" s="61"/>
      <c r="K13" s="61"/>
      <c r="L13" s="296"/>
      <c r="M13" s="88"/>
      <c r="N13" s="180"/>
      <c r="O13" s="181"/>
      <c r="P13" s="179" t="str">
        <f t="shared" si="0"/>
        <v/>
      </c>
      <c r="Q13" s="179"/>
      <c r="R13" s="1"/>
      <c r="S13" s="1">
        <f t="shared" si="1"/>
        <v>0</v>
      </c>
      <c r="T13" s="171" t="str">
        <f t="shared" si="2"/>
        <v/>
      </c>
      <c r="U13" s="89" t="str">
        <f t="shared" si="3"/>
        <v/>
      </c>
    </row>
    <row r="14" spans="1:23" ht="15.75" x14ac:dyDescent="0.25">
      <c r="A14" s="309" t="s">
        <v>605</v>
      </c>
      <c r="B14" s="309"/>
      <c r="C14" s="185">
        <v>7</v>
      </c>
      <c r="D14" s="187"/>
      <c r="E14" s="308" t="s">
        <v>600</v>
      </c>
      <c r="F14" s="308"/>
      <c r="G14" s="191">
        <v>12.9</v>
      </c>
      <c r="H14" s="61"/>
      <c r="K14" s="64"/>
      <c r="L14" s="296"/>
      <c r="M14" s="173" t="s">
        <v>562</v>
      </c>
      <c r="N14" s="180"/>
      <c r="O14" s="181"/>
      <c r="P14" s="179" t="str">
        <f t="shared" si="0"/>
        <v/>
      </c>
      <c r="Q14" s="179"/>
      <c r="R14" s="1"/>
      <c r="S14" s="1">
        <f t="shared" si="1"/>
        <v>0</v>
      </c>
      <c r="T14" s="171" t="str">
        <f t="shared" si="2"/>
        <v/>
      </c>
      <c r="U14" s="89" t="str">
        <f t="shared" si="3"/>
        <v/>
      </c>
    </row>
    <row r="15" spans="1:23" ht="15.75" x14ac:dyDescent="0.25">
      <c r="A15" s="309"/>
      <c r="B15" s="309"/>
      <c r="C15" s="185"/>
      <c r="D15" s="186"/>
      <c r="E15" s="308" t="s">
        <v>601</v>
      </c>
      <c r="F15" s="308"/>
      <c r="G15" s="191">
        <v>25.68</v>
      </c>
      <c r="H15" s="61"/>
      <c r="K15" s="61"/>
      <c r="L15" s="296"/>
      <c r="M15" s="173" t="s">
        <v>562</v>
      </c>
      <c r="N15" s="180"/>
      <c r="O15" s="181"/>
      <c r="P15" s="179" t="str">
        <f t="shared" si="0"/>
        <v/>
      </c>
      <c r="Q15" s="179"/>
      <c r="R15" s="1"/>
      <c r="S15" s="1">
        <f t="shared" si="1"/>
        <v>0</v>
      </c>
      <c r="T15" s="171" t="str">
        <f t="shared" si="2"/>
        <v/>
      </c>
      <c r="U15" s="89" t="str">
        <f t="shared" si="3"/>
        <v/>
      </c>
    </row>
    <row r="16" spans="1:23" ht="15.75" x14ac:dyDescent="0.25">
      <c r="A16" s="309"/>
      <c r="B16" s="309"/>
      <c r="C16" s="185"/>
      <c r="D16" s="187"/>
      <c r="E16" s="308"/>
      <c r="F16" s="308"/>
      <c r="G16" s="191"/>
      <c r="H16" s="61"/>
      <c r="K16" s="61"/>
      <c r="L16" s="296"/>
      <c r="M16" s="174" t="s">
        <v>562</v>
      </c>
      <c r="N16" s="180"/>
      <c r="O16" s="181"/>
      <c r="P16" s="179" t="str">
        <f t="shared" si="0"/>
        <v/>
      </c>
      <c r="Q16" s="179"/>
      <c r="R16" s="1"/>
      <c r="S16" s="1">
        <f t="shared" si="1"/>
        <v>0</v>
      </c>
      <c r="T16" s="171" t="str">
        <f t="shared" si="2"/>
        <v/>
      </c>
      <c r="U16" s="89" t="str">
        <f t="shared" si="3"/>
        <v/>
      </c>
    </row>
    <row r="17" spans="1:22" ht="15.75" x14ac:dyDescent="0.25">
      <c r="A17" s="308"/>
      <c r="B17" s="308"/>
      <c r="C17" s="185"/>
      <c r="D17" s="187"/>
      <c r="E17" s="308"/>
      <c r="F17" s="308"/>
      <c r="G17" s="191"/>
      <c r="H17" s="61"/>
      <c r="K17" s="61"/>
      <c r="L17" s="88" t="s">
        <v>571</v>
      </c>
      <c r="M17" s="88"/>
      <c r="N17" s="61"/>
      <c r="O17" s="89"/>
      <c r="P17" s="179" t="str">
        <f t="shared" si="0"/>
        <v/>
      </c>
      <c r="Q17" s="179"/>
      <c r="R17" s="61"/>
      <c r="S17" s="1">
        <f t="shared" si="1"/>
        <v>0</v>
      </c>
      <c r="T17" s="171" t="str">
        <f t="shared" si="2"/>
        <v/>
      </c>
      <c r="U17" s="89" t="str">
        <f t="shared" si="3"/>
        <v/>
      </c>
    </row>
    <row r="18" spans="1:22" x14ac:dyDescent="0.25">
      <c r="A18" s="275"/>
      <c r="B18" s="275"/>
      <c r="C18" s="188"/>
      <c r="D18" s="1"/>
      <c r="E18" s="305"/>
      <c r="F18" s="305"/>
      <c r="G18" s="89"/>
      <c r="H18" s="61"/>
      <c r="K18" s="61"/>
      <c r="L18" s="61"/>
      <c r="M18" s="61"/>
      <c r="N18" s="61"/>
      <c r="T18" s="182"/>
    </row>
    <row r="19" spans="1:22" x14ac:dyDescent="0.25">
      <c r="A19" s="275"/>
      <c r="B19" s="275"/>
      <c r="C19" s="189"/>
      <c r="D19" s="155"/>
      <c r="E19" s="305"/>
      <c r="F19" s="305"/>
      <c r="G19" s="89"/>
      <c r="H19" s="61"/>
      <c r="K19" s="61"/>
      <c r="L19" s="61"/>
      <c r="M19" s="252" t="s">
        <v>569</v>
      </c>
      <c r="N19" s="252"/>
      <c r="O19" s="252"/>
      <c r="P19" s="252"/>
      <c r="Q19" s="252"/>
      <c r="R19" s="252"/>
      <c r="S19" s="252"/>
      <c r="T19" s="252"/>
      <c r="U19" s="252"/>
    </row>
    <row r="20" spans="1:22" x14ac:dyDescent="0.25">
      <c r="A20" s="275"/>
      <c r="B20" s="275"/>
      <c r="C20" s="188"/>
      <c r="D20" s="1"/>
      <c r="E20" s="305"/>
      <c r="F20" s="305"/>
      <c r="G20" s="89"/>
      <c r="H20" s="61"/>
      <c r="K20" s="61"/>
      <c r="L20" s="299" t="s">
        <v>570</v>
      </c>
      <c r="M20" s="88"/>
      <c r="N20" s="61"/>
      <c r="O20" s="89"/>
      <c r="P20" s="69">
        <f>N20*O20</f>
        <v>0</v>
      </c>
      <c r="T20" s="43">
        <f>P20</f>
        <v>0</v>
      </c>
    </row>
    <row r="21" spans="1:22" x14ac:dyDescent="0.25">
      <c r="A21" s="275"/>
      <c r="B21" s="275"/>
      <c r="C21" s="189"/>
      <c r="D21" s="155"/>
      <c r="E21" s="305"/>
      <c r="F21" s="305"/>
      <c r="G21" s="89"/>
      <c r="H21" s="61"/>
      <c r="L21" s="299"/>
      <c r="M21" s="88"/>
      <c r="N21" s="61"/>
      <c r="O21" s="89"/>
      <c r="P21" s="69">
        <f t="shared" ref="P21:P30" si="4">N21*O21</f>
        <v>0</v>
      </c>
      <c r="T21" s="43">
        <f t="shared" ref="T21:T30" si="5">P21</f>
        <v>0</v>
      </c>
    </row>
    <row r="22" spans="1:22" ht="15.75" thickBot="1" x14ac:dyDescent="0.3">
      <c r="A22" s="306"/>
      <c r="B22" s="306"/>
      <c r="C22" s="188"/>
      <c r="D22" s="1"/>
      <c r="E22" s="307"/>
      <c r="F22" s="307"/>
      <c r="G22" s="89"/>
      <c r="H22" s="61"/>
      <c r="L22" s="299"/>
      <c r="M22" s="88"/>
      <c r="N22" s="61"/>
      <c r="O22" s="89"/>
      <c r="P22" s="69">
        <f t="shared" si="4"/>
        <v>0</v>
      </c>
      <c r="T22" s="43">
        <f t="shared" si="5"/>
        <v>0</v>
      </c>
    </row>
    <row r="23" spans="1:22" ht="16.5" thickTop="1" thickBot="1" x14ac:dyDescent="0.3">
      <c r="A23" s="301" t="s">
        <v>220</v>
      </c>
      <c r="B23" s="301"/>
      <c r="C23" s="168">
        <f>SUM(C10:C22)</f>
        <v>424.2</v>
      </c>
      <c r="D23" s="167"/>
      <c r="E23" s="301" t="s">
        <v>220</v>
      </c>
      <c r="F23" s="301"/>
      <c r="G23" s="168">
        <f>SUM(G10:G22)</f>
        <v>97.09</v>
      </c>
      <c r="H23" s="61"/>
      <c r="L23" s="299"/>
      <c r="M23" s="88"/>
      <c r="N23" s="61"/>
      <c r="O23" s="89"/>
      <c r="P23" s="69">
        <f t="shared" si="4"/>
        <v>0</v>
      </c>
      <c r="T23" s="43">
        <f t="shared" si="5"/>
        <v>0</v>
      </c>
    </row>
    <row r="24" spans="1:22" ht="15.75" thickTop="1" x14ac:dyDescent="0.25">
      <c r="A24" s="61"/>
      <c r="B24" s="61"/>
      <c r="C24" s="95"/>
      <c r="D24" s="95"/>
      <c r="E24" s="61"/>
      <c r="F24" s="61"/>
      <c r="G24" s="61"/>
      <c r="H24" s="61"/>
      <c r="L24" s="299"/>
      <c r="M24" s="88"/>
      <c r="N24" s="61"/>
      <c r="O24" s="89"/>
      <c r="P24" s="69">
        <f t="shared" si="4"/>
        <v>0</v>
      </c>
      <c r="T24" s="43">
        <f t="shared" si="5"/>
        <v>0</v>
      </c>
      <c r="V24" s="69"/>
    </row>
    <row r="25" spans="1:22" ht="15.75" thickBot="1" x14ac:dyDescent="0.3">
      <c r="A25" s="61"/>
      <c r="B25" s="61"/>
      <c r="C25" s="61"/>
      <c r="D25" s="61"/>
      <c r="E25" s="61"/>
      <c r="F25" s="61"/>
      <c r="G25" s="61"/>
      <c r="H25" s="61"/>
      <c r="L25" s="299"/>
      <c r="M25" s="182"/>
      <c r="N25" s="61"/>
      <c r="O25" s="89"/>
      <c r="P25" s="69">
        <f t="shared" si="4"/>
        <v>0</v>
      </c>
      <c r="T25" s="43">
        <f t="shared" si="5"/>
        <v>0</v>
      </c>
    </row>
    <row r="26" spans="1:22" ht="16.5" thickTop="1" thickBot="1" x14ac:dyDescent="0.3">
      <c r="A26" s="61"/>
      <c r="B26" s="61"/>
      <c r="C26" s="301" t="s">
        <v>556</v>
      </c>
      <c r="D26" s="301"/>
      <c r="E26" s="301"/>
      <c r="F26" s="61"/>
      <c r="G26" s="61"/>
      <c r="H26" s="61"/>
      <c r="L26" s="299"/>
      <c r="M26" s="182"/>
      <c r="N26" s="61"/>
      <c r="O26" s="89"/>
      <c r="P26" s="69">
        <f t="shared" si="4"/>
        <v>0</v>
      </c>
      <c r="T26" s="43">
        <f t="shared" si="5"/>
        <v>0</v>
      </c>
    </row>
    <row r="27" spans="1:22" ht="16.5" thickTop="1" thickBot="1" x14ac:dyDescent="0.3">
      <c r="A27" s="61"/>
      <c r="B27" s="61"/>
      <c r="C27" s="302">
        <f>C23-G23-D30</f>
        <v>327.11</v>
      </c>
      <c r="D27" s="303"/>
      <c r="E27" s="303"/>
      <c r="F27" s="61"/>
      <c r="G27" s="61"/>
      <c r="H27" s="61"/>
      <c r="L27" s="299"/>
      <c r="M27" s="182"/>
      <c r="N27" s="61"/>
      <c r="O27" s="89"/>
      <c r="P27" s="69">
        <f t="shared" si="4"/>
        <v>0</v>
      </c>
      <c r="T27" s="43">
        <f t="shared" si="5"/>
        <v>0</v>
      </c>
    </row>
    <row r="28" spans="1:22" ht="16.5" thickTop="1" thickBot="1" x14ac:dyDescent="0.3">
      <c r="A28" s="61"/>
      <c r="B28" s="61"/>
      <c r="C28" s="303"/>
      <c r="D28" s="303"/>
      <c r="E28" s="303"/>
      <c r="F28" s="61"/>
      <c r="G28" s="61"/>
      <c r="H28" s="61"/>
      <c r="L28" s="299"/>
      <c r="M28" s="182"/>
      <c r="N28" s="61"/>
      <c r="P28" s="69">
        <f t="shared" si="4"/>
        <v>0</v>
      </c>
      <c r="T28" s="43">
        <f t="shared" si="5"/>
        <v>0</v>
      </c>
    </row>
    <row r="29" spans="1:22" ht="15.75" thickTop="1" x14ac:dyDescent="0.25">
      <c r="A29" s="61"/>
      <c r="B29" s="61"/>
      <c r="C29" s="61"/>
      <c r="D29" s="61"/>
      <c r="E29" s="61"/>
      <c r="F29" s="61"/>
      <c r="G29" s="61"/>
      <c r="H29" s="61"/>
      <c r="L29" s="299"/>
      <c r="M29" s="182"/>
      <c r="N29" s="61"/>
      <c r="P29" s="69">
        <f t="shared" si="4"/>
        <v>0</v>
      </c>
      <c r="T29" s="43">
        <f t="shared" si="5"/>
        <v>0</v>
      </c>
    </row>
    <row r="30" spans="1:22" x14ac:dyDescent="0.25">
      <c r="A30" s="218" t="s">
        <v>557</v>
      </c>
      <c r="B30" s="218"/>
      <c r="C30" s="218"/>
      <c r="D30" s="304"/>
      <c r="E30" s="304"/>
      <c r="H30" s="61"/>
      <c r="L30" s="299"/>
      <c r="M30" s="182"/>
      <c r="P30" s="69">
        <f t="shared" si="4"/>
        <v>0</v>
      </c>
      <c r="T30" s="43">
        <f t="shared" si="5"/>
        <v>0</v>
      </c>
    </row>
    <row r="31" spans="1:22" x14ac:dyDescent="0.25">
      <c r="A31" s="218" t="s">
        <v>604</v>
      </c>
      <c r="B31" s="218"/>
      <c r="C31" s="218"/>
      <c r="D31" s="218"/>
      <c r="E31" s="218"/>
      <c r="F31" s="218"/>
      <c r="G31" s="218"/>
      <c r="H31" s="218"/>
    </row>
    <row r="32" spans="1:22" x14ac:dyDescent="0.25">
      <c r="A32" s="218" t="s">
        <v>606</v>
      </c>
      <c r="B32" s="218"/>
      <c r="C32" s="218"/>
      <c r="D32" s="218"/>
      <c r="E32" s="218"/>
      <c r="F32" s="218"/>
      <c r="G32" s="218"/>
      <c r="H32" s="218"/>
    </row>
    <row r="33" spans="1:20" ht="15" customHeight="1" x14ac:dyDescent="0.35">
      <c r="A33" s="218"/>
      <c r="B33" s="218"/>
      <c r="C33" s="218"/>
      <c r="D33" s="218"/>
      <c r="E33" s="218"/>
      <c r="F33" s="218"/>
      <c r="G33" s="218"/>
      <c r="H33" s="218"/>
      <c r="M33" s="294" t="s">
        <v>287</v>
      </c>
      <c r="N33" s="294"/>
      <c r="O33" s="294"/>
      <c r="P33" s="294"/>
      <c r="Q33" s="294"/>
      <c r="R33" s="294"/>
      <c r="S33" s="183"/>
      <c r="T33" s="295">
        <f>SUM(T6:T17,T20:T30)</f>
        <v>16.204999999999998</v>
      </c>
    </row>
    <row r="34" spans="1:20" ht="15" customHeight="1" x14ac:dyDescent="0.35">
      <c r="M34" s="294"/>
      <c r="N34" s="294"/>
      <c r="O34" s="294"/>
      <c r="P34" s="294"/>
      <c r="Q34" s="294"/>
      <c r="R34" s="294"/>
      <c r="S34" s="183"/>
      <c r="T34" s="294"/>
    </row>
  </sheetData>
  <mergeCells count="47">
    <mergeCell ref="A12:B12"/>
    <mergeCell ref="E12:F12"/>
    <mergeCell ref="A13:B13"/>
    <mergeCell ref="E13:F13"/>
    <mergeCell ref="A14:B14"/>
    <mergeCell ref="E14:F14"/>
    <mergeCell ref="A11:B11"/>
    <mergeCell ref="E11:F11"/>
    <mergeCell ref="A1:H3"/>
    <mergeCell ref="F6:G6"/>
    <mergeCell ref="F7:G7"/>
    <mergeCell ref="A9:C9"/>
    <mergeCell ref="E9:G9"/>
    <mergeCell ref="E15:F15"/>
    <mergeCell ref="A16:B16"/>
    <mergeCell ref="E16:F16"/>
    <mergeCell ref="A17:B17"/>
    <mergeCell ref="E17:F17"/>
    <mergeCell ref="A15:B15"/>
    <mergeCell ref="E18:F18"/>
    <mergeCell ref="A19:B19"/>
    <mergeCell ref="E19:F19"/>
    <mergeCell ref="A20:B20"/>
    <mergeCell ref="E20:F20"/>
    <mergeCell ref="A33:H33"/>
    <mergeCell ref="A10:B10"/>
    <mergeCell ref="E10:F10"/>
    <mergeCell ref="C26:E26"/>
    <mergeCell ref="C27:E28"/>
    <mergeCell ref="A30:C30"/>
    <mergeCell ref="D30:E30"/>
    <mergeCell ref="A31:H31"/>
    <mergeCell ref="A32:H32"/>
    <mergeCell ref="A21:B21"/>
    <mergeCell ref="E21:F21"/>
    <mergeCell ref="A22:B22"/>
    <mergeCell ref="E22:F22"/>
    <mergeCell ref="A23:B23"/>
    <mergeCell ref="E23:F23"/>
    <mergeCell ref="A18:B18"/>
    <mergeCell ref="M33:R34"/>
    <mergeCell ref="T33:T34"/>
    <mergeCell ref="L6:L16"/>
    <mergeCell ref="N3:Q3"/>
    <mergeCell ref="R3:U3"/>
    <mergeCell ref="L20:L30"/>
    <mergeCell ref="M19:U19"/>
  </mergeCells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4C749-F8E8-405D-8C2D-6D0B30F6EC57}">
  <sheetPr codeName="Feuil15"/>
  <dimension ref="B6:AR46"/>
  <sheetViews>
    <sheetView workbookViewId="0">
      <selection activeCell="AR31" sqref="AR31"/>
    </sheetView>
  </sheetViews>
  <sheetFormatPr baseColWidth="10" defaultRowHeight="15" x14ac:dyDescent="0.25"/>
  <cols>
    <col min="2" max="2" width="19.7109375" bestFit="1" customWidth="1"/>
    <col min="3" max="3" width="11.42578125" customWidth="1"/>
    <col min="4" max="4" width="11.42578125" hidden="1" customWidth="1"/>
    <col min="5" max="5" width="18.5703125" hidden="1" customWidth="1"/>
    <col min="6" max="6" width="11.5703125" customWidth="1"/>
    <col min="7" max="7" width="11.42578125" hidden="1" customWidth="1"/>
    <col min="8" max="8" width="18.5703125" hidden="1" customWidth="1"/>
    <col min="9" max="9" width="11.5703125" customWidth="1"/>
    <col min="10" max="10" width="11.42578125" hidden="1" customWidth="1"/>
    <col min="11" max="11" width="18.7109375" hidden="1" customWidth="1"/>
    <col min="12" max="12" width="12.5703125" customWidth="1"/>
    <col min="13" max="13" width="11.42578125" hidden="1" customWidth="1"/>
    <col min="14" max="14" width="18.7109375" hidden="1" customWidth="1"/>
    <col min="15" max="15" width="12.5703125" customWidth="1"/>
    <col min="16" max="16" width="11.42578125" hidden="1" customWidth="1"/>
    <col min="17" max="17" width="18.7109375" hidden="1" customWidth="1"/>
    <col min="18" max="18" width="12.5703125" customWidth="1"/>
    <col min="19" max="19" width="11.42578125" hidden="1" customWidth="1"/>
    <col min="20" max="20" width="18.7109375" hidden="1" customWidth="1"/>
    <col min="21" max="21" width="12.5703125" customWidth="1"/>
    <col min="22" max="22" width="11.42578125" hidden="1" customWidth="1"/>
    <col min="23" max="23" width="18.7109375" hidden="1" customWidth="1"/>
    <col min="24" max="24" width="12.5703125" customWidth="1"/>
    <col min="25" max="25" width="11.42578125" hidden="1" customWidth="1"/>
    <col min="26" max="26" width="18.7109375" hidden="1" customWidth="1"/>
    <col min="27" max="27" width="12.5703125" customWidth="1"/>
    <col min="28" max="28" width="13.28515625" hidden="1" customWidth="1"/>
    <col min="29" max="29" width="18.7109375" hidden="1" customWidth="1"/>
    <col min="30" max="30" width="12.5703125" customWidth="1"/>
    <col min="31" max="31" width="11.42578125" hidden="1" customWidth="1"/>
    <col min="32" max="32" width="19.7109375" hidden="1" customWidth="1"/>
    <col min="33" max="33" width="12.5703125" customWidth="1"/>
    <col min="34" max="34" width="11.42578125" hidden="1" customWidth="1"/>
    <col min="35" max="35" width="19.7109375" hidden="1" customWidth="1"/>
    <col min="36" max="36" width="12.5703125" customWidth="1"/>
    <col min="37" max="37" width="11.42578125" hidden="1" customWidth="1"/>
    <col min="38" max="38" width="19.7109375" hidden="1" customWidth="1"/>
    <col min="39" max="39" width="12.5703125" customWidth="1"/>
  </cols>
  <sheetData>
    <row r="6" spans="2:40" x14ac:dyDescent="0.25">
      <c r="B6" s="150"/>
      <c r="C6" s="150" t="s">
        <v>485</v>
      </c>
      <c r="D6" s="150" t="s">
        <v>498</v>
      </c>
      <c r="E6" s="150" t="s">
        <v>499</v>
      </c>
      <c r="F6" s="153" t="s">
        <v>486</v>
      </c>
      <c r="G6" s="153" t="s">
        <v>498</v>
      </c>
      <c r="H6" s="153" t="s">
        <v>499</v>
      </c>
      <c r="I6" s="153" t="s">
        <v>500</v>
      </c>
      <c r="J6" s="153" t="s">
        <v>498</v>
      </c>
      <c r="K6" s="153" t="s">
        <v>499</v>
      </c>
      <c r="L6" s="153" t="s">
        <v>488</v>
      </c>
      <c r="M6" s="153" t="s">
        <v>498</v>
      </c>
      <c r="N6" s="153" t="s">
        <v>499</v>
      </c>
      <c r="O6" s="153" t="s">
        <v>489</v>
      </c>
      <c r="P6" s="153" t="s">
        <v>498</v>
      </c>
      <c r="Q6" s="153" t="s">
        <v>499</v>
      </c>
      <c r="R6" s="153" t="s">
        <v>490</v>
      </c>
      <c r="S6" s="153" t="s">
        <v>498</v>
      </c>
      <c r="T6" s="153" t="s">
        <v>499</v>
      </c>
      <c r="U6" s="153" t="s">
        <v>491</v>
      </c>
      <c r="V6" s="153" t="s">
        <v>498</v>
      </c>
      <c r="W6" s="153" t="s">
        <v>499</v>
      </c>
      <c r="X6" s="153" t="s">
        <v>492</v>
      </c>
      <c r="Y6" s="153" t="s">
        <v>498</v>
      </c>
      <c r="Z6" s="153" t="s">
        <v>499</v>
      </c>
      <c r="AA6" s="153" t="s">
        <v>493</v>
      </c>
      <c r="AB6" s="153" t="s">
        <v>498</v>
      </c>
      <c r="AC6" s="153" t="s">
        <v>499</v>
      </c>
      <c r="AD6" s="153" t="s">
        <v>494</v>
      </c>
      <c r="AE6" s="153" t="s">
        <v>498</v>
      </c>
      <c r="AF6" s="153" t="s">
        <v>499</v>
      </c>
      <c r="AG6" s="153" t="s">
        <v>495</v>
      </c>
      <c r="AH6" s="153" t="s">
        <v>498</v>
      </c>
      <c r="AI6" s="153" t="s">
        <v>499</v>
      </c>
      <c r="AJ6" s="153" t="s">
        <v>496</v>
      </c>
      <c r="AK6" s="153" t="s">
        <v>498</v>
      </c>
      <c r="AL6" s="153" t="s">
        <v>499</v>
      </c>
      <c r="AM6" s="153" t="s">
        <v>497</v>
      </c>
      <c r="AN6" s="153" t="s">
        <v>502</v>
      </c>
    </row>
    <row r="7" spans="2:40" s="157" customFormat="1" x14ac:dyDescent="0.25">
      <c r="B7" s="156">
        <v>1</v>
      </c>
      <c r="C7" s="156">
        <v>2</v>
      </c>
      <c r="D7" s="156">
        <v>3</v>
      </c>
      <c r="E7" s="156">
        <v>4</v>
      </c>
      <c r="F7" s="156">
        <v>5</v>
      </c>
      <c r="G7" s="156">
        <v>6</v>
      </c>
      <c r="H7" s="156">
        <v>7</v>
      </c>
      <c r="I7" s="156">
        <v>8</v>
      </c>
      <c r="J7" s="156">
        <v>9</v>
      </c>
      <c r="K7" s="156">
        <v>10</v>
      </c>
      <c r="L7" s="156">
        <v>11</v>
      </c>
      <c r="M7" s="156">
        <v>12</v>
      </c>
      <c r="N7" s="156">
        <v>13</v>
      </c>
      <c r="O7" s="156">
        <v>14</v>
      </c>
      <c r="P7" s="156">
        <v>15</v>
      </c>
      <c r="Q7" s="156">
        <v>16</v>
      </c>
      <c r="R7" s="156">
        <v>17</v>
      </c>
      <c r="S7" s="156">
        <v>18</v>
      </c>
      <c r="T7" s="156">
        <v>19</v>
      </c>
      <c r="U7" s="156">
        <v>20</v>
      </c>
      <c r="V7" s="156">
        <v>21</v>
      </c>
      <c r="W7" s="156">
        <v>22</v>
      </c>
      <c r="X7" s="156">
        <v>23</v>
      </c>
      <c r="Y7" s="156">
        <v>24</v>
      </c>
      <c r="Z7" s="156">
        <v>25</v>
      </c>
      <c r="AA7" s="156">
        <v>26</v>
      </c>
      <c r="AB7" s="156">
        <v>27</v>
      </c>
      <c r="AC7" s="156">
        <v>28</v>
      </c>
      <c r="AD7" s="156">
        <v>29</v>
      </c>
      <c r="AE7" s="156">
        <v>30</v>
      </c>
      <c r="AF7" s="156">
        <v>31</v>
      </c>
      <c r="AG7" s="156">
        <v>32</v>
      </c>
      <c r="AH7" s="156">
        <v>33</v>
      </c>
      <c r="AI7" s="156">
        <v>34</v>
      </c>
      <c r="AJ7" s="156">
        <v>35</v>
      </c>
      <c r="AK7" s="156">
        <v>36</v>
      </c>
      <c r="AL7" s="156">
        <v>37</v>
      </c>
      <c r="AM7" s="156">
        <v>38</v>
      </c>
      <c r="AN7" s="156">
        <v>39</v>
      </c>
    </row>
    <row r="8" spans="2:40" x14ac:dyDescent="0.25">
      <c r="B8" s="153" t="s">
        <v>116</v>
      </c>
      <c r="C8" s="152" t="s">
        <v>117</v>
      </c>
      <c r="D8" s="154" t="s">
        <v>118</v>
      </c>
      <c r="E8" s="1" t="s">
        <v>119</v>
      </c>
      <c r="F8" s="89" t="s">
        <v>120</v>
      </c>
      <c r="G8" s="1" t="s">
        <v>121</v>
      </c>
      <c r="H8" s="1" t="s">
        <v>122</v>
      </c>
      <c r="I8" s="89" t="s">
        <v>123</v>
      </c>
      <c r="J8" s="1" t="s">
        <v>124</v>
      </c>
      <c r="K8" s="1" t="s">
        <v>125</v>
      </c>
      <c r="L8" s="89" t="s">
        <v>126</v>
      </c>
      <c r="M8" s="1" t="s">
        <v>127</v>
      </c>
      <c r="N8" s="1" t="s">
        <v>128</v>
      </c>
      <c r="O8" s="89" t="s">
        <v>129</v>
      </c>
      <c r="P8" s="1" t="s">
        <v>130</v>
      </c>
      <c r="Q8" s="1" t="s">
        <v>131</v>
      </c>
      <c r="R8" s="89" t="s">
        <v>132</v>
      </c>
      <c r="S8" s="1" t="s">
        <v>133</v>
      </c>
      <c r="T8" s="1" t="s">
        <v>134</v>
      </c>
      <c r="U8" s="89" t="s">
        <v>135</v>
      </c>
      <c r="V8" s="1" t="s">
        <v>136</v>
      </c>
      <c r="W8" s="1" t="s">
        <v>137</v>
      </c>
      <c r="X8" s="89" t="s">
        <v>138</v>
      </c>
      <c r="Y8" s="1" t="s">
        <v>139</v>
      </c>
      <c r="Z8" s="1" t="s">
        <v>140</v>
      </c>
      <c r="AA8" s="89" t="s">
        <v>141</v>
      </c>
      <c r="AB8" s="1" t="s">
        <v>142</v>
      </c>
      <c r="AC8" s="1" t="s">
        <v>143</v>
      </c>
      <c r="AD8" s="89" t="s">
        <v>144</v>
      </c>
      <c r="AE8" s="1" t="s">
        <v>145</v>
      </c>
      <c r="AF8" s="1" t="s">
        <v>146</v>
      </c>
      <c r="AG8" s="89" t="s">
        <v>147</v>
      </c>
      <c r="AH8" s="1" t="s">
        <v>148</v>
      </c>
      <c r="AI8" s="1" t="s">
        <v>149</v>
      </c>
      <c r="AJ8" s="89" t="s">
        <v>150</v>
      </c>
      <c r="AK8" s="1" t="s">
        <v>151</v>
      </c>
      <c r="AL8" s="1" t="s">
        <v>152</v>
      </c>
      <c r="AM8" s="89" t="s">
        <v>153</v>
      </c>
      <c r="AN8" s="1" t="s">
        <v>154</v>
      </c>
    </row>
    <row r="9" spans="2:40" x14ac:dyDescent="0.25">
      <c r="B9" s="153" t="str">
        <f>IF(parametre!U2="","",parametre!U2)</f>
        <v>Buvette Club</v>
      </c>
      <c r="C9" s="152">
        <f>IF(B9="","",SUMIFS('remise banque'!E$6:E$46,'remise banque'!C$6:C$46,parametre!U2))</f>
        <v>0</v>
      </c>
      <c r="D9" s="154">
        <v>1</v>
      </c>
      <c r="E9" s="1" t="str">
        <f>IF(B9="","",CONCATENATE(B9,D9))</f>
        <v>Buvette Club1</v>
      </c>
      <c r="F9" s="89">
        <f>IF(B9="","",SUMIFS('remise banque'!$M7:$M75,'remise banque'!$L7:$L75,E9))</f>
        <v>0</v>
      </c>
      <c r="G9" s="1">
        <v>2</v>
      </c>
      <c r="H9" s="1" t="str">
        <f>CONCATENATE($B9,G9)</f>
        <v>Buvette Club2</v>
      </c>
      <c r="I9" s="89">
        <f>IF(E9="","",SUMIFS('remise banque'!$M7:$M75,'remise banque'!$L7:$L75,H9))</f>
        <v>0</v>
      </c>
      <c r="J9" s="1">
        <v>3</v>
      </c>
      <c r="K9" s="1" t="str">
        <f>CONCATENATE(B9,J9)</f>
        <v>Buvette Club3</v>
      </c>
      <c r="L9" s="89">
        <f>IF(H9="","",SUMIFS('remise banque'!$M7:$M75,'remise banque'!$L7:$L75,K9))</f>
        <v>0</v>
      </c>
      <c r="M9" s="1">
        <v>4</v>
      </c>
      <c r="N9" s="1" t="str">
        <f>CONCATENATE(B9,M9)</f>
        <v>Buvette Club4</v>
      </c>
      <c r="O9" s="89">
        <f>IF(K9="","",SUMIFS('remise banque'!$M7:$M75,'remise banque'!$L7:$L75,N9))</f>
        <v>0</v>
      </c>
      <c r="P9" s="1">
        <v>5</v>
      </c>
      <c r="Q9" s="1" t="str">
        <f>CONCATENATE(B9,P9)</f>
        <v>Buvette Club5</v>
      </c>
      <c r="R9" s="89">
        <f>IF(N9="","",SUMIFS('remise banque'!$M7:$M75,'remise banque'!$L7:$L75,Q9))</f>
        <v>0</v>
      </c>
      <c r="S9" s="1">
        <v>6</v>
      </c>
      <c r="T9" s="1" t="str">
        <f>CONCATENATE(B9,S9)</f>
        <v>Buvette Club6</v>
      </c>
      <c r="U9" s="89">
        <f>IF(Q9="","",SUMIFS('remise banque'!$M7:$M75,'remise banque'!$L7:$L75,T9))</f>
        <v>0</v>
      </c>
      <c r="V9" s="1">
        <v>7</v>
      </c>
      <c r="W9" s="1" t="str">
        <f>CONCATENATE(B9,V9)</f>
        <v>Buvette Club7</v>
      </c>
      <c r="X9" s="89">
        <f>IF(Q9="","",SUMIFS('remise banque'!$M7:$M75,'remise banque'!$L7:$L75,T9))</f>
        <v>0</v>
      </c>
      <c r="Y9" s="1">
        <v>8</v>
      </c>
      <c r="Z9" s="1" t="str">
        <f>CONCATENATE(B9,Y9)</f>
        <v>Buvette Club8</v>
      </c>
      <c r="AA9" s="89">
        <f>IF(Q9="","",SUMIFS('remise banque'!$M7:$M75,'remise banque'!$L7:$L75,T9))</f>
        <v>0</v>
      </c>
      <c r="AB9" s="1">
        <v>9</v>
      </c>
      <c r="AC9" s="1" t="str">
        <f>CONCATENATE(B9,AB9)</f>
        <v>Buvette Club9</v>
      </c>
      <c r="AD9" s="89">
        <f>IF(Q9="","",SUMIFS('remise banque'!$M7:$M75,'remise banque'!$L7:$L75,T9))</f>
        <v>0</v>
      </c>
      <c r="AE9" s="1">
        <v>10</v>
      </c>
      <c r="AF9" s="1" t="str">
        <f>CONCATENATE(B9,AE9)</f>
        <v>Buvette Club10</v>
      </c>
      <c r="AG9" s="89">
        <f>IF(Q9="","",SUMIFS('remise banque'!$M7:$M75,'remise banque'!$L7:$L75,T9))</f>
        <v>0</v>
      </c>
      <c r="AH9" s="1">
        <v>11</v>
      </c>
      <c r="AI9" s="1" t="str">
        <f>CONCATENATE(B9,AH9)</f>
        <v>Buvette Club11</v>
      </c>
      <c r="AJ9" s="89">
        <f>IF(Q9="","",SUMIFS('remise banque'!$M7:$M75,'remise banque'!$L7:$L75,T9))</f>
        <v>0</v>
      </c>
      <c r="AK9" s="1">
        <v>12</v>
      </c>
      <c r="AL9" s="1" t="str">
        <f>CONCATENATE(B9,AK9)</f>
        <v>Buvette Club12</v>
      </c>
      <c r="AM9" s="89">
        <f>IF(Q9="","",SUMIFS('remise banque'!$M7:$M75,'remise banque'!$L7:$L75,T9))</f>
        <v>0</v>
      </c>
      <c r="AN9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0" spans="2:40" x14ac:dyDescent="0.25">
      <c r="B10" s="153" t="str">
        <f>IF(parametre!U3="","",parametre!U3)</f>
        <v>Critérium fédéral</v>
      </c>
      <c r="C10" s="152">
        <f>IF(B10="","",SUMIFS('remise banque'!E$6:E$46,'remise banque'!C$6:C$46,parametre!U3))</f>
        <v>0</v>
      </c>
      <c r="D10" s="154">
        <v>1</v>
      </c>
      <c r="E10" s="1" t="str">
        <f t="shared" ref="E10:E31" si="0">IF(B10="","",CONCATENATE(B10,D10))</f>
        <v>Critérium fédéral1</v>
      </c>
      <c r="F10" s="89">
        <f>IF(B10="","",SUMIFS('remise banque'!$M7:$M76,'remise banque'!$L7:$L76,E10))</f>
        <v>0</v>
      </c>
      <c r="G10" s="1">
        <v>2</v>
      </c>
      <c r="H10" s="1" t="str">
        <f t="shared" ref="H10:H31" si="1">CONCATENATE($B10,G10)</f>
        <v>Critérium fédéral2</v>
      </c>
      <c r="I10" s="89">
        <f>IF(E10="","",SUMIFS('remise banque'!$M7:$M76,'remise banque'!$L7:$L76,H10))</f>
        <v>0</v>
      </c>
      <c r="J10" s="1">
        <v>3</v>
      </c>
      <c r="K10" s="1" t="str">
        <f t="shared" ref="K10:K31" si="2">CONCATENATE(B10,J10)</f>
        <v>Critérium fédéral3</v>
      </c>
      <c r="L10" s="89">
        <f>IF(H10="","",SUMIFS('remise banque'!$M7:$M76,'remise banque'!$L7:$L76,K10))</f>
        <v>0</v>
      </c>
      <c r="M10" s="1">
        <v>4</v>
      </c>
      <c r="N10" s="1" t="str">
        <f t="shared" ref="N10:N31" si="3">CONCATENATE(B10,M10)</f>
        <v>Critérium fédéral4</v>
      </c>
      <c r="O10" s="89">
        <f>IF(K10="","",SUMIFS('remise banque'!$M7:$M76,'remise banque'!$L7:$L76,N10))</f>
        <v>0</v>
      </c>
      <c r="P10" s="1">
        <v>5</v>
      </c>
      <c r="Q10" s="1" t="str">
        <f t="shared" ref="Q10:Q31" si="4">CONCATENATE(B10,P10)</f>
        <v>Critérium fédéral5</v>
      </c>
      <c r="R10" s="89">
        <f>IF(N10="","",SUMIFS('remise banque'!$M7:$M76,'remise banque'!$L7:$L76,Q10))</f>
        <v>0</v>
      </c>
      <c r="S10" s="1">
        <v>6</v>
      </c>
      <c r="T10" s="1" t="str">
        <f t="shared" ref="T10:T31" si="5">CONCATENATE(B10,S10)</f>
        <v>Critérium fédéral6</v>
      </c>
      <c r="U10" s="89">
        <f>IF(Q10="","",SUMIFS('remise banque'!$M7:$M76,'remise banque'!$L7:$L76,T10))</f>
        <v>0</v>
      </c>
      <c r="V10" s="1">
        <v>7</v>
      </c>
      <c r="W10" s="1" t="str">
        <f t="shared" ref="W10:W31" si="6">CONCATENATE(B10,V10)</f>
        <v>Critérium fédéral7</v>
      </c>
      <c r="X10" s="89">
        <f>IF(Q10="","",SUMIFS('remise banque'!$M7:$M76,'remise banque'!$L7:$L76,T10))</f>
        <v>0</v>
      </c>
      <c r="Y10" s="1">
        <v>8</v>
      </c>
      <c r="Z10" s="1" t="str">
        <f t="shared" ref="Z10:Z31" si="7">CONCATENATE(B10,Y10)</f>
        <v>Critérium fédéral8</v>
      </c>
      <c r="AA10" s="89">
        <f>IF(Q10="","",SUMIFS('remise banque'!$M7:$M76,'remise banque'!$L7:$L76,T10))</f>
        <v>0</v>
      </c>
      <c r="AB10" s="1">
        <v>9</v>
      </c>
      <c r="AC10" s="1" t="str">
        <f t="shared" ref="AC10:AC31" si="8">CONCATENATE(B10,AB10)</f>
        <v>Critérium fédéral9</v>
      </c>
      <c r="AD10" s="89">
        <f>IF(Q10="","",SUMIFS('remise banque'!$M7:$M76,'remise banque'!$L7:$L76,T10))</f>
        <v>0</v>
      </c>
      <c r="AE10" s="1">
        <v>10</v>
      </c>
      <c r="AF10" s="1" t="str">
        <f t="shared" ref="AF10:AF31" si="9">CONCATENATE(B10,AE10)</f>
        <v>Critérium fédéral10</v>
      </c>
      <c r="AG10" s="89">
        <f>IF(Q10="","",SUMIFS('remise banque'!$M7:$M76,'remise banque'!$L7:$L76,T10))</f>
        <v>0</v>
      </c>
      <c r="AH10" s="1">
        <v>11</v>
      </c>
      <c r="AI10" s="1" t="str">
        <f t="shared" ref="AI10:AI31" si="10">CONCATENATE(B10,AH10)</f>
        <v>Critérium fédéral11</v>
      </c>
      <c r="AJ10" s="89">
        <f>IF(Q10="","",SUMIFS('remise banque'!$M7:$M76,'remise banque'!$L7:$L76,T10))</f>
        <v>0</v>
      </c>
      <c r="AK10" s="1">
        <v>12</v>
      </c>
      <c r="AL10" s="1" t="str">
        <f t="shared" ref="AL10:AL31" si="11">CONCATENATE(B10,AK10)</f>
        <v>Critérium fédéral12</v>
      </c>
      <c r="AM10" s="89">
        <f>IF(Q10="","",SUMIFS('remise banque'!$M7:$M76,'remise banque'!$L7:$L76,T10))</f>
        <v>0</v>
      </c>
      <c r="AN10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1" spans="2:40" x14ac:dyDescent="0.25">
      <c r="B11" s="153" t="str">
        <f>IF(parametre!U4="","",parametre!U4)</f>
        <v>Cotisation licences</v>
      </c>
      <c r="C11" s="152">
        <f>IF(B11="","",SUMIFS('remise banque'!E$6:E$46,'remise banque'!C$6:C$46,parametre!U4))</f>
        <v>0</v>
      </c>
      <c r="D11" s="154">
        <v>1</v>
      </c>
      <c r="E11" s="1" t="str">
        <f t="shared" si="0"/>
        <v>Cotisation licences1</v>
      </c>
      <c r="F11" s="89">
        <f>IF(B11="","",SUMIFS('remise banque'!$M7:$M77,'remise banque'!$L7:$L77,E11))</f>
        <v>0</v>
      </c>
      <c r="G11" s="1">
        <v>2</v>
      </c>
      <c r="H11" s="1" t="str">
        <f t="shared" si="1"/>
        <v>Cotisation licences2</v>
      </c>
      <c r="I11" s="89">
        <f>IF(E11="","",SUMIFS('remise banque'!$M7:$M77,'remise banque'!$L7:$L77,H11))</f>
        <v>0</v>
      </c>
      <c r="J11" s="1">
        <v>3</v>
      </c>
      <c r="K11" s="1" t="str">
        <f t="shared" si="2"/>
        <v>Cotisation licences3</v>
      </c>
      <c r="L11" s="89">
        <f>IF(H11="","",SUMIFS('remise banque'!$M7:$M77,'remise banque'!$L7:$L77,K11))</f>
        <v>0</v>
      </c>
      <c r="M11" s="1">
        <v>4</v>
      </c>
      <c r="N11" s="1" t="str">
        <f t="shared" si="3"/>
        <v>Cotisation licences4</v>
      </c>
      <c r="O11" s="89">
        <f>IF(K11="","",SUMIFS('remise banque'!$M7:$M77,'remise banque'!$L7:$L77,N11))</f>
        <v>0</v>
      </c>
      <c r="P11" s="1">
        <v>5</v>
      </c>
      <c r="Q11" s="1" t="str">
        <f t="shared" si="4"/>
        <v>Cotisation licences5</v>
      </c>
      <c r="R11" s="89">
        <f>IF(N11="","",SUMIFS('remise banque'!$M7:$M77,'remise banque'!$L7:$L77,Q11))</f>
        <v>0</v>
      </c>
      <c r="S11" s="1">
        <v>6</v>
      </c>
      <c r="T11" s="1" t="str">
        <f t="shared" si="5"/>
        <v>Cotisation licences6</v>
      </c>
      <c r="U11" s="89">
        <f>IF(Q11="","",SUMIFS('remise banque'!$M7:$M77,'remise banque'!$L7:$L77,T11))</f>
        <v>0</v>
      </c>
      <c r="V11" s="1">
        <v>7</v>
      </c>
      <c r="W11" s="1" t="str">
        <f t="shared" si="6"/>
        <v>Cotisation licences7</v>
      </c>
      <c r="X11" s="89">
        <f>IF(Q11="","",SUMIFS('remise banque'!$M7:$M77,'remise banque'!$L7:$L77,T11))</f>
        <v>0</v>
      </c>
      <c r="Y11" s="1">
        <v>8</v>
      </c>
      <c r="Z11" s="1" t="str">
        <f t="shared" si="7"/>
        <v>Cotisation licences8</v>
      </c>
      <c r="AA11" s="89">
        <f>IF(Q11="","",SUMIFS('remise banque'!$M7:$M77,'remise banque'!$L7:$L77,T11))</f>
        <v>0</v>
      </c>
      <c r="AB11" s="1">
        <v>9</v>
      </c>
      <c r="AC11" s="1" t="str">
        <f t="shared" si="8"/>
        <v>Cotisation licences9</v>
      </c>
      <c r="AD11" s="89">
        <f>IF(Q11="","",SUMIFS('remise banque'!$M7:$M77,'remise banque'!$L7:$L77,T11))</f>
        <v>0</v>
      </c>
      <c r="AE11" s="1">
        <v>10</v>
      </c>
      <c r="AF11" s="1" t="str">
        <f t="shared" si="9"/>
        <v>Cotisation licences10</v>
      </c>
      <c r="AG11" s="89">
        <f>IF(Q11="","",SUMIFS('remise banque'!$M7:$M77,'remise banque'!$L7:$L77,T11))</f>
        <v>0</v>
      </c>
      <c r="AH11" s="1">
        <v>11</v>
      </c>
      <c r="AI11" s="1" t="str">
        <f t="shared" si="10"/>
        <v>Cotisation licences11</v>
      </c>
      <c r="AJ11" s="89">
        <f>IF(Q11="","",SUMIFS('remise banque'!$M7:$M77,'remise banque'!$L7:$L77,T11))</f>
        <v>0</v>
      </c>
      <c r="AK11" s="1">
        <v>12</v>
      </c>
      <c r="AL11" s="1" t="str">
        <f t="shared" si="11"/>
        <v>Cotisation licences12</v>
      </c>
      <c r="AM11" s="89">
        <f>IF(Q11="","",SUMIFS('remise banque'!$M7:$M77,'remise banque'!$L7:$L77,T11))</f>
        <v>0</v>
      </c>
      <c r="AN11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2" spans="2:40" x14ac:dyDescent="0.25">
      <c r="B12" s="153" t="str">
        <f>IF(parametre!U5="","",parametre!U5)</f>
        <v>Tournoi Crepes</v>
      </c>
      <c r="C12" s="152">
        <f>IF(B12="","",SUMIFS('remise banque'!E$6:E$46,'remise banque'!C$6:C$46,parametre!U5))</f>
        <v>0</v>
      </c>
      <c r="D12" s="154">
        <v>1</v>
      </c>
      <c r="E12" s="1" t="str">
        <f t="shared" si="0"/>
        <v>Tournoi Crepes1</v>
      </c>
      <c r="F12" s="89">
        <f>IF(B12="","",SUMIFS('remise banque'!$M7:$M78,'remise banque'!$L7:$L78,E12))</f>
        <v>0</v>
      </c>
      <c r="G12" s="1">
        <v>2</v>
      </c>
      <c r="H12" s="1" t="str">
        <f t="shared" si="1"/>
        <v>Tournoi Crepes2</v>
      </c>
      <c r="I12" s="89">
        <f>IF(E12="","",SUMIFS('remise banque'!$M7:$M78,'remise banque'!$L7:$L78,H12))</f>
        <v>0</v>
      </c>
      <c r="J12" s="1">
        <v>3</v>
      </c>
      <c r="K12" s="1" t="str">
        <f t="shared" si="2"/>
        <v>Tournoi Crepes3</v>
      </c>
      <c r="L12" s="89">
        <f>IF(H12="","",SUMIFS('remise banque'!$M7:$M78,'remise banque'!$L7:$L78,K12))</f>
        <v>0</v>
      </c>
      <c r="M12" s="1">
        <v>4</v>
      </c>
      <c r="N12" s="1" t="str">
        <f t="shared" si="3"/>
        <v>Tournoi Crepes4</v>
      </c>
      <c r="O12" s="89">
        <f>IF(K12="","",SUMIFS('remise banque'!$M7:$M78,'remise banque'!$L7:$L78,N12))</f>
        <v>0</v>
      </c>
      <c r="P12" s="1">
        <v>5</v>
      </c>
      <c r="Q12" s="1" t="str">
        <f t="shared" si="4"/>
        <v>Tournoi Crepes5</v>
      </c>
      <c r="R12" s="89">
        <f>IF(N12="","",SUMIFS('remise banque'!$M7:$M78,'remise banque'!$L7:$L78,Q12))</f>
        <v>0</v>
      </c>
      <c r="S12" s="1">
        <v>6</v>
      </c>
      <c r="T12" s="1" t="str">
        <f t="shared" si="5"/>
        <v>Tournoi Crepes6</v>
      </c>
      <c r="U12" s="89">
        <f>IF(Q12="","",SUMIFS('remise banque'!$M7:$M78,'remise banque'!$L7:$L78,T12))</f>
        <v>0</v>
      </c>
      <c r="V12" s="1">
        <v>7</v>
      </c>
      <c r="W12" s="1" t="str">
        <f t="shared" si="6"/>
        <v>Tournoi Crepes7</v>
      </c>
      <c r="X12" s="89">
        <f>IF(Q12="","",SUMIFS('remise banque'!$M7:$M78,'remise banque'!$L7:$L78,T12))</f>
        <v>0</v>
      </c>
      <c r="Y12" s="1">
        <v>8</v>
      </c>
      <c r="Z12" s="1" t="str">
        <f t="shared" si="7"/>
        <v>Tournoi Crepes8</v>
      </c>
      <c r="AA12" s="89">
        <f>IF(Q12="","",SUMIFS('remise banque'!$M7:$M78,'remise banque'!$L7:$L78,T12))</f>
        <v>0</v>
      </c>
      <c r="AB12" s="1">
        <v>9</v>
      </c>
      <c r="AC12" s="1" t="str">
        <f t="shared" si="8"/>
        <v>Tournoi Crepes9</v>
      </c>
      <c r="AD12" s="89">
        <f>IF(Q12="","",SUMIFS('remise banque'!$M7:$M78,'remise banque'!$L7:$L78,T12))</f>
        <v>0</v>
      </c>
      <c r="AE12" s="1">
        <v>10</v>
      </c>
      <c r="AF12" s="1" t="str">
        <f t="shared" si="9"/>
        <v>Tournoi Crepes10</v>
      </c>
      <c r="AG12" s="89">
        <f>IF(Q12="","",SUMIFS('remise banque'!$M7:$M78,'remise banque'!$L7:$L78,T12))</f>
        <v>0</v>
      </c>
      <c r="AH12" s="1">
        <v>11</v>
      </c>
      <c r="AI12" s="1" t="str">
        <f t="shared" si="10"/>
        <v>Tournoi Crepes11</v>
      </c>
      <c r="AJ12" s="89">
        <f>IF(Q12="","",SUMIFS('remise banque'!$M7:$M78,'remise banque'!$L7:$L78,T12))</f>
        <v>0</v>
      </c>
      <c r="AK12" s="1">
        <v>12</v>
      </c>
      <c r="AL12" s="1" t="str">
        <f t="shared" si="11"/>
        <v>Tournoi Crepes12</v>
      </c>
      <c r="AM12" s="89">
        <f>IF(Q12="","",SUMIFS('remise banque'!$M7:$M78,'remise banque'!$L7:$L78,T12))</f>
        <v>0</v>
      </c>
      <c r="AN12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3" spans="2:40" x14ac:dyDescent="0.25">
      <c r="B13" s="153" t="str">
        <f>IF(parametre!U6="","",parametre!U6)</f>
        <v>Tournoi 24 heures</v>
      </c>
      <c r="C13" s="152">
        <f>IF(B13="","",SUMIFS('remise banque'!E$6:E$46,'remise banque'!C$6:C$46,parametre!U6))</f>
        <v>0</v>
      </c>
      <c r="D13" s="154">
        <v>1</v>
      </c>
      <c r="E13" s="1" t="str">
        <f t="shared" si="0"/>
        <v>Tournoi 24 heures1</v>
      </c>
      <c r="F13" s="89">
        <f>IF(B13="","",SUMIFS('remise banque'!$M7:$M79,'remise banque'!$L7:$L79,E13))</f>
        <v>0</v>
      </c>
      <c r="G13" s="1">
        <v>2</v>
      </c>
      <c r="H13" s="1" t="str">
        <f t="shared" si="1"/>
        <v>Tournoi 24 heures2</v>
      </c>
      <c r="I13" s="89">
        <f>IF(E13="","",SUMIFS('remise banque'!$M7:$M79,'remise banque'!$L7:$L79,H13))</f>
        <v>0</v>
      </c>
      <c r="J13" s="1">
        <v>3</v>
      </c>
      <c r="K13" s="1" t="str">
        <f t="shared" si="2"/>
        <v>Tournoi 24 heures3</v>
      </c>
      <c r="L13" s="89">
        <f>IF(H13="","",SUMIFS('remise banque'!$M7:$M79,'remise banque'!$L7:$L79,K13))</f>
        <v>0</v>
      </c>
      <c r="M13" s="1">
        <v>4</v>
      </c>
      <c r="N13" s="1" t="str">
        <f t="shared" si="3"/>
        <v>Tournoi 24 heures4</v>
      </c>
      <c r="O13" s="89">
        <f>IF(K13="","",SUMIFS('remise banque'!$M7:$M79,'remise banque'!$L7:$L79,N13))</f>
        <v>0</v>
      </c>
      <c r="P13" s="1">
        <v>5</v>
      </c>
      <c r="Q13" s="1" t="str">
        <f t="shared" si="4"/>
        <v>Tournoi 24 heures5</v>
      </c>
      <c r="R13" s="89">
        <f>IF(N13="","",SUMIFS('remise banque'!$M7:$M79,'remise banque'!$L7:$L79,Q13))</f>
        <v>0</v>
      </c>
      <c r="S13" s="1">
        <v>6</v>
      </c>
      <c r="T13" s="1" t="str">
        <f t="shared" si="5"/>
        <v>Tournoi 24 heures6</v>
      </c>
      <c r="U13" s="89">
        <f>IF(Q13="","",SUMIFS('remise banque'!$M7:$M79,'remise banque'!$L7:$L79,T13))</f>
        <v>0</v>
      </c>
      <c r="V13" s="1">
        <v>7</v>
      </c>
      <c r="W13" s="1" t="str">
        <f t="shared" si="6"/>
        <v>Tournoi 24 heures7</v>
      </c>
      <c r="X13" s="89">
        <f>IF(Q13="","",SUMIFS('remise banque'!$M7:$M79,'remise banque'!$L7:$L79,T13))</f>
        <v>0</v>
      </c>
      <c r="Y13" s="1">
        <v>8</v>
      </c>
      <c r="Z13" s="1" t="str">
        <f t="shared" si="7"/>
        <v>Tournoi 24 heures8</v>
      </c>
      <c r="AA13" s="89">
        <f>IF(Q13="","",SUMIFS('remise banque'!$M7:$M79,'remise banque'!$L7:$L79,T13))</f>
        <v>0</v>
      </c>
      <c r="AB13" s="1">
        <v>9</v>
      </c>
      <c r="AC13" s="1" t="str">
        <f t="shared" si="8"/>
        <v>Tournoi 24 heures9</v>
      </c>
      <c r="AD13" s="89">
        <f>IF(Q13="","",SUMIFS('remise banque'!$M7:$M79,'remise banque'!$L7:$L79,T13))</f>
        <v>0</v>
      </c>
      <c r="AE13" s="1">
        <v>10</v>
      </c>
      <c r="AF13" s="1" t="str">
        <f t="shared" si="9"/>
        <v>Tournoi 24 heures10</v>
      </c>
      <c r="AG13" s="89">
        <f>IF(Q13="","",SUMIFS('remise banque'!$M7:$M79,'remise banque'!$L7:$L79,T13))</f>
        <v>0</v>
      </c>
      <c r="AH13" s="1">
        <v>11</v>
      </c>
      <c r="AI13" s="1" t="str">
        <f t="shared" si="10"/>
        <v>Tournoi 24 heures11</v>
      </c>
      <c r="AJ13" s="89">
        <f>IF(Q13="","",SUMIFS('remise banque'!$M7:$M79,'remise banque'!$L7:$L79,T13))</f>
        <v>0</v>
      </c>
      <c r="AK13" s="1">
        <v>12</v>
      </c>
      <c r="AL13" s="1" t="str">
        <f t="shared" si="11"/>
        <v>Tournoi 24 heures12</v>
      </c>
      <c r="AM13" s="89">
        <f>IF(Q13="","",SUMIFS('remise banque'!$M7:$M79,'remise banque'!$L7:$L79,T13))</f>
        <v>0</v>
      </c>
      <c r="AN13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4" spans="2:40" x14ac:dyDescent="0.25">
      <c r="B14" s="153" t="str">
        <f>IF(parametre!U7="","",parametre!U7)</f>
        <v>Coupe féminine</v>
      </c>
      <c r="C14" s="152">
        <f>IF(B14="","",SUMIFS('remise banque'!E$6:E$46,'remise banque'!C$6:C$46,parametre!U7))</f>
        <v>0</v>
      </c>
      <c r="D14" s="154">
        <v>1</v>
      </c>
      <c r="E14" s="1" t="str">
        <f t="shared" si="0"/>
        <v>Coupe féminine1</v>
      </c>
      <c r="F14" s="89">
        <f>IF(B14="","",SUMIFS('remise banque'!$M7:$M80,'remise banque'!$L7:$L80,E14))</f>
        <v>0</v>
      </c>
      <c r="G14" s="1">
        <v>2</v>
      </c>
      <c r="H14" s="1" t="str">
        <f t="shared" si="1"/>
        <v>Coupe féminine2</v>
      </c>
      <c r="I14" s="89">
        <f>IF(E14="","",SUMIFS('remise banque'!$M7:$M80,'remise banque'!$L7:$L80,H14))</f>
        <v>0</v>
      </c>
      <c r="J14" s="1">
        <v>3</v>
      </c>
      <c r="K14" s="1" t="str">
        <f t="shared" si="2"/>
        <v>Coupe féminine3</v>
      </c>
      <c r="L14" s="89">
        <f>IF(H14="","",SUMIFS('remise banque'!$M7:$M80,'remise banque'!$L7:$L80,K14))</f>
        <v>0</v>
      </c>
      <c r="M14" s="1">
        <v>4</v>
      </c>
      <c r="N14" s="1" t="str">
        <f t="shared" si="3"/>
        <v>Coupe féminine4</v>
      </c>
      <c r="O14" s="89">
        <f>IF(K14="","",SUMIFS('remise banque'!$M7:$M80,'remise banque'!$L7:$L80,N14))</f>
        <v>0</v>
      </c>
      <c r="P14" s="1">
        <v>5</v>
      </c>
      <c r="Q14" s="1" t="str">
        <f t="shared" si="4"/>
        <v>Coupe féminine5</v>
      </c>
      <c r="R14" s="89">
        <f>IF(N14="","",SUMIFS('remise banque'!$M7:$M80,'remise banque'!$L7:$L80,Q14))</f>
        <v>0</v>
      </c>
      <c r="S14" s="1">
        <v>6</v>
      </c>
      <c r="T14" s="1" t="str">
        <f t="shared" si="5"/>
        <v>Coupe féminine6</v>
      </c>
      <c r="U14" s="89">
        <f>IF(Q14="","",SUMIFS('remise banque'!$M7:$M80,'remise banque'!$L7:$L80,T14))</f>
        <v>0</v>
      </c>
      <c r="V14" s="1">
        <v>7</v>
      </c>
      <c r="W14" s="1" t="str">
        <f t="shared" si="6"/>
        <v>Coupe féminine7</v>
      </c>
      <c r="X14" s="89">
        <f>IF(Q14="","",SUMIFS('remise banque'!$M7:$M80,'remise banque'!$L7:$L80,T14))</f>
        <v>0</v>
      </c>
      <c r="Y14" s="1">
        <v>8</v>
      </c>
      <c r="Z14" s="1" t="str">
        <f t="shared" si="7"/>
        <v>Coupe féminine8</v>
      </c>
      <c r="AA14" s="89">
        <f>IF(Q14="","",SUMIFS('remise banque'!$M7:$M80,'remise banque'!$L7:$L80,T14))</f>
        <v>0</v>
      </c>
      <c r="AB14" s="1">
        <v>9</v>
      </c>
      <c r="AC14" s="1" t="str">
        <f t="shared" si="8"/>
        <v>Coupe féminine9</v>
      </c>
      <c r="AD14" s="89">
        <f>IF(Q14="","",SUMIFS('remise banque'!$M7:$M80,'remise banque'!$L7:$L80,T14))</f>
        <v>0</v>
      </c>
      <c r="AE14" s="1">
        <v>10</v>
      </c>
      <c r="AF14" s="1" t="str">
        <f t="shared" si="9"/>
        <v>Coupe féminine10</v>
      </c>
      <c r="AG14" s="89">
        <f>IF(Q14="","",SUMIFS('remise banque'!$M7:$M80,'remise banque'!$L7:$L80,T14))</f>
        <v>0</v>
      </c>
      <c r="AH14" s="1">
        <v>11</v>
      </c>
      <c r="AI14" s="1" t="str">
        <f t="shared" si="10"/>
        <v>Coupe féminine11</v>
      </c>
      <c r="AJ14" s="89">
        <f>IF(Q14="","",SUMIFS('remise banque'!$M7:$M80,'remise banque'!$L7:$L80,T14))</f>
        <v>0</v>
      </c>
      <c r="AK14" s="1">
        <v>12</v>
      </c>
      <c r="AL14" s="1" t="str">
        <f t="shared" si="11"/>
        <v>Coupe féminine12</v>
      </c>
      <c r="AM14" s="89">
        <f>IF(Q14="","",SUMIFS('remise banque'!$M7:$M80,'remise banque'!$L7:$L80,T14))</f>
        <v>0</v>
      </c>
      <c r="AN14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5" spans="2:40" x14ac:dyDescent="0.25">
      <c r="B15" s="153" t="str">
        <f>IF(parametre!U8="","",parametre!U8)</f>
        <v>Commande matétiel</v>
      </c>
      <c r="C15" s="152">
        <f>IF(B15="","",SUMIFS('remise banque'!E$6:E$46,'remise banque'!C$6:C$46,parametre!U8))</f>
        <v>0</v>
      </c>
      <c r="D15" s="154">
        <v>1</v>
      </c>
      <c r="E15" s="1" t="str">
        <f t="shared" si="0"/>
        <v>Commande matétiel1</v>
      </c>
      <c r="F15" s="89">
        <f>IF(B15="","",SUMIFS('remise banque'!$M7:$M81,'remise banque'!$L7:$L81,E15))</f>
        <v>0</v>
      </c>
      <c r="G15" s="1">
        <v>2</v>
      </c>
      <c r="H15" s="1" t="str">
        <f t="shared" si="1"/>
        <v>Commande matétiel2</v>
      </c>
      <c r="I15" s="89">
        <f>IF($B15="","",SUMIFS('remise banque'!$M7:$M81,'remise banque'!$L7:$L81,H15))</f>
        <v>0</v>
      </c>
      <c r="J15" s="1">
        <v>3</v>
      </c>
      <c r="K15" s="1" t="str">
        <f t="shared" si="2"/>
        <v>Commande matétiel3</v>
      </c>
      <c r="L15" s="89">
        <f>IF($B15="","",SUMIFS('remise banque'!$M7:$M81,'remise banque'!$L7:$L81,K15))</f>
        <v>0</v>
      </c>
      <c r="M15" s="1">
        <v>4</v>
      </c>
      <c r="N15" s="1" t="str">
        <f t="shared" si="3"/>
        <v>Commande matétiel4</v>
      </c>
      <c r="O15" s="89">
        <f>IF($B15="","",SUMIFS('remise banque'!$M7:$M81,'remise banque'!$L7:$L81,N15))</f>
        <v>0</v>
      </c>
      <c r="P15" s="1">
        <v>5</v>
      </c>
      <c r="Q15" s="1" t="str">
        <f t="shared" si="4"/>
        <v>Commande matétiel5</v>
      </c>
      <c r="R15" s="89">
        <f>IF($B15="","",SUMIFS('remise banque'!$M7:$M81,'remise banque'!$L7:$L81,Q15))</f>
        <v>0</v>
      </c>
      <c r="S15" s="1">
        <v>6</v>
      </c>
      <c r="T15" s="1" t="str">
        <f t="shared" si="5"/>
        <v>Commande matétiel6</v>
      </c>
      <c r="U15" s="89">
        <f>IF($B15="","",SUMIFS('remise banque'!$M7:$M81,'remise banque'!$L7:$L81,T15))</f>
        <v>0</v>
      </c>
      <c r="V15" s="1">
        <v>7</v>
      </c>
      <c r="W15" s="1" t="str">
        <f t="shared" si="6"/>
        <v>Commande matétiel7</v>
      </c>
      <c r="X15" s="89">
        <f>IF($B15="","",SUMIFS('remise banque'!$M7:$M81,'remise banque'!$L7:$L81,W15))</f>
        <v>0</v>
      </c>
      <c r="Y15" s="1">
        <v>8</v>
      </c>
      <c r="Z15" s="1" t="str">
        <f t="shared" si="7"/>
        <v>Commande matétiel8</v>
      </c>
      <c r="AA15" s="89">
        <f>IF($B15="","",SUMIFS('remise banque'!$M7:$M81,'remise banque'!$L7:$L81,Z15))</f>
        <v>0</v>
      </c>
      <c r="AB15" s="1">
        <v>9</v>
      </c>
      <c r="AC15" s="1" t="str">
        <f t="shared" si="8"/>
        <v>Commande matétiel9</v>
      </c>
      <c r="AD15" s="89">
        <f>IF($B15="","",SUMIFS('remise banque'!$M7:$M81,'remise banque'!$L7:$L81,AC15))</f>
        <v>0</v>
      </c>
      <c r="AE15" s="1">
        <v>10</v>
      </c>
      <c r="AF15" s="1" t="str">
        <f t="shared" si="9"/>
        <v>Commande matétiel10</v>
      </c>
      <c r="AG15" s="89">
        <f>IF($B15="","",SUMIFS('remise banque'!$M7:$M81,'remise banque'!$L7:$L81,AF15))</f>
        <v>0</v>
      </c>
      <c r="AH15" s="1">
        <v>11</v>
      </c>
      <c r="AI15" s="1" t="str">
        <f t="shared" si="10"/>
        <v>Commande matétiel11</v>
      </c>
      <c r="AJ15" s="89">
        <f>IF($B15="","",SUMIFS('remise banque'!$M7:$M81,'remise banque'!$L7:$L81,AI15))</f>
        <v>0</v>
      </c>
      <c r="AK15" s="1">
        <v>12</v>
      </c>
      <c r="AL15" s="1" t="str">
        <f t="shared" si="11"/>
        <v>Commande matétiel12</v>
      </c>
      <c r="AM15" s="89">
        <f>IF($B15="","",SUMIFS('remise banque'!$M7:$M81,'remise banque'!$L7:$L81,AL15))</f>
        <v>0</v>
      </c>
      <c r="AN15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6" spans="2:40" x14ac:dyDescent="0.25">
      <c r="B16" s="153" t="str">
        <f>IF(parametre!U9="","",parametre!U9)</f>
        <v>don</v>
      </c>
      <c r="C16" s="152">
        <f>IF(B16="","",SUMIFS('remise banque'!E$6:E$46,'remise banque'!C$6:C$46,parametre!U9))</f>
        <v>0</v>
      </c>
      <c r="D16" s="154">
        <v>1</v>
      </c>
      <c r="E16" s="1" t="str">
        <f t="shared" si="0"/>
        <v>don1</v>
      </c>
      <c r="F16" s="89">
        <f>IF($B16="","",SUMIFS('remise banque'!$M7:$M82,'remise banque'!$L7:$L82,E16))</f>
        <v>0</v>
      </c>
      <c r="G16" s="1">
        <v>2</v>
      </c>
      <c r="H16" s="1" t="str">
        <f t="shared" si="1"/>
        <v>don2</v>
      </c>
      <c r="I16" s="89">
        <f>IF($B16="","",SUMIFS('remise banque'!$M7:$M82,'remise banque'!$L7:$L82,H16))</f>
        <v>0</v>
      </c>
      <c r="J16" s="1">
        <v>3</v>
      </c>
      <c r="K16" s="1" t="str">
        <f t="shared" si="2"/>
        <v>don3</v>
      </c>
      <c r="L16" s="89">
        <f>IF($B16="","",SUMIFS('remise banque'!$M7:$M82,'remise banque'!$L7:$L82,K16))</f>
        <v>0</v>
      </c>
      <c r="M16" s="1">
        <v>4</v>
      </c>
      <c r="N16" s="1" t="str">
        <f t="shared" si="3"/>
        <v>don4</v>
      </c>
      <c r="O16" s="89">
        <f>IF($B16="","",SUMIFS('remise banque'!$M7:$M82,'remise banque'!$L7:$L82,N16))</f>
        <v>0</v>
      </c>
      <c r="P16" s="1">
        <v>5</v>
      </c>
      <c r="Q16" s="1" t="str">
        <f t="shared" si="4"/>
        <v>don5</v>
      </c>
      <c r="R16" s="89">
        <f>IF($B16="","",SUMIFS('remise banque'!$M7:$M82,'remise banque'!$L7:$L82,Q16))</f>
        <v>0</v>
      </c>
      <c r="S16" s="1">
        <v>6</v>
      </c>
      <c r="T16" s="1" t="str">
        <f t="shared" si="5"/>
        <v>don6</v>
      </c>
      <c r="U16" s="89">
        <f>IF($B16="","",SUMIFS('remise banque'!$M7:$M82,'remise banque'!$L7:$L82,T16))</f>
        <v>0</v>
      </c>
      <c r="V16" s="1">
        <v>7</v>
      </c>
      <c r="W16" s="1" t="str">
        <f t="shared" si="6"/>
        <v>don7</v>
      </c>
      <c r="X16" s="89">
        <f>IF($B16="","",SUMIFS('remise banque'!$M7:$M82,'remise banque'!$L7:$L82,W16))</f>
        <v>0</v>
      </c>
      <c r="Y16" s="1">
        <v>8</v>
      </c>
      <c r="Z16" s="1" t="str">
        <f t="shared" si="7"/>
        <v>don8</v>
      </c>
      <c r="AA16" s="89">
        <f>IF($B16="","",SUMIFS('remise banque'!$M7:$M82,'remise banque'!$L7:$L82,Z16))</f>
        <v>0</v>
      </c>
      <c r="AB16" s="1">
        <v>9</v>
      </c>
      <c r="AC16" s="1" t="str">
        <f t="shared" si="8"/>
        <v>don9</v>
      </c>
      <c r="AD16" s="89">
        <f>IF($B16="","",SUMIFS('remise banque'!$M7:$M82,'remise banque'!$L7:$L82,AC16))</f>
        <v>0</v>
      </c>
      <c r="AE16" s="1">
        <v>10</v>
      </c>
      <c r="AF16" s="1" t="str">
        <f t="shared" si="9"/>
        <v>don10</v>
      </c>
      <c r="AG16" s="89">
        <f>IF($B16="","",SUMIFS('remise banque'!$M7:$M82,'remise banque'!$L7:$L82,AF16))</f>
        <v>0</v>
      </c>
      <c r="AH16" s="1">
        <v>11</v>
      </c>
      <c r="AI16" s="1" t="str">
        <f t="shared" si="10"/>
        <v>don11</v>
      </c>
      <c r="AJ16" s="89">
        <f>IF($B16="","",SUMIFS('remise banque'!$M7:$M82,'remise banque'!$L7:$L82,AI16))</f>
        <v>0</v>
      </c>
      <c r="AK16" s="1">
        <v>12</v>
      </c>
      <c r="AL16" s="1" t="str">
        <f t="shared" si="11"/>
        <v>don12</v>
      </c>
      <c r="AM16" s="89">
        <f>IF($B16="","",SUMIFS('remise banque'!$M7:$M82,'remise banque'!$L7:$L82,AL16))</f>
        <v>0</v>
      </c>
      <c r="AN16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7" spans="2:44" x14ac:dyDescent="0.25">
      <c r="B17" s="153" t="str">
        <f>IF(parametre!U10="","",parametre!U10)</f>
        <v>maillots</v>
      </c>
      <c r="C17" s="152">
        <f>IF(B17="","",SUMIFS('remise banque'!E$6:E$46,'remise banque'!C$6:C$46,parametre!U10))</f>
        <v>0</v>
      </c>
      <c r="D17" s="154">
        <v>1</v>
      </c>
      <c r="E17" s="1" t="str">
        <f t="shared" si="0"/>
        <v>maillots1</v>
      </c>
      <c r="F17" s="89">
        <f>IF($B17="","",SUMIFS('remise banque'!$M7:$M83,'remise banque'!$L7:$L83,E17))</f>
        <v>0</v>
      </c>
      <c r="G17" s="1">
        <v>2</v>
      </c>
      <c r="H17" s="1" t="str">
        <f t="shared" si="1"/>
        <v>maillots2</v>
      </c>
      <c r="I17" s="89">
        <f>IF($B17="","",SUMIFS('remise banque'!$M7:$M83,'remise banque'!$L7:$L83,H17))</f>
        <v>0</v>
      </c>
      <c r="J17" s="1">
        <v>3</v>
      </c>
      <c r="K17" s="1" t="str">
        <f t="shared" si="2"/>
        <v>maillots3</v>
      </c>
      <c r="L17" s="89">
        <f>IF($B17="","",SUMIFS('remise banque'!$M7:$M83,'remise banque'!$L7:$L83,K17))</f>
        <v>0</v>
      </c>
      <c r="M17" s="1">
        <v>4</v>
      </c>
      <c r="N17" s="1" t="str">
        <f t="shared" si="3"/>
        <v>maillots4</v>
      </c>
      <c r="O17" s="89">
        <f>IF($B17="","",SUMIFS('remise banque'!$M7:$M83,'remise banque'!$L7:$L83,N17))</f>
        <v>0</v>
      </c>
      <c r="P17" s="1">
        <v>5</v>
      </c>
      <c r="Q17" s="1" t="str">
        <f t="shared" si="4"/>
        <v>maillots5</v>
      </c>
      <c r="R17" s="89">
        <f>IF($B17="","",SUMIFS('remise banque'!$M7:$M83,'remise banque'!$L7:$L83,Q17))</f>
        <v>0</v>
      </c>
      <c r="S17" s="1">
        <v>6</v>
      </c>
      <c r="T17" s="1" t="str">
        <f t="shared" si="5"/>
        <v>maillots6</v>
      </c>
      <c r="U17" s="89">
        <f>IF($B17="","",SUMIFS('remise banque'!$M7:$M83,'remise banque'!$L7:$L83,T17))</f>
        <v>0</v>
      </c>
      <c r="V17" s="1">
        <v>7</v>
      </c>
      <c r="W17" s="1" t="str">
        <f t="shared" si="6"/>
        <v>maillots7</v>
      </c>
      <c r="X17" s="89">
        <f>IF($B17="","",SUMIFS('remise banque'!$M7:$M83,'remise banque'!$L7:$L83,W17))</f>
        <v>0</v>
      </c>
      <c r="Y17" s="1">
        <v>8</v>
      </c>
      <c r="Z17" s="1" t="str">
        <f t="shared" si="7"/>
        <v>maillots8</v>
      </c>
      <c r="AA17" s="89">
        <f>IF($B17="","",SUMIFS('remise banque'!$M7:$M83,'remise banque'!$L7:$L83,Z17))</f>
        <v>0</v>
      </c>
      <c r="AB17" s="1">
        <v>9</v>
      </c>
      <c r="AC17" s="1" t="str">
        <f t="shared" si="8"/>
        <v>maillots9</v>
      </c>
      <c r="AD17" s="89">
        <f>IF($B17="","",SUMIFS('remise banque'!$M7:$M83,'remise banque'!$L7:$L83,AC17))</f>
        <v>0</v>
      </c>
      <c r="AE17" s="1">
        <v>10</v>
      </c>
      <c r="AF17" s="1" t="str">
        <f t="shared" si="9"/>
        <v>maillots10</v>
      </c>
      <c r="AG17" s="89">
        <f>IF($B17="","",SUMIFS('remise banque'!$M7:$M83,'remise banque'!$L7:$L83,AF17))</f>
        <v>0</v>
      </c>
      <c r="AH17" s="1">
        <v>11</v>
      </c>
      <c r="AI17" s="1" t="str">
        <f t="shared" si="10"/>
        <v>maillots11</v>
      </c>
      <c r="AJ17" s="89">
        <f>IF($B17="","",SUMIFS('remise banque'!$M7:$M83,'remise banque'!$L7:$L83,AI17))</f>
        <v>0</v>
      </c>
      <c r="AK17" s="1">
        <v>12</v>
      </c>
      <c r="AL17" s="1" t="str">
        <f t="shared" si="11"/>
        <v>maillots12</v>
      </c>
      <c r="AM17" s="89">
        <f>IF($B17="","",SUMIFS('remise banque'!$M7:$M83,'remise banque'!$L7:$L83,AL17))</f>
        <v>0</v>
      </c>
      <c r="AN17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8" spans="2:44" x14ac:dyDescent="0.25">
      <c r="B18" s="153" t="str">
        <f>IF(parametre!U11="","",parametre!U11)</f>
        <v>partenariat</v>
      </c>
      <c r="C18" s="152">
        <f>IF(B18="","",SUMIFS('remise banque'!E$6:E$46,'remise banque'!C$6:C$46,parametre!U11))</f>
        <v>0</v>
      </c>
      <c r="D18" s="154">
        <v>1</v>
      </c>
      <c r="E18" s="1" t="str">
        <f t="shared" si="0"/>
        <v>partenariat1</v>
      </c>
      <c r="F18" s="89">
        <f>IF($B18="","",SUMIFS('remise banque'!$M7:$M84,'remise banque'!$L7:$L84,E18))</f>
        <v>0</v>
      </c>
      <c r="G18" s="1">
        <v>2</v>
      </c>
      <c r="H18" s="1" t="str">
        <f t="shared" si="1"/>
        <v>partenariat2</v>
      </c>
      <c r="I18" s="89">
        <f>IF($B18="","",SUMIFS('remise banque'!$M7:$M84,'remise banque'!$L7:$L84,H18))</f>
        <v>0</v>
      </c>
      <c r="J18" s="1">
        <v>3</v>
      </c>
      <c r="K18" s="1" t="str">
        <f t="shared" si="2"/>
        <v>partenariat3</v>
      </c>
      <c r="L18" s="89">
        <f>IF($B18="","",SUMIFS('remise banque'!$M7:$M84,'remise banque'!$L7:$L84,K18))</f>
        <v>0</v>
      </c>
      <c r="M18" s="1">
        <v>4</v>
      </c>
      <c r="N18" s="1" t="str">
        <f t="shared" si="3"/>
        <v>partenariat4</v>
      </c>
      <c r="O18" s="89">
        <f>IF($B18="","",SUMIFS('remise banque'!$M7:$M84,'remise banque'!$L7:$L84,N18))</f>
        <v>0</v>
      </c>
      <c r="P18" s="1">
        <v>5</v>
      </c>
      <c r="Q18" s="1" t="str">
        <f t="shared" si="4"/>
        <v>partenariat5</v>
      </c>
      <c r="R18" s="89">
        <f>IF($B18="","",SUMIFS('remise banque'!$M7:$M84,'remise banque'!$L7:$L84,Q18))</f>
        <v>0</v>
      </c>
      <c r="S18" s="1">
        <v>6</v>
      </c>
      <c r="T18" s="1" t="str">
        <f t="shared" si="5"/>
        <v>partenariat6</v>
      </c>
      <c r="U18" s="89">
        <f>IF($B18="","",SUMIFS('remise banque'!$M7:$M84,'remise banque'!$L7:$L84,T18))</f>
        <v>0</v>
      </c>
      <c r="V18" s="1">
        <v>7</v>
      </c>
      <c r="W18" s="1" t="str">
        <f t="shared" si="6"/>
        <v>partenariat7</v>
      </c>
      <c r="X18" s="89">
        <f>IF($B18="","",SUMIFS('remise banque'!$M7:$M84,'remise banque'!$L7:$L84,W18))</f>
        <v>0</v>
      </c>
      <c r="Y18" s="1">
        <v>8</v>
      </c>
      <c r="Z18" s="1" t="str">
        <f t="shared" si="7"/>
        <v>partenariat8</v>
      </c>
      <c r="AA18" s="89">
        <f>IF($B18="","",SUMIFS('remise banque'!$M7:$M84,'remise banque'!$L7:$L84,Z18))</f>
        <v>0</v>
      </c>
      <c r="AB18" s="1">
        <v>9</v>
      </c>
      <c r="AC18" s="1" t="str">
        <f t="shared" si="8"/>
        <v>partenariat9</v>
      </c>
      <c r="AD18" s="89">
        <f>IF($B18="","",SUMIFS('remise banque'!$M7:$M84,'remise banque'!$L7:$L84,AC18))</f>
        <v>0</v>
      </c>
      <c r="AE18" s="1">
        <v>10</v>
      </c>
      <c r="AF18" s="1" t="str">
        <f t="shared" si="9"/>
        <v>partenariat10</v>
      </c>
      <c r="AG18" s="89">
        <f>IF($B18="","",SUMIFS('remise banque'!$M7:$M84,'remise banque'!$L7:$L84,AF18))</f>
        <v>0</v>
      </c>
      <c r="AH18" s="1">
        <v>11</v>
      </c>
      <c r="AI18" s="1" t="str">
        <f t="shared" si="10"/>
        <v>partenariat11</v>
      </c>
      <c r="AJ18" s="89">
        <f>IF($B18="","",SUMIFS('remise banque'!$M7:$M84,'remise banque'!$L7:$L84,AI18))</f>
        <v>0</v>
      </c>
      <c r="AK18" s="1">
        <v>12</v>
      </c>
      <c r="AL18" s="1" t="str">
        <f t="shared" si="11"/>
        <v>partenariat12</v>
      </c>
      <c r="AM18" s="89">
        <f>IF($B18="","",SUMIFS('remise banque'!$M7:$M84,'remise banque'!$L7:$L84,AL18))</f>
        <v>0</v>
      </c>
      <c r="AN18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19" spans="2:44" x14ac:dyDescent="0.25">
      <c r="B19" s="153" t="str">
        <f>IF(parametre!U12="","",parametre!U12)</f>
        <v>Tires Cote D'or</v>
      </c>
      <c r="C19" s="152">
        <f>IF(B19="","",SUMIFS('remise banque'!E$6:E$46,'remise banque'!C$6:C$46,parametre!U12))</f>
        <v>0</v>
      </c>
      <c r="D19" s="154">
        <v>1</v>
      </c>
      <c r="E19" s="1" t="str">
        <f t="shared" si="0"/>
        <v>Tires Cote D'or1</v>
      </c>
      <c r="F19" s="89">
        <f>IF($B19="","",SUMIFS('remise banque'!$M7:$M85,'remise banque'!$L7:$L85,E19))</f>
        <v>0</v>
      </c>
      <c r="G19" s="1">
        <v>2</v>
      </c>
      <c r="H19" s="1" t="str">
        <f t="shared" si="1"/>
        <v>Tires Cote D'or2</v>
      </c>
      <c r="I19" s="89">
        <f>IF($B19="","",SUMIFS('remise banque'!$M7:$M85,'remise banque'!$L7:$L85,H19))</f>
        <v>0</v>
      </c>
      <c r="J19" s="1">
        <v>3</v>
      </c>
      <c r="K19" s="1" t="str">
        <f t="shared" si="2"/>
        <v>Tires Cote D'or3</v>
      </c>
      <c r="L19" s="89">
        <f>IF($B19="","",SUMIFS('remise banque'!$M7:$M85,'remise banque'!$L7:$L85,K19))</f>
        <v>0</v>
      </c>
      <c r="M19" s="1">
        <v>4</v>
      </c>
      <c r="N19" s="1" t="str">
        <f t="shared" si="3"/>
        <v>Tires Cote D'or4</v>
      </c>
      <c r="O19" s="89">
        <f>IF($B19="","",SUMIFS('remise banque'!$M7:$M85,'remise banque'!$L7:$L85,N19))</f>
        <v>0</v>
      </c>
      <c r="P19" s="1">
        <v>5</v>
      </c>
      <c r="Q19" s="1" t="str">
        <f t="shared" si="4"/>
        <v>Tires Cote D'or5</v>
      </c>
      <c r="R19" s="89">
        <f>IF($B19="","",SUMIFS('remise banque'!$M7:$M85,'remise banque'!$L7:$L85,Q19))</f>
        <v>0</v>
      </c>
      <c r="S19" s="1">
        <v>6</v>
      </c>
      <c r="T19" s="1" t="str">
        <f t="shared" si="5"/>
        <v>Tires Cote D'or6</v>
      </c>
      <c r="U19" s="89">
        <f>IF($B19="","",SUMIFS('remise banque'!$M7:$M85,'remise banque'!$L7:$L85,T19))</f>
        <v>0</v>
      </c>
      <c r="V19" s="1">
        <v>7</v>
      </c>
      <c r="W19" s="1" t="str">
        <f t="shared" si="6"/>
        <v>Tires Cote D'or7</v>
      </c>
      <c r="X19" s="89">
        <f>IF($B19="","",SUMIFS('remise banque'!$M7:$M85,'remise banque'!$L7:$L85,W19))</f>
        <v>0</v>
      </c>
      <c r="Y19" s="1">
        <v>8</v>
      </c>
      <c r="Z19" s="1" t="str">
        <f t="shared" si="7"/>
        <v>Tires Cote D'or8</v>
      </c>
      <c r="AA19" s="89">
        <f>IF($B19="","",SUMIFS('remise banque'!$M7:$M85,'remise banque'!$L7:$L85,Z19))</f>
        <v>0</v>
      </c>
      <c r="AB19" s="1">
        <v>9</v>
      </c>
      <c r="AC19" s="1" t="str">
        <f t="shared" si="8"/>
        <v>Tires Cote D'or9</v>
      </c>
      <c r="AD19" s="89">
        <f>IF($B19="","",SUMIFS('remise banque'!$M7:$M85,'remise banque'!$L7:$L85,AC19))</f>
        <v>0</v>
      </c>
      <c r="AE19" s="1">
        <v>10</v>
      </c>
      <c r="AF19" s="1" t="str">
        <f t="shared" si="9"/>
        <v>Tires Cote D'or10</v>
      </c>
      <c r="AG19" s="89">
        <f>IF($B19="","",SUMIFS('remise banque'!$M7:$M85,'remise banque'!$L7:$L85,AF19))</f>
        <v>0</v>
      </c>
      <c r="AH19" s="1">
        <v>11</v>
      </c>
      <c r="AI19" s="1" t="str">
        <f t="shared" si="10"/>
        <v>Tires Cote D'or11</v>
      </c>
      <c r="AJ19" s="89">
        <f>IF($B19="","",SUMIFS('remise banque'!$M7:$M85,'remise banque'!$L7:$L85,AI19))</f>
        <v>0</v>
      </c>
      <c r="AK19" s="1">
        <v>12</v>
      </c>
      <c r="AL19" s="1" t="str">
        <f t="shared" si="11"/>
        <v>Tires Cote D'or12</v>
      </c>
      <c r="AM19" s="89">
        <f>IF($B19="","",SUMIFS('remise banque'!$M7:$M85,'remise banque'!$L7:$L85,AL19))</f>
        <v>0</v>
      </c>
      <c r="AN19" s="89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>0</v>
      </c>
    </row>
    <row r="20" spans="2:44" x14ac:dyDescent="0.25">
      <c r="B20" s="103"/>
      <c r="C20" s="152" t="str">
        <f>IF(B20="","",SUMIFS('remise banque'!E$6:E$46,'remise banque'!C$6:C$46,parametre!U13))</f>
        <v/>
      </c>
      <c r="D20" s="154">
        <v>1</v>
      </c>
      <c r="E20" s="1" t="str">
        <f t="shared" si="0"/>
        <v/>
      </c>
      <c r="F20" s="89" t="str">
        <f>IF($B20="","",SUMIFS('remise banque'!$M7:$M86,'remise banque'!$L7:$L86,E20))</f>
        <v/>
      </c>
      <c r="G20" s="1">
        <v>2</v>
      </c>
      <c r="H20" s="1" t="str">
        <f t="shared" si="1"/>
        <v>2</v>
      </c>
      <c r="I20" s="89" t="str">
        <f>IF($B20="","",SUMIFS('remise banque'!$M7:$M86,'remise banque'!$L7:$L86,H20))</f>
        <v/>
      </c>
      <c r="J20" s="1">
        <v>3</v>
      </c>
      <c r="K20" s="1" t="str">
        <f t="shared" si="2"/>
        <v>3</v>
      </c>
      <c r="L20" s="89" t="str">
        <f>IF($B20="","",SUMIFS('remise banque'!$M7:$M86,'remise banque'!$L7:$L86,K20))</f>
        <v/>
      </c>
      <c r="M20" s="1">
        <v>4</v>
      </c>
      <c r="N20" s="1" t="str">
        <f t="shared" si="3"/>
        <v>4</v>
      </c>
      <c r="O20" s="89" t="str">
        <f>IF($B20="","",SUMIFS('remise banque'!$M7:$M86,'remise banque'!$L7:$L86,N20))</f>
        <v/>
      </c>
      <c r="P20" s="1">
        <v>5</v>
      </c>
      <c r="Q20" s="1" t="str">
        <f t="shared" si="4"/>
        <v>5</v>
      </c>
      <c r="R20" s="89" t="str">
        <f>IF($B20="","",SUMIFS('remise banque'!$M7:$M86,'remise banque'!$L7:$L86,Q20))</f>
        <v/>
      </c>
      <c r="S20" s="1">
        <v>6</v>
      </c>
      <c r="T20" s="1" t="str">
        <f t="shared" si="5"/>
        <v>6</v>
      </c>
      <c r="U20" s="89" t="str">
        <f>IF($B20="","",SUMIFS('remise banque'!$M7:$M86,'remise banque'!$L7:$L86,T20))</f>
        <v/>
      </c>
      <c r="V20" s="1">
        <v>7</v>
      </c>
      <c r="W20" s="1" t="str">
        <f t="shared" si="6"/>
        <v>7</v>
      </c>
      <c r="X20" s="89" t="str">
        <f>IF($B20="","",SUMIFS('remise banque'!$M7:$M86,'remise banque'!$L7:$L86,W20))</f>
        <v/>
      </c>
      <c r="Y20" s="1">
        <v>8</v>
      </c>
      <c r="Z20" s="1" t="str">
        <f t="shared" si="7"/>
        <v>8</v>
      </c>
      <c r="AA20" s="89" t="str">
        <f>IF($B20="","",SUMIFS('remise banque'!$M7:$M86,'remise banque'!$L7:$L86,Z20))</f>
        <v/>
      </c>
      <c r="AB20" s="1">
        <v>9</v>
      </c>
      <c r="AC20" s="1" t="str">
        <f t="shared" si="8"/>
        <v>9</v>
      </c>
      <c r="AD20" s="89" t="str">
        <f>IF($B20="","",SUMIFS('remise banque'!$M7:$M86,'remise banque'!$L7:$L86,AC20))</f>
        <v/>
      </c>
      <c r="AE20" s="1">
        <v>10</v>
      </c>
      <c r="AF20" s="1" t="str">
        <f t="shared" si="9"/>
        <v>10</v>
      </c>
      <c r="AG20" s="89" t="str">
        <f>IF($B20="","",SUMIFS('remise banque'!$M7:$M86,'remise banque'!$L7:$L86,AF20))</f>
        <v/>
      </c>
      <c r="AH20" s="1">
        <v>11</v>
      </c>
      <c r="AI20" s="1" t="str">
        <f t="shared" si="10"/>
        <v>11</v>
      </c>
      <c r="AJ20" s="89" t="str">
        <f>IF($B20="","",SUMIFS('remise banque'!$M7:$M86,'remise banque'!$L7:$L86,AI20))</f>
        <v/>
      </c>
      <c r="AK20" s="1">
        <v>12</v>
      </c>
      <c r="AL20" s="1" t="str">
        <f t="shared" si="11"/>
        <v>12</v>
      </c>
      <c r="AM20" s="89" t="str">
        <f>IF($B20="","",SUMIFS('remise banque'!$M7:$M86,'remise banque'!$L7:$L86,AL20))</f>
        <v/>
      </c>
      <c r="AN20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1" spans="2:44" x14ac:dyDescent="0.25">
      <c r="B21" s="103"/>
      <c r="C21" s="152" t="str">
        <f>IF(B21="","",SUMIFS('remise banque'!E$6:E$46,'remise banque'!C$6:C$46,parametre!U14))</f>
        <v/>
      </c>
      <c r="D21" s="154">
        <v>1</v>
      </c>
      <c r="E21" s="1" t="str">
        <f t="shared" si="0"/>
        <v/>
      </c>
      <c r="F21" s="89" t="str">
        <f>IF($B21="","",SUMIFS('remise banque'!$M7:$M87,'remise banque'!$L7:$L87,E21))</f>
        <v/>
      </c>
      <c r="G21" s="1">
        <v>2</v>
      </c>
      <c r="H21" s="1" t="str">
        <f t="shared" si="1"/>
        <v>2</v>
      </c>
      <c r="I21" s="89" t="str">
        <f>IF($B21="","",SUMIFS('remise banque'!$M7:$M87,'remise banque'!$L7:$L87,H21))</f>
        <v/>
      </c>
      <c r="J21" s="1">
        <v>3</v>
      </c>
      <c r="K21" s="1" t="str">
        <f t="shared" si="2"/>
        <v>3</v>
      </c>
      <c r="L21" s="89" t="str">
        <f>IF($B21="","",SUMIFS('remise banque'!$M7:$M87,'remise banque'!$L7:$L87,K21))</f>
        <v/>
      </c>
      <c r="M21" s="1">
        <v>4</v>
      </c>
      <c r="N21" s="1" t="str">
        <f t="shared" si="3"/>
        <v>4</v>
      </c>
      <c r="O21" s="89" t="str">
        <f>IF($B21="","",SUMIFS('remise banque'!$M7:$M87,'remise banque'!$L7:$L87,N21))</f>
        <v/>
      </c>
      <c r="P21" s="1">
        <v>5</v>
      </c>
      <c r="Q21" s="1" t="str">
        <f t="shared" si="4"/>
        <v>5</v>
      </c>
      <c r="R21" s="89" t="str">
        <f>IF($B21="","",SUMIFS('remise banque'!$M7:$M87,'remise banque'!$L7:$L87,Q21))</f>
        <v/>
      </c>
      <c r="S21" s="1">
        <v>6</v>
      </c>
      <c r="T21" s="1" t="str">
        <f t="shared" si="5"/>
        <v>6</v>
      </c>
      <c r="U21" s="89" t="str">
        <f>IF($B21="","",SUMIFS('remise banque'!$M7:$M87,'remise banque'!$L7:$L87,T21))</f>
        <v/>
      </c>
      <c r="V21" s="1">
        <v>7</v>
      </c>
      <c r="W21" s="1" t="str">
        <f t="shared" si="6"/>
        <v>7</v>
      </c>
      <c r="X21" s="89" t="str">
        <f>IF($B21="","",SUMIFS('remise banque'!$M7:$M87,'remise banque'!$L7:$L87,W21))</f>
        <v/>
      </c>
      <c r="Y21" s="1">
        <v>8</v>
      </c>
      <c r="Z21" s="1" t="str">
        <f t="shared" si="7"/>
        <v>8</v>
      </c>
      <c r="AA21" s="89" t="str">
        <f>IF($B21="","",SUMIFS('remise banque'!$M7:$M87,'remise banque'!$L7:$L87,Z21))</f>
        <v/>
      </c>
      <c r="AB21" s="1">
        <v>9</v>
      </c>
      <c r="AC21" s="1" t="str">
        <f t="shared" si="8"/>
        <v>9</v>
      </c>
      <c r="AD21" s="89" t="str">
        <f>IF($B21="","",SUMIFS('remise banque'!$M7:$M87,'remise banque'!$L7:$L87,AC21))</f>
        <v/>
      </c>
      <c r="AE21" s="1">
        <v>10</v>
      </c>
      <c r="AF21" s="1" t="str">
        <f t="shared" si="9"/>
        <v>10</v>
      </c>
      <c r="AG21" s="89" t="str">
        <f>IF($B21="","",SUMIFS('remise banque'!$M7:$M87,'remise banque'!$L7:$L87,AF21))</f>
        <v/>
      </c>
      <c r="AH21" s="1">
        <v>11</v>
      </c>
      <c r="AI21" s="1" t="str">
        <f t="shared" si="10"/>
        <v>11</v>
      </c>
      <c r="AJ21" s="89" t="str">
        <f>IF($B21="","",SUMIFS('remise banque'!$M7:$M87,'remise banque'!$L7:$L87,AI21))</f>
        <v/>
      </c>
      <c r="AK21" s="1">
        <v>12</v>
      </c>
      <c r="AL21" s="1" t="str">
        <f t="shared" si="11"/>
        <v>12</v>
      </c>
      <c r="AM21" s="89" t="str">
        <f>IF($B21="","",SUMIFS('remise banque'!$M7:$M87,'remise banque'!$L7:$L87,AL21))</f>
        <v/>
      </c>
      <c r="AN21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2" spans="2:44" x14ac:dyDescent="0.25">
      <c r="B22" s="103"/>
      <c r="C22" s="152" t="str">
        <f>IF(B22="","",SUMIFS('remise banque'!E$6:E$46,'remise banque'!C$6:C$46,parametre!U15))</f>
        <v/>
      </c>
      <c r="D22" s="154">
        <v>1</v>
      </c>
      <c r="E22" s="1" t="str">
        <f t="shared" si="0"/>
        <v/>
      </c>
      <c r="F22" s="89" t="str">
        <f>IF($B22="","",SUMIFS('remise banque'!$M7:$M88,'remise banque'!$L7:$L88,E22))</f>
        <v/>
      </c>
      <c r="G22" s="1">
        <v>2</v>
      </c>
      <c r="H22" s="1" t="str">
        <f t="shared" si="1"/>
        <v>2</v>
      </c>
      <c r="I22" s="89" t="str">
        <f>IF($B22="","",SUMIFS('remise banque'!$M7:$M88,'remise banque'!$L7:$L88,H22))</f>
        <v/>
      </c>
      <c r="J22" s="1">
        <v>3</v>
      </c>
      <c r="K22" s="1" t="str">
        <f t="shared" si="2"/>
        <v>3</v>
      </c>
      <c r="L22" s="89" t="str">
        <f>IF($B22="","",SUMIFS('remise banque'!$M7:$M88,'remise banque'!$L7:$L88,K22))</f>
        <v/>
      </c>
      <c r="M22" s="1">
        <v>4</v>
      </c>
      <c r="N22" s="1" t="str">
        <f t="shared" si="3"/>
        <v>4</v>
      </c>
      <c r="O22" s="89" t="str">
        <f>IF($B22="","",SUMIFS('remise banque'!$M7:$M88,'remise banque'!$L7:$L88,N22))</f>
        <v/>
      </c>
      <c r="P22" s="1">
        <v>5</v>
      </c>
      <c r="Q22" s="1" t="str">
        <f t="shared" si="4"/>
        <v>5</v>
      </c>
      <c r="R22" s="89" t="str">
        <f>IF($B22="","",SUMIFS('remise banque'!$M7:$M88,'remise banque'!$L7:$L88,Q22))</f>
        <v/>
      </c>
      <c r="S22" s="1">
        <v>6</v>
      </c>
      <c r="T22" s="1" t="str">
        <f t="shared" si="5"/>
        <v>6</v>
      </c>
      <c r="U22" s="89" t="str">
        <f>IF($B22="","",SUMIFS('remise banque'!$M7:$M88,'remise banque'!$L7:$L88,T22))</f>
        <v/>
      </c>
      <c r="V22" s="1">
        <v>7</v>
      </c>
      <c r="W22" s="1" t="str">
        <f t="shared" si="6"/>
        <v>7</v>
      </c>
      <c r="X22" s="89" t="str">
        <f>IF($B22="","",SUMIFS('remise banque'!$M7:$M88,'remise banque'!$L7:$L88,W22))</f>
        <v/>
      </c>
      <c r="Y22" s="1">
        <v>8</v>
      </c>
      <c r="Z22" s="1" t="str">
        <f t="shared" si="7"/>
        <v>8</v>
      </c>
      <c r="AA22" s="89" t="str">
        <f>IF($B22="","",SUMIFS('remise banque'!$M7:$M88,'remise banque'!$L7:$L88,Z22))</f>
        <v/>
      </c>
      <c r="AB22" s="1">
        <v>9</v>
      </c>
      <c r="AC22" s="1" t="str">
        <f t="shared" si="8"/>
        <v>9</v>
      </c>
      <c r="AD22" s="89" t="str">
        <f>IF($B22="","",SUMIFS('remise banque'!$M7:$M88,'remise banque'!$L7:$L88,AC22))</f>
        <v/>
      </c>
      <c r="AE22" s="1">
        <v>10</v>
      </c>
      <c r="AF22" s="1" t="str">
        <f t="shared" si="9"/>
        <v>10</v>
      </c>
      <c r="AG22" s="89" t="str">
        <f>IF($B22="","",SUMIFS('remise banque'!$M7:$M88,'remise banque'!$L7:$L88,AF22))</f>
        <v/>
      </c>
      <c r="AH22" s="1">
        <v>11</v>
      </c>
      <c r="AI22" s="1" t="str">
        <f t="shared" si="10"/>
        <v>11</v>
      </c>
      <c r="AJ22" s="89" t="str">
        <f>IF($B22="","",SUMIFS('remise banque'!$M7:$M88,'remise banque'!$L7:$L88,AI22))</f>
        <v/>
      </c>
      <c r="AK22" s="1">
        <v>12</v>
      </c>
      <c r="AL22" s="1" t="str">
        <f t="shared" si="11"/>
        <v>12</v>
      </c>
      <c r="AM22" s="89" t="str">
        <f>IF($B22="","",SUMIFS('remise banque'!$M7:$M88,'remise banque'!$L7:$L88,AL22))</f>
        <v/>
      </c>
      <c r="AN22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3" spans="2:44" x14ac:dyDescent="0.25">
      <c r="B23" s="103"/>
      <c r="C23" s="152" t="str">
        <f>IF(B23="","",SUMIFS('remise banque'!E$6:E$46,'remise banque'!C$6:C$46,parametre!U16))</f>
        <v/>
      </c>
      <c r="D23" s="154">
        <v>1</v>
      </c>
      <c r="E23" s="1" t="str">
        <f t="shared" si="0"/>
        <v/>
      </c>
      <c r="F23" s="89" t="str">
        <f>IF($B23="","",SUMIFS('remise banque'!$M7:$M89,'remise banque'!$L7:$L89,E23))</f>
        <v/>
      </c>
      <c r="G23" s="1">
        <v>2</v>
      </c>
      <c r="H23" s="1" t="str">
        <f t="shared" si="1"/>
        <v>2</v>
      </c>
      <c r="I23" s="89" t="str">
        <f>IF($B23="","",SUMIFS('remise banque'!$M7:$M89,'remise banque'!$L7:$L89,H23))</f>
        <v/>
      </c>
      <c r="J23" s="1">
        <v>3</v>
      </c>
      <c r="K23" s="1" t="str">
        <f t="shared" si="2"/>
        <v>3</v>
      </c>
      <c r="L23" s="89" t="str">
        <f>IF($B23="","",SUMIFS('remise banque'!$M7:$M89,'remise banque'!$L7:$L89,K23))</f>
        <v/>
      </c>
      <c r="M23" s="1">
        <v>4</v>
      </c>
      <c r="N23" s="1" t="str">
        <f t="shared" si="3"/>
        <v>4</v>
      </c>
      <c r="O23" s="89" t="str">
        <f>IF($B23="","",SUMIFS('remise banque'!$M7:$M89,'remise banque'!$L7:$L89,N23))</f>
        <v/>
      </c>
      <c r="P23" s="1">
        <v>5</v>
      </c>
      <c r="Q23" s="1" t="str">
        <f t="shared" si="4"/>
        <v>5</v>
      </c>
      <c r="R23" s="89" t="str">
        <f>IF($B23="","",SUMIFS('remise banque'!$M7:$M89,'remise banque'!$L7:$L89,Q23))</f>
        <v/>
      </c>
      <c r="S23" s="1">
        <v>6</v>
      </c>
      <c r="T23" s="1" t="str">
        <f t="shared" si="5"/>
        <v>6</v>
      </c>
      <c r="U23" s="89" t="str">
        <f>IF($B23="","",SUMIFS('remise banque'!$M7:$M89,'remise banque'!$L7:$L89,T23))</f>
        <v/>
      </c>
      <c r="V23" s="1">
        <v>7</v>
      </c>
      <c r="W23" s="1" t="str">
        <f t="shared" si="6"/>
        <v>7</v>
      </c>
      <c r="X23" s="89" t="str">
        <f>IF($B23="","",SUMIFS('remise banque'!$M7:$M89,'remise banque'!$L7:$L89,W23))</f>
        <v/>
      </c>
      <c r="Y23" s="1">
        <v>8</v>
      </c>
      <c r="Z23" s="1" t="str">
        <f t="shared" si="7"/>
        <v>8</v>
      </c>
      <c r="AA23" s="89" t="str">
        <f>IF($B23="","",SUMIFS('remise banque'!$M7:$M89,'remise banque'!$L7:$L89,Z23))</f>
        <v/>
      </c>
      <c r="AB23" s="1">
        <v>9</v>
      </c>
      <c r="AC23" s="1" t="str">
        <f t="shared" si="8"/>
        <v>9</v>
      </c>
      <c r="AD23" s="89" t="str">
        <f>IF($B23="","",SUMIFS('remise banque'!$M7:$M89,'remise banque'!$L7:$L89,AC23))</f>
        <v/>
      </c>
      <c r="AE23" s="1">
        <v>10</v>
      </c>
      <c r="AF23" s="1" t="str">
        <f t="shared" si="9"/>
        <v>10</v>
      </c>
      <c r="AG23" s="89" t="str">
        <f>IF($B23="","",SUMIFS('remise banque'!$M7:$M89,'remise banque'!$L7:$L89,AF23))</f>
        <v/>
      </c>
      <c r="AH23" s="1">
        <v>11</v>
      </c>
      <c r="AI23" s="1" t="str">
        <f t="shared" si="10"/>
        <v>11</v>
      </c>
      <c r="AJ23" s="89" t="str">
        <f>IF($B23="","",SUMIFS('remise banque'!$M7:$M89,'remise banque'!$L7:$L89,AI23))</f>
        <v/>
      </c>
      <c r="AK23" s="1">
        <v>12</v>
      </c>
      <c r="AL23" s="1" t="str">
        <f t="shared" si="11"/>
        <v>12</v>
      </c>
      <c r="AM23" s="89" t="str">
        <f>IF($B23="","",SUMIFS('remise banque'!$M7:$M89,'remise banque'!$L7:$L89,AL23))</f>
        <v/>
      </c>
      <c r="AN23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4" spans="2:44" x14ac:dyDescent="0.25">
      <c r="B24" s="103"/>
      <c r="C24" s="152" t="str">
        <f>IF(B24="","",SUMIFS('remise banque'!E$6:E$46,'remise banque'!C$6:C$46,parametre!U17))</f>
        <v/>
      </c>
      <c r="D24" s="154">
        <v>1</v>
      </c>
      <c r="E24" s="1" t="str">
        <f t="shared" si="0"/>
        <v/>
      </c>
      <c r="F24" s="89" t="str">
        <f>IF($B24="","",SUMIFS('remise banque'!$M7:$M90,'remise banque'!$L7:$L90,E24))</f>
        <v/>
      </c>
      <c r="G24" s="1">
        <v>2</v>
      </c>
      <c r="H24" s="1" t="str">
        <f t="shared" si="1"/>
        <v>2</v>
      </c>
      <c r="I24" s="89" t="str">
        <f>IF($B24="","",SUMIFS('remise banque'!$M7:$M90,'remise banque'!$L7:$L90,H24))</f>
        <v/>
      </c>
      <c r="J24" s="1">
        <v>3</v>
      </c>
      <c r="K24" s="1" t="str">
        <f t="shared" si="2"/>
        <v>3</v>
      </c>
      <c r="L24" s="89" t="str">
        <f>IF($B24="","",SUMIFS('remise banque'!$M7:$M90,'remise banque'!$L7:$L90,K24))</f>
        <v/>
      </c>
      <c r="M24" s="1">
        <v>4</v>
      </c>
      <c r="N24" s="1" t="str">
        <f t="shared" si="3"/>
        <v>4</v>
      </c>
      <c r="O24" s="89" t="str">
        <f>IF($B24="","",SUMIFS('remise banque'!$M7:$M90,'remise banque'!$L7:$L90,N24))</f>
        <v/>
      </c>
      <c r="P24" s="1">
        <v>5</v>
      </c>
      <c r="Q24" s="1" t="str">
        <f t="shared" si="4"/>
        <v>5</v>
      </c>
      <c r="R24" s="89" t="str">
        <f>IF($B24="","",SUMIFS('remise banque'!$M7:$M90,'remise banque'!$L7:$L90,Q24))</f>
        <v/>
      </c>
      <c r="S24" s="1">
        <v>6</v>
      </c>
      <c r="T24" s="1" t="str">
        <f t="shared" si="5"/>
        <v>6</v>
      </c>
      <c r="U24" s="89" t="str">
        <f>IF($B24="","",SUMIFS('remise banque'!$M7:$M90,'remise banque'!$L7:$L90,T24))</f>
        <v/>
      </c>
      <c r="V24" s="1">
        <v>7</v>
      </c>
      <c r="W24" s="1" t="str">
        <f t="shared" si="6"/>
        <v>7</v>
      </c>
      <c r="X24" s="89" t="str">
        <f>IF($B24="","",SUMIFS('remise banque'!$M7:$M90,'remise banque'!$L7:$L90,W24))</f>
        <v/>
      </c>
      <c r="Y24" s="1">
        <v>8</v>
      </c>
      <c r="Z24" s="1" t="str">
        <f t="shared" si="7"/>
        <v>8</v>
      </c>
      <c r="AA24" s="89" t="str">
        <f>IF($B24="","",SUMIFS('remise banque'!$M7:$M90,'remise banque'!$L7:$L90,Z24))</f>
        <v/>
      </c>
      <c r="AB24" s="1">
        <v>9</v>
      </c>
      <c r="AC24" s="1" t="str">
        <f t="shared" si="8"/>
        <v>9</v>
      </c>
      <c r="AD24" s="89" t="str">
        <f>IF($B24="","",SUMIFS('remise banque'!$M7:$M90,'remise banque'!$L7:$L90,AC24))</f>
        <v/>
      </c>
      <c r="AE24" s="1">
        <v>10</v>
      </c>
      <c r="AF24" s="1" t="str">
        <f t="shared" si="9"/>
        <v>10</v>
      </c>
      <c r="AG24" s="89" t="str">
        <f>IF($B24="","",SUMIFS('remise banque'!$M7:$M90,'remise banque'!$L7:$L90,AF24))</f>
        <v/>
      </c>
      <c r="AH24" s="1">
        <v>11</v>
      </c>
      <c r="AI24" s="1" t="str">
        <f t="shared" si="10"/>
        <v>11</v>
      </c>
      <c r="AJ24" s="89" t="str">
        <f>IF($B24="","",SUMIFS('remise banque'!$M7:$M90,'remise banque'!$L7:$L90,AI24))</f>
        <v/>
      </c>
      <c r="AK24" s="1">
        <v>12</v>
      </c>
      <c r="AL24" s="1" t="str">
        <f t="shared" si="11"/>
        <v>12</v>
      </c>
      <c r="AM24" s="89" t="str">
        <f>IF($B24="","",SUMIFS('remise banque'!$M7:$M90,'remise banque'!$L7:$L90,AL24))</f>
        <v/>
      </c>
      <c r="AN24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5" spans="2:44" x14ac:dyDescent="0.25">
      <c r="B25" s="103"/>
      <c r="C25" s="152" t="str">
        <f>IF(B25="","",SUMIFS('remise banque'!E$6:E$46,'remise banque'!C$6:C$46,parametre!U18))</f>
        <v/>
      </c>
      <c r="D25" s="154">
        <v>1</v>
      </c>
      <c r="E25" s="1" t="str">
        <f t="shared" si="0"/>
        <v/>
      </c>
      <c r="F25" s="89" t="str">
        <f>IF($B25="","",SUMIFS('remise banque'!$M7:$M91,'remise banque'!$L7:$L91,E25))</f>
        <v/>
      </c>
      <c r="G25" s="1">
        <v>2</v>
      </c>
      <c r="H25" s="1" t="str">
        <f t="shared" si="1"/>
        <v>2</v>
      </c>
      <c r="I25" s="89" t="str">
        <f>IF($B25="","",SUMIFS('remise banque'!$M7:$M91,'remise banque'!$L7:$L91,H25))</f>
        <v/>
      </c>
      <c r="J25" s="1">
        <v>3</v>
      </c>
      <c r="K25" s="1" t="str">
        <f t="shared" si="2"/>
        <v>3</v>
      </c>
      <c r="L25" s="89" t="str">
        <f>IF($B25="","",SUMIFS('remise banque'!$M7:$M91,'remise banque'!$L7:$L91,K25))</f>
        <v/>
      </c>
      <c r="M25" s="1">
        <v>4</v>
      </c>
      <c r="N25" s="1" t="str">
        <f t="shared" si="3"/>
        <v>4</v>
      </c>
      <c r="O25" s="89" t="str">
        <f>IF($B25="","",SUMIFS('remise banque'!$M7:$M91,'remise banque'!$L7:$L91,N25))</f>
        <v/>
      </c>
      <c r="P25" s="1">
        <v>5</v>
      </c>
      <c r="Q25" s="1" t="str">
        <f t="shared" si="4"/>
        <v>5</v>
      </c>
      <c r="R25" s="89" t="str">
        <f>IF($B25="","",SUMIFS('remise banque'!$M7:$M91,'remise banque'!$L7:$L91,Q25))</f>
        <v/>
      </c>
      <c r="S25" s="1">
        <v>6</v>
      </c>
      <c r="T25" s="1" t="str">
        <f t="shared" si="5"/>
        <v>6</v>
      </c>
      <c r="U25" s="89" t="str">
        <f>IF($B25="","",SUMIFS('remise banque'!$M7:$M91,'remise banque'!$L7:$L91,T25))</f>
        <v/>
      </c>
      <c r="V25" s="1">
        <v>7</v>
      </c>
      <c r="W25" s="1" t="str">
        <f t="shared" si="6"/>
        <v>7</v>
      </c>
      <c r="X25" s="89" t="str">
        <f>IF($B25="","",SUMIFS('remise banque'!$M7:$M91,'remise banque'!$L7:$L91,W25))</f>
        <v/>
      </c>
      <c r="Y25" s="1">
        <v>8</v>
      </c>
      <c r="Z25" s="1" t="str">
        <f t="shared" si="7"/>
        <v>8</v>
      </c>
      <c r="AA25" s="89" t="str">
        <f>IF($B25="","",SUMIFS('remise banque'!$M7:$M91,'remise banque'!$L7:$L91,Z25))</f>
        <v/>
      </c>
      <c r="AB25" s="1">
        <v>9</v>
      </c>
      <c r="AC25" s="1" t="str">
        <f t="shared" si="8"/>
        <v>9</v>
      </c>
      <c r="AD25" s="89" t="str">
        <f>IF($B25="","",SUMIFS('remise banque'!$M7:$M91,'remise banque'!$L7:$L91,AC25))</f>
        <v/>
      </c>
      <c r="AE25" s="1">
        <v>10</v>
      </c>
      <c r="AF25" s="1" t="str">
        <f t="shared" si="9"/>
        <v>10</v>
      </c>
      <c r="AG25" s="89" t="str">
        <f>IF($B25="","",SUMIFS('remise banque'!$M7:$M91,'remise banque'!$L7:$L91,AF25))</f>
        <v/>
      </c>
      <c r="AH25" s="1">
        <v>11</v>
      </c>
      <c r="AI25" s="1" t="str">
        <f t="shared" si="10"/>
        <v>11</v>
      </c>
      <c r="AJ25" s="89" t="str">
        <f>IF($B25="","",SUMIFS('remise banque'!$M7:$M91,'remise banque'!$L7:$L91,AI25))</f>
        <v/>
      </c>
      <c r="AK25" s="1">
        <v>12</v>
      </c>
      <c r="AL25" s="1" t="str">
        <f t="shared" si="11"/>
        <v>12</v>
      </c>
      <c r="AM25" s="89" t="str">
        <f>IF($B25="","",SUMIFS('remise banque'!$M7:$M91,'remise banque'!$L7:$L91,AL25))</f>
        <v/>
      </c>
      <c r="AN25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6" spans="2:44" x14ac:dyDescent="0.25">
      <c r="B26" s="103"/>
      <c r="C26" s="152" t="str">
        <f>IF(B26="","",SUMIFS('remise banque'!E$6:E$46,'remise banque'!C$6:C$46,parametre!U19))</f>
        <v/>
      </c>
      <c r="D26" s="154">
        <v>1</v>
      </c>
      <c r="E26" s="1" t="str">
        <f t="shared" si="0"/>
        <v/>
      </c>
      <c r="F26" s="89" t="str">
        <f>IF($B26="","",SUMIFS('remise banque'!$M7:$M92,'remise banque'!$L7:$L92,E26))</f>
        <v/>
      </c>
      <c r="G26" s="1">
        <v>2</v>
      </c>
      <c r="H26" s="1" t="str">
        <f t="shared" si="1"/>
        <v>2</v>
      </c>
      <c r="I26" s="89" t="str">
        <f>IF($B26="","",SUMIFS('remise banque'!$M7:$M92,'remise banque'!$L7:$L92,H26))</f>
        <v/>
      </c>
      <c r="J26" s="1">
        <v>3</v>
      </c>
      <c r="K26" s="1" t="str">
        <f t="shared" si="2"/>
        <v>3</v>
      </c>
      <c r="L26" s="89" t="str">
        <f>IF($B26="","",SUMIFS('remise banque'!$M7:$M92,'remise banque'!$L7:$L92,K26))</f>
        <v/>
      </c>
      <c r="M26" s="1">
        <v>4</v>
      </c>
      <c r="N26" s="1" t="str">
        <f t="shared" si="3"/>
        <v>4</v>
      </c>
      <c r="O26" s="89" t="str">
        <f>IF($B26="","",SUMIFS('remise banque'!$M7:$M92,'remise banque'!$L7:$L92,N26))</f>
        <v/>
      </c>
      <c r="P26" s="1">
        <v>5</v>
      </c>
      <c r="Q26" s="1" t="str">
        <f t="shared" si="4"/>
        <v>5</v>
      </c>
      <c r="R26" s="89" t="str">
        <f>IF($B26="","",SUMIFS('remise banque'!$M7:$M92,'remise banque'!$L7:$L92,Q26))</f>
        <v/>
      </c>
      <c r="S26" s="1">
        <v>6</v>
      </c>
      <c r="T26" s="1" t="str">
        <f t="shared" si="5"/>
        <v>6</v>
      </c>
      <c r="U26" s="89" t="str">
        <f>IF($B26="","",SUMIFS('remise banque'!$M7:$M92,'remise banque'!$L7:$L92,T26))</f>
        <v/>
      </c>
      <c r="V26" s="1">
        <v>7</v>
      </c>
      <c r="W26" s="1" t="str">
        <f t="shared" si="6"/>
        <v>7</v>
      </c>
      <c r="X26" s="89" t="str">
        <f>IF($B26="","",SUMIFS('remise banque'!$M7:$M92,'remise banque'!$L7:$L92,W26))</f>
        <v/>
      </c>
      <c r="Y26" s="1">
        <v>8</v>
      </c>
      <c r="Z26" s="1" t="str">
        <f t="shared" si="7"/>
        <v>8</v>
      </c>
      <c r="AA26" s="89" t="str">
        <f>IF($B26="","",SUMIFS('remise banque'!$M7:$M92,'remise banque'!$L7:$L92,Z26))</f>
        <v/>
      </c>
      <c r="AB26" s="1">
        <v>9</v>
      </c>
      <c r="AC26" s="1" t="str">
        <f t="shared" si="8"/>
        <v>9</v>
      </c>
      <c r="AD26" s="89" t="str">
        <f>IF($B26="","",SUMIFS('remise banque'!$M7:$M92,'remise banque'!$L7:$L92,AC26))</f>
        <v/>
      </c>
      <c r="AE26" s="1">
        <v>10</v>
      </c>
      <c r="AF26" s="1" t="str">
        <f t="shared" si="9"/>
        <v>10</v>
      </c>
      <c r="AG26" s="89" t="str">
        <f>IF($B26="","",SUMIFS('remise banque'!$M7:$M92,'remise banque'!$L7:$L92,AF26))</f>
        <v/>
      </c>
      <c r="AH26" s="1">
        <v>11</v>
      </c>
      <c r="AI26" s="1" t="str">
        <f t="shared" si="10"/>
        <v>11</v>
      </c>
      <c r="AJ26" s="89" t="str">
        <f>IF($B26="","",SUMIFS('remise banque'!$M7:$M92,'remise banque'!$L7:$L92,AI26))</f>
        <v/>
      </c>
      <c r="AK26" s="1">
        <v>12</v>
      </c>
      <c r="AL26" s="1" t="str">
        <f t="shared" si="11"/>
        <v>12</v>
      </c>
      <c r="AM26" s="89" t="str">
        <f>IF($B26="","",SUMIFS('remise banque'!$M7:$M92,'remise banque'!$L7:$L92,AL26))</f>
        <v/>
      </c>
      <c r="AN26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7" spans="2:44" x14ac:dyDescent="0.25">
      <c r="B27" s="103"/>
      <c r="C27" s="152" t="str">
        <f>IF(B27="","",SUMIFS('remise banque'!E$6:E$46,'remise banque'!C$6:C$46,parametre!U20))</f>
        <v/>
      </c>
      <c r="D27" s="154">
        <v>1</v>
      </c>
      <c r="E27" s="1" t="str">
        <f t="shared" si="0"/>
        <v/>
      </c>
      <c r="F27" s="89" t="str">
        <f>IF($B27="","",SUMIFS('remise banque'!$M7:$M93,'remise banque'!$L7:$L93,E27))</f>
        <v/>
      </c>
      <c r="G27" s="1">
        <v>2</v>
      </c>
      <c r="H27" s="1" t="str">
        <f t="shared" si="1"/>
        <v>2</v>
      </c>
      <c r="I27" s="89" t="str">
        <f>IF($B27="","",SUMIFS('remise banque'!$M7:$M93,'remise banque'!$L7:$L93,H27))</f>
        <v/>
      </c>
      <c r="J27" s="1">
        <v>3</v>
      </c>
      <c r="K27" s="1" t="str">
        <f t="shared" si="2"/>
        <v>3</v>
      </c>
      <c r="L27" s="89" t="str">
        <f>IF($B27="","",SUMIFS('remise banque'!$M7:$M93,'remise banque'!$L7:$L93,K27))</f>
        <v/>
      </c>
      <c r="M27" s="1">
        <v>4</v>
      </c>
      <c r="N27" s="1" t="str">
        <f t="shared" si="3"/>
        <v>4</v>
      </c>
      <c r="O27" s="89" t="str">
        <f>IF($B27="","",SUMIFS('remise banque'!$M7:$M93,'remise banque'!$L7:$L93,N27))</f>
        <v/>
      </c>
      <c r="P27" s="1">
        <v>5</v>
      </c>
      <c r="Q27" s="1" t="str">
        <f t="shared" si="4"/>
        <v>5</v>
      </c>
      <c r="R27" s="89" t="str">
        <f>IF($B27="","",SUMIFS('remise banque'!$M7:$M93,'remise banque'!$L7:$L93,Q27))</f>
        <v/>
      </c>
      <c r="S27" s="1">
        <v>6</v>
      </c>
      <c r="T27" s="1" t="str">
        <f t="shared" si="5"/>
        <v>6</v>
      </c>
      <c r="U27" s="89" t="str">
        <f>IF($B27="","",SUMIFS('remise banque'!$M7:$M93,'remise banque'!$L7:$L93,T27))</f>
        <v/>
      </c>
      <c r="V27" s="1">
        <v>7</v>
      </c>
      <c r="W27" s="1" t="str">
        <f t="shared" si="6"/>
        <v>7</v>
      </c>
      <c r="X27" s="89" t="str">
        <f>IF($B27="","",SUMIFS('remise banque'!$M7:$M93,'remise banque'!$L7:$L93,W27))</f>
        <v/>
      </c>
      <c r="Y27" s="1">
        <v>8</v>
      </c>
      <c r="Z27" s="1" t="str">
        <f t="shared" si="7"/>
        <v>8</v>
      </c>
      <c r="AA27" s="89" t="str">
        <f>IF($B27="","",SUMIFS('remise banque'!$M7:$M93,'remise banque'!$L7:$L93,Z27))</f>
        <v/>
      </c>
      <c r="AB27" s="1">
        <v>9</v>
      </c>
      <c r="AC27" s="1" t="str">
        <f t="shared" si="8"/>
        <v>9</v>
      </c>
      <c r="AD27" s="89" t="str">
        <f>IF($B27="","",SUMIFS('remise banque'!$M7:$M93,'remise banque'!$L7:$L93,AC27))</f>
        <v/>
      </c>
      <c r="AE27" s="1">
        <v>10</v>
      </c>
      <c r="AF27" s="1" t="str">
        <f t="shared" si="9"/>
        <v>10</v>
      </c>
      <c r="AG27" s="89" t="str">
        <f>IF($B27="","",SUMIFS('remise banque'!$M7:$M93,'remise banque'!$L7:$L93,AF27))</f>
        <v/>
      </c>
      <c r="AH27" s="1">
        <v>11</v>
      </c>
      <c r="AI27" s="1" t="str">
        <f t="shared" si="10"/>
        <v>11</v>
      </c>
      <c r="AJ27" s="89" t="str">
        <f>IF($B27="","",SUMIFS('remise banque'!$M7:$M93,'remise banque'!$L7:$L93,AI27))</f>
        <v/>
      </c>
      <c r="AK27" s="1">
        <v>12</v>
      </c>
      <c r="AL27" s="1" t="str">
        <f t="shared" si="11"/>
        <v>12</v>
      </c>
      <c r="AM27" s="89" t="str">
        <f>IF($B27="","",SUMIFS('remise banque'!$M7:$M93,'remise banque'!$L7:$L93,AL27))</f>
        <v/>
      </c>
      <c r="AN27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8" spans="2:44" x14ac:dyDescent="0.25">
      <c r="B28" s="103"/>
      <c r="C28" s="152" t="str">
        <f>IF(B28="","",SUMIFS('remise banque'!E$6:E$46,'remise banque'!C$6:C$46,parametre!U21))</f>
        <v/>
      </c>
      <c r="D28" s="154">
        <v>1</v>
      </c>
      <c r="E28" s="1" t="str">
        <f t="shared" si="0"/>
        <v/>
      </c>
      <c r="F28" s="89" t="str">
        <f>IF($B28="","",SUMIFS('remise banque'!$M7:$M94,'remise banque'!$L7:$L94,E28))</f>
        <v/>
      </c>
      <c r="G28" s="1">
        <v>2</v>
      </c>
      <c r="H28" s="1" t="str">
        <f t="shared" si="1"/>
        <v>2</v>
      </c>
      <c r="I28" s="89" t="str">
        <f>IF($B28="","",SUMIFS('remise banque'!$M7:$M94,'remise banque'!$L7:$L94,H28))</f>
        <v/>
      </c>
      <c r="J28" s="1">
        <v>3</v>
      </c>
      <c r="K28" s="1" t="str">
        <f t="shared" si="2"/>
        <v>3</v>
      </c>
      <c r="L28" s="89" t="str">
        <f>IF($B28="","",SUMIFS('remise banque'!$M7:$M94,'remise banque'!$L7:$L94,K28))</f>
        <v/>
      </c>
      <c r="M28" s="1">
        <v>4</v>
      </c>
      <c r="N28" s="1" t="str">
        <f t="shared" si="3"/>
        <v>4</v>
      </c>
      <c r="O28" s="89" t="str">
        <f>IF($B28="","",SUMIFS('remise banque'!$M7:$M94,'remise banque'!$L7:$L94,N28))</f>
        <v/>
      </c>
      <c r="P28" s="1">
        <v>5</v>
      </c>
      <c r="Q28" s="1" t="str">
        <f t="shared" si="4"/>
        <v>5</v>
      </c>
      <c r="R28" s="89" t="str">
        <f>IF($B28="","",SUMIFS('remise banque'!$M7:$M94,'remise banque'!$L7:$L94,Q28))</f>
        <v/>
      </c>
      <c r="S28" s="1">
        <v>6</v>
      </c>
      <c r="T28" s="1" t="str">
        <f t="shared" si="5"/>
        <v>6</v>
      </c>
      <c r="U28" s="89" t="str">
        <f>IF($B28="","",SUMIFS('remise banque'!$M7:$M94,'remise banque'!$L7:$L94,T28))</f>
        <v/>
      </c>
      <c r="V28" s="1">
        <v>7</v>
      </c>
      <c r="W28" s="1" t="str">
        <f t="shared" si="6"/>
        <v>7</v>
      </c>
      <c r="X28" s="89" t="str">
        <f>IF($B28="","",SUMIFS('remise banque'!$M7:$M94,'remise banque'!$L7:$L94,W28))</f>
        <v/>
      </c>
      <c r="Y28" s="1">
        <v>8</v>
      </c>
      <c r="Z28" s="1" t="str">
        <f t="shared" si="7"/>
        <v>8</v>
      </c>
      <c r="AA28" s="89" t="str">
        <f>IF($B28="","",SUMIFS('remise banque'!$M7:$M94,'remise banque'!$L7:$L94,Z28))</f>
        <v/>
      </c>
      <c r="AB28" s="1">
        <v>9</v>
      </c>
      <c r="AC28" s="1" t="str">
        <f t="shared" si="8"/>
        <v>9</v>
      </c>
      <c r="AD28" s="89" t="str">
        <f>IF($B28="","",SUMIFS('remise banque'!$M7:$M94,'remise banque'!$L7:$L94,AC28))</f>
        <v/>
      </c>
      <c r="AE28" s="1">
        <v>10</v>
      </c>
      <c r="AF28" s="1" t="str">
        <f t="shared" si="9"/>
        <v>10</v>
      </c>
      <c r="AG28" s="89" t="str">
        <f>IF($B28="","",SUMIFS('remise banque'!$M7:$M94,'remise banque'!$L7:$L94,AF28))</f>
        <v/>
      </c>
      <c r="AH28" s="1">
        <v>11</v>
      </c>
      <c r="AI28" s="1" t="str">
        <f t="shared" si="10"/>
        <v>11</v>
      </c>
      <c r="AJ28" s="89" t="str">
        <f>IF($B28="","",SUMIFS('remise banque'!$M7:$M94,'remise banque'!$L7:$L94,AI28))</f>
        <v/>
      </c>
      <c r="AK28" s="1">
        <v>12</v>
      </c>
      <c r="AL28" s="1" t="str">
        <f t="shared" si="11"/>
        <v>12</v>
      </c>
      <c r="AM28" s="89" t="str">
        <f>IF($B28="","",SUMIFS('remise banque'!$M7:$M94,'remise banque'!$L7:$L94,AL28))</f>
        <v/>
      </c>
      <c r="AN28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29" spans="2:44" x14ac:dyDescent="0.25">
      <c r="B29" s="103"/>
      <c r="C29" s="152" t="str">
        <f>IF(B29="","",SUMIFS('remise banque'!E$6:E$46,'remise banque'!C$6:C$46,parametre!U22))</f>
        <v/>
      </c>
      <c r="D29" s="154">
        <v>1</v>
      </c>
      <c r="E29" s="1" t="str">
        <f t="shared" si="0"/>
        <v/>
      </c>
      <c r="F29" s="89" t="str">
        <f>IF($B29="","",SUMIFS('remise banque'!$M7:$M95,'remise banque'!$L7:$L95,E29))</f>
        <v/>
      </c>
      <c r="G29" s="1">
        <v>2</v>
      </c>
      <c r="H29" s="1" t="str">
        <f t="shared" si="1"/>
        <v>2</v>
      </c>
      <c r="I29" s="89" t="str">
        <f>IF($B29="","",SUMIFS('remise banque'!$M7:$M95,'remise banque'!$L7:$L95,H29))</f>
        <v/>
      </c>
      <c r="J29" s="1">
        <v>3</v>
      </c>
      <c r="K29" s="1" t="str">
        <f t="shared" si="2"/>
        <v>3</v>
      </c>
      <c r="L29" s="89" t="str">
        <f>IF($B29="","",SUMIFS('remise banque'!$M7:$M95,'remise banque'!$L7:$L95,K29))</f>
        <v/>
      </c>
      <c r="M29" s="1">
        <v>4</v>
      </c>
      <c r="N29" s="1" t="str">
        <f t="shared" si="3"/>
        <v>4</v>
      </c>
      <c r="O29" s="89" t="str">
        <f>IF($B29="","",SUMIFS('remise banque'!$M7:$M95,'remise banque'!$L7:$L95,N29))</f>
        <v/>
      </c>
      <c r="P29" s="1">
        <v>5</v>
      </c>
      <c r="Q29" s="1" t="str">
        <f t="shared" si="4"/>
        <v>5</v>
      </c>
      <c r="R29" s="89" t="str">
        <f>IF($B29="","",SUMIFS('remise banque'!$M7:$M95,'remise banque'!$L7:$L95,Q29))</f>
        <v/>
      </c>
      <c r="S29" s="1">
        <v>6</v>
      </c>
      <c r="T29" s="1" t="str">
        <f t="shared" si="5"/>
        <v>6</v>
      </c>
      <c r="U29" s="89" t="str">
        <f>IF($B29="","",SUMIFS('remise banque'!$M7:$M95,'remise banque'!$L7:$L95,T29))</f>
        <v/>
      </c>
      <c r="V29" s="1">
        <v>7</v>
      </c>
      <c r="W29" s="1" t="str">
        <f t="shared" si="6"/>
        <v>7</v>
      </c>
      <c r="X29" s="89" t="str">
        <f>IF($B29="","",SUMIFS('remise banque'!$M7:$M95,'remise banque'!$L7:$L95,W29))</f>
        <v/>
      </c>
      <c r="Y29" s="1">
        <v>8</v>
      </c>
      <c r="Z29" s="1" t="str">
        <f t="shared" si="7"/>
        <v>8</v>
      </c>
      <c r="AA29" s="89" t="str">
        <f>IF($B29="","",SUMIFS('remise banque'!$M7:$M95,'remise banque'!$L7:$L95,Z29))</f>
        <v/>
      </c>
      <c r="AB29" s="1">
        <v>9</v>
      </c>
      <c r="AC29" s="1" t="str">
        <f t="shared" si="8"/>
        <v>9</v>
      </c>
      <c r="AD29" s="89" t="str">
        <f>IF($B29="","",SUMIFS('remise banque'!$M7:$M95,'remise banque'!$L7:$L95,AC29))</f>
        <v/>
      </c>
      <c r="AE29" s="1">
        <v>10</v>
      </c>
      <c r="AF29" s="1" t="str">
        <f t="shared" si="9"/>
        <v>10</v>
      </c>
      <c r="AG29" s="89" t="str">
        <f>IF($B29="","",SUMIFS('remise banque'!$M7:$M95,'remise banque'!$L7:$L95,AF29))</f>
        <v/>
      </c>
      <c r="AH29" s="1">
        <v>11</v>
      </c>
      <c r="AI29" s="1" t="str">
        <f t="shared" si="10"/>
        <v>11</v>
      </c>
      <c r="AJ29" s="89" t="str">
        <f>IF($B29="","",SUMIFS('remise banque'!$M7:$M95,'remise banque'!$L7:$L95,AI29))</f>
        <v/>
      </c>
      <c r="AK29" s="1">
        <v>12</v>
      </c>
      <c r="AL29" s="1" t="str">
        <f t="shared" si="11"/>
        <v>12</v>
      </c>
      <c r="AM29" s="89" t="str">
        <f>IF($B29="","",SUMIFS('remise banque'!$M7:$M95,'remise banque'!$L7:$L95,AL29))</f>
        <v/>
      </c>
      <c r="AN29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30" spans="2:44" x14ac:dyDescent="0.25">
      <c r="B30" s="103"/>
      <c r="C30" s="152" t="str">
        <f>IF(B30="","",SUMIFS('remise banque'!E$6:E$46,'remise banque'!C$6:C$46,parametre!U23))</f>
        <v/>
      </c>
      <c r="D30" s="154">
        <v>1</v>
      </c>
      <c r="E30" s="1" t="str">
        <f t="shared" si="0"/>
        <v/>
      </c>
      <c r="F30" s="89" t="str">
        <f>IF($B30="","",SUMIFS('remise banque'!$M7:$M96,'remise banque'!$L7:$L96,E30))</f>
        <v/>
      </c>
      <c r="G30" s="1">
        <v>2</v>
      </c>
      <c r="H30" s="1" t="str">
        <f t="shared" si="1"/>
        <v>2</v>
      </c>
      <c r="I30" s="89" t="str">
        <f>IF($B30="","",SUMIFS('remise banque'!$M7:$M96,'remise banque'!$L7:$L96,H30))</f>
        <v/>
      </c>
      <c r="J30" s="1">
        <v>3</v>
      </c>
      <c r="K30" s="1" t="str">
        <f t="shared" si="2"/>
        <v>3</v>
      </c>
      <c r="L30" s="89" t="str">
        <f>IF($B30="","",SUMIFS('remise banque'!$M7:$M96,'remise banque'!$L7:$L96,K30))</f>
        <v/>
      </c>
      <c r="M30" s="1">
        <v>4</v>
      </c>
      <c r="N30" s="1" t="str">
        <f t="shared" si="3"/>
        <v>4</v>
      </c>
      <c r="O30" s="89" t="str">
        <f>IF($B30="","",SUMIFS('remise banque'!$M7:$M96,'remise banque'!$L7:$L96,N30))</f>
        <v/>
      </c>
      <c r="P30" s="1">
        <v>5</v>
      </c>
      <c r="Q30" s="1" t="str">
        <f t="shared" si="4"/>
        <v>5</v>
      </c>
      <c r="R30" s="89" t="str">
        <f>IF($B30="","",SUMIFS('remise banque'!$M7:$M96,'remise banque'!$L7:$L96,Q30))</f>
        <v/>
      </c>
      <c r="S30" s="1">
        <v>6</v>
      </c>
      <c r="T30" s="1" t="str">
        <f t="shared" si="5"/>
        <v>6</v>
      </c>
      <c r="U30" s="89" t="str">
        <f>IF($B30="","",SUMIFS('remise banque'!$M7:$M96,'remise banque'!$L7:$L96,T30))</f>
        <v/>
      </c>
      <c r="V30" s="1">
        <v>7</v>
      </c>
      <c r="W30" s="1" t="str">
        <f t="shared" si="6"/>
        <v>7</v>
      </c>
      <c r="X30" s="89" t="str">
        <f>IF($B30="","",SUMIFS('remise banque'!$M7:$M96,'remise banque'!$L7:$L96,W30))</f>
        <v/>
      </c>
      <c r="Y30" s="1">
        <v>8</v>
      </c>
      <c r="Z30" s="1" t="str">
        <f t="shared" si="7"/>
        <v>8</v>
      </c>
      <c r="AA30" s="89" t="str">
        <f>IF($B30="","",SUMIFS('remise banque'!$M7:$M96,'remise banque'!$L7:$L96,Z30))</f>
        <v/>
      </c>
      <c r="AB30" s="1">
        <v>9</v>
      </c>
      <c r="AC30" s="1" t="str">
        <f t="shared" si="8"/>
        <v>9</v>
      </c>
      <c r="AD30" s="89" t="str">
        <f>IF($B30="","",SUMIFS('remise banque'!$M7:$M96,'remise banque'!$L7:$L96,AC30))</f>
        <v/>
      </c>
      <c r="AE30" s="1">
        <v>10</v>
      </c>
      <c r="AF30" s="1" t="str">
        <f t="shared" si="9"/>
        <v>10</v>
      </c>
      <c r="AG30" s="89" t="str">
        <f>IF($B30="","",SUMIFS('remise banque'!$M7:$M96,'remise banque'!$L7:$L96,AF30))</f>
        <v/>
      </c>
      <c r="AH30" s="1">
        <v>11</v>
      </c>
      <c r="AI30" s="1" t="str">
        <f t="shared" si="10"/>
        <v>11</v>
      </c>
      <c r="AJ30" s="89" t="str">
        <f>IF($B30="","",SUMIFS('remise banque'!$M7:$M96,'remise banque'!$L7:$L96,AI30))</f>
        <v/>
      </c>
      <c r="AK30" s="1">
        <v>12</v>
      </c>
      <c r="AL30" s="1" t="str">
        <f t="shared" si="11"/>
        <v>12</v>
      </c>
      <c r="AM30" s="89" t="str">
        <f>IF($B30="","",SUMIFS('remise banque'!$M7:$M96,'remise banque'!$L7:$L96,AL30))</f>
        <v/>
      </c>
      <c r="AN30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</row>
    <row r="31" spans="2:44" x14ac:dyDescent="0.25">
      <c r="B31" s="103"/>
      <c r="C31" s="152" t="str">
        <f>IF(B31="","",SUMIFS('remise banque'!E$6:E$46,'remise banque'!C$6:C$46,parametre!U24))</f>
        <v/>
      </c>
      <c r="D31" s="154">
        <v>1</v>
      </c>
      <c r="E31" s="1" t="str">
        <f t="shared" si="0"/>
        <v/>
      </c>
      <c r="F31" s="89" t="str">
        <f>IF($B31="","",SUMIFS('remise banque'!$M7:$M97,'remise banque'!$L7:$L97,E31))</f>
        <v/>
      </c>
      <c r="G31" s="1">
        <v>2</v>
      </c>
      <c r="H31" s="1" t="str">
        <f t="shared" si="1"/>
        <v>2</v>
      </c>
      <c r="I31" s="89" t="str">
        <f>IF($B31="","",SUMIFS('remise banque'!$M7:$M97,'remise banque'!$L7:$L97,H31))</f>
        <v/>
      </c>
      <c r="J31" s="1">
        <v>3</v>
      </c>
      <c r="K31" s="1" t="str">
        <f t="shared" si="2"/>
        <v>3</v>
      </c>
      <c r="L31" s="89" t="str">
        <f>IF($B31="","",SUMIFS('remise banque'!$M7:$M97,'remise banque'!$L7:$L97,K31))</f>
        <v/>
      </c>
      <c r="M31" s="1">
        <v>4</v>
      </c>
      <c r="N31" s="1" t="str">
        <f t="shared" si="3"/>
        <v>4</v>
      </c>
      <c r="O31" s="89" t="str">
        <f>IF($B31="","",SUMIFS('remise banque'!$M7:$M97,'remise banque'!$L7:$L97,N31))</f>
        <v/>
      </c>
      <c r="P31" s="1">
        <v>5</v>
      </c>
      <c r="Q31" s="1" t="str">
        <f t="shared" si="4"/>
        <v>5</v>
      </c>
      <c r="R31" s="89" t="str">
        <f>IF($B31="","",SUMIFS('remise banque'!$M7:$M97,'remise banque'!$L7:$L97,Q31))</f>
        <v/>
      </c>
      <c r="S31" s="1">
        <v>6</v>
      </c>
      <c r="T31" s="1" t="str">
        <f t="shared" si="5"/>
        <v>6</v>
      </c>
      <c r="U31" s="89" t="str">
        <f>IF($B31="","",SUMIFS('remise banque'!$M7:$M97,'remise banque'!$L7:$L97,T31))</f>
        <v/>
      </c>
      <c r="V31" s="1">
        <v>7</v>
      </c>
      <c r="W31" s="1" t="str">
        <f t="shared" si="6"/>
        <v>7</v>
      </c>
      <c r="X31" s="89" t="str">
        <f>IF($B31="","",SUMIFS('remise banque'!$M7:$M97,'remise banque'!$L7:$L97,W31))</f>
        <v/>
      </c>
      <c r="Y31" s="1">
        <v>8</v>
      </c>
      <c r="Z31" s="1" t="str">
        <f t="shared" si="7"/>
        <v>8</v>
      </c>
      <c r="AA31" s="89" t="str">
        <f>IF($B31="","",SUMIFS('remise banque'!$M7:$M97,'remise banque'!$L7:$L97,Z31))</f>
        <v/>
      </c>
      <c r="AB31" s="1">
        <v>9</v>
      </c>
      <c r="AC31" s="1" t="str">
        <f t="shared" si="8"/>
        <v>9</v>
      </c>
      <c r="AD31" s="89" t="str">
        <f>IF($B31="","",SUMIFS('remise banque'!$M7:$M97,'remise banque'!$L7:$L97,AC31))</f>
        <v/>
      </c>
      <c r="AE31" s="1">
        <v>10</v>
      </c>
      <c r="AF31" s="1" t="str">
        <f t="shared" si="9"/>
        <v>10</v>
      </c>
      <c r="AG31" s="89" t="str">
        <f>IF($B31="","",SUMIFS('remise banque'!$M7:$M97,'remise banque'!$L7:$L97,AF31))</f>
        <v/>
      </c>
      <c r="AH31" s="1">
        <v>11</v>
      </c>
      <c r="AI31" s="1" t="str">
        <f t="shared" si="10"/>
        <v>11</v>
      </c>
      <c r="AJ31" s="89" t="str">
        <f>IF($B31="","",SUMIFS('remise banque'!$M7:$M97,'remise banque'!$L7:$L97,AI31))</f>
        <v/>
      </c>
      <c r="AK31" s="1">
        <v>12</v>
      </c>
      <c r="AL31" s="1" t="str">
        <f t="shared" si="11"/>
        <v>12</v>
      </c>
      <c r="AM31" s="89" t="str">
        <f>IF($B31="","",SUMIFS('remise banque'!$M7:$M97,'remise banque'!$L7:$L97,AL31))</f>
        <v/>
      </c>
      <c r="AN31" s="89" t="str">
        <f>IF(Tableau1[[#This Row],[Colonne38]]="","",Tableau1[[#This Row],[Colonne35]]+Tableau1[[#This Row],[Colonne38]]+Tableau1[[#This Row],[Colonne32]]+Tableau1[[#This Row],[Colonne29]]+Tableau1[[#This Row],[Colonne26]]+Tableau1[[#This Row],[Colonne23]]+Tableau1[[#This Row],[Colonne20]]+Tableau1[[#This Row],[Colonne17]]+Tableau1[[#This Row],[Colonne14]]+Tableau1[[#This Row],[Colonne11]]+Tableau1[[#This Row],[Colonne8]]+Tableau1[[#This Row],[Colonne5]])</f>
        <v/>
      </c>
      <c r="AR31" t="e">
        <f>SUM('remise banque'!#REF!)</f>
        <v>#REF!</v>
      </c>
    </row>
    <row r="32" spans="2:44" x14ac:dyDescent="0.25">
      <c r="B32" s="1"/>
      <c r="C32" s="1"/>
      <c r="D32" s="154"/>
      <c r="F32" s="155">
        <f>SUM(F9:F31)</f>
        <v>0</v>
      </c>
      <c r="G32" s="63"/>
      <c r="H32" s="63"/>
      <c r="I32" s="155">
        <f>SUM(I9:I31)</f>
        <v>0</v>
      </c>
      <c r="J32" s="63"/>
      <c r="K32" s="63"/>
      <c r="L32" s="155">
        <f>SUM(L9:L31)</f>
        <v>0</v>
      </c>
      <c r="M32" s="63"/>
      <c r="N32" s="63"/>
      <c r="O32" s="155">
        <f>SUM(O9:O31)</f>
        <v>0</v>
      </c>
      <c r="P32" s="63"/>
      <c r="Q32" s="63"/>
      <c r="R32" s="155">
        <f>SUM(R9:R31)</f>
        <v>0</v>
      </c>
      <c r="S32" s="63"/>
      <c r="T32" s="63"/>
      <c r="U32" s="155">
        <f>SUM(U9:U31)</f>
        <v>0</v>
      </c>
      <c r="V32" s="63"/>
      <c r="W32" s="63"/>
      <c r="X32" s="95">
        <f>SUM(X9:X31)</f>
        <v>0</v>
      </c>
      <c r="Y32" s="63"/>
      <c r="Z32" s="63"/>
      <c r="AA32" s="95">
        <f>SUM(AA9:AA31)</f>
        <v>0</v>
      </c>
      <c r="AB32" s="63"/>
      <c r="AC32" s="63"/>
      <c r="AD32" s="95">
        <f>SUM(AD9:AD31)</f>
        <v>0</v>
      </c>
      <c r="AE32" s="63"/>
      <c r="AF32" s="63"/>
      <c r="AG32" s="95">
        <f>SUM(AG9:AG31)</f>
        <v>0</v>
      </c>
      <c r="AH32" s="63"/>
      <c r="AI32" s="63"/>
      <c r="AJ32" s="95">
        <f>SUM(AJ9:AJ31)</f>
        <v>0</v>
      </c>
      <c r="AK32" s="63"/>
      <c r="AL32" s="63"/>
      <c r="AM32" s="95">
        <f>SUM(AM9:AM31)</f>
        <v>0</v>
      </c>
    </row>
    <row r="33" spans="2:39" x14ac:dyDescent="0.25">
      <c r="B33" s="1"/>
      <c r="C33" s="1"/>
      <c r="D33" s="154"/>
      <c r="F33" s="89"/>
      <c r="I33" s="89"/>
      <c r="L33" s="89"/>
      <c r="O33" s="89"/>
      <c r="R33" s="89"/>
      <c r="U33" s="89"/>
      <c r="X33" s="69"/>
      <c r="AA33" s="69"/>
      <c r="AD33" s="69"/>
      <c r="AG33" s="69"/>
      <c r="AJ33" s="69"/>
      <c r="AM33" s="69"/>
    </row>
    <row r="34" spans="2:39" x14ac:dyDescent="0.25">
      <c r="B34" s="1"/>
      <c r="C34" s="1"/>
      <c r="D34" s="154"/>
      <c r="F34" s="89"/>
      <c r="I34" s="89"/>
      <c r="L34" s="89"/>
      <c r="O34" s="89"/>
      <c r="R34" s="89"/>
      <c r="U34" s="89"/>
      <c r="X34" s="69"/>
      <c r="AA34" s="69"/>
      <c r="AD34" s="69"/>
      <c r="AG34" s="69"/>
      <c r="AJ34" s="69"/>
      <c r="AM34" s="69"/>
    </row>
    <row r="35" spans="2:39" x14ac:dyDescent="0.25">
      <c r="B35" s="1"/>
      <c r="C35" s="1"/>
      <c r="D35" s="154"/>
      <c r="F35" s="89"/>
      <c r="I35" s="89"/>
      <c r="L35" s="89"/>
      <c r="O35" s="89"/>
      <c r="R35" s="89"/>
      <c r="U35" s="89"/>
      <c r="X35" s="69"/>
      <c r="AA35" s="69"/>
      <c r="AD35" s="69"/>
      <c r="AG35" s="69"/>
      <c r="AJ35" s="69"/>
      <c r="AM35" s="69"/>
    </row>
    <row r="36" spans="2:39" x14ac:dyDescent="0.25">
      <c r="B36" s="1"/>
      <c r="C36" s="1"/>
      <c r="D36" s="154"/>
      <c r="F36" s="89"/>
      <c r="I36" s="89"/>
      <c r="L36" s="89"/>
      <c r="O36" s="89"/>
      <c r="R36" s="89"/>
      <c r="U36" s="89"/>
      <c r="X36" s="69"/>
      <c r="AA36" s="69"/>
      <c r="AD36" s="69"/>
    </row>
    <row r="37" spans="2:39" x14ac:dyDescent="0.25">
      <c r="B37" s="1"/>
      <c r="C37" s="1"/>
      <c r="D37" s="1"/>
      <c r="E37" s="1"/>
      <c r="F37" s="1"/>
    </row>
    <row r="38" spans="2:39" x14ac:dyDescent="0.25">
      <c r="B38" s="1"/>
      <c r="C38" s="1"/>
      <c r="D38" s="1"/>
      <c r="E38" s="1"/>
      <c r="F38" s="1"/>
    </row>
    <row r="39" spans="2:39" x14ac:dyDescent="0.25">
      <c r="B39" s="1"/>
      <c r="C39" s="1"/>
      <c r="D39" s="1"/>
      <c r="E39" s="1"/>
      <c r="F39" s="1"/>
    </row>
    <row r="40" spans="2:39" x14ac:dyDescent="0.25">
      <c r="B40" s="1"/>
      <c r="C40" s="1"/>
      <c r="D40" s="1"/>
      <c r="E40" s="1"/>
      <c r="F40" s="1"/>
    </row>
    <row r="41" spans="2:39" x14ac:dyDescent="0.25">
      <c r="B41" s="1"/>
      <c r="C41" s="1"/>
      <c r="D41" s="1"/>
      <c r="E41" s="1"/>
      <c r="F41" s="1"/>
    </row>
    <row r="42" spans="2:39" x14ac:dyDescent="0.25">
      <c r="B42" s="1"/>
      <c r="C42" s="1"/>
      <c r="D42" s="1"/>
      <c r="E42" s="1"/>
      <c r="F42" s="1"/>
    </row>
    <row r="43" spans="2:39" x14ac:dyDescent="0.25">
      <c r="B43" s="1"/>
      <c r="C43" s="1"/>
      <c r="D43" s="1"/>
      <c r="E43" s="1"/>
      <c r="F43" s="1"/>
    </row>
    <row r="44" spans="2:39" x14ac:dyDescent="0.25">
      <c r="B44" s="1"/>
      <c r="C44" s="1"/>
      <c r="D44" s="1"/>
      <c r="E44" s="1"/>
      <c r="F44" s="1"/>
    </row>
    <row r="45" spans="2:39" x14ac:dyDescent="0.25">
      <c r="B45" s="1"/>
      <c r="C45" s="1"/>
      <c r="D45" s="1"/>
      <c r="E45" s="1"/>
      <c r="F45" s="1"/>
    </row>
    <row r="46" spans="2:39" x14ac:dyDescent="0.25">
      <c r="B46" s="1"/>
      <c r="C46" s="1"/>
      <c r="D46" s="1"/>
      <c r="E46" s="1"/>
      <c r="F46" s="1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20</vt:i4>
      </vt:variant>
    </vt:vector>
  </HeadingPairs>
  <TitlesOfParts>
    <vt:vector size="37" baseType="lpstr">
      <vt:lpstr>parametre</vt:lpstr>
      <vt:lpstr>TBB</vt:lpstr>
      <vt:lpstr>cheque_emis</vt:lpstr>
      <vt:lpstr>BDD_licencies</vt:lpstr>
      <vt:lpstr>BDD_materiel</vt:lpstr>
      <vt:lpstr>Facture</vt:lpstr>
      <vt:lpstr>lettre_relance</vt:lpstr>
      <vt:lpstr>Attestation</vt:lpstr>
      <vt:lpstr>Recu fiscal</vt:lpstr>
      <vt:lpstr>Faire commande</vt:lpstr>
      <vt:lpstr>tableau des commandes</vt:lpstr>
      <vt:lpstr>synthese commande</vt:lpstr>
      <vt:lpstr>Facture commande</vt:lpstr>
      <vt:lpstr>calculatrice</vt:lpstr>
      <vt:lpstr>remise banque</vt:lpstr>
      <vt:lpstr>Manifestation</vt:lpstr>
      <vt:lpstr>Feuil2</vt:lpstr>
      <vt:lpstr>banque</vt:lpstr>
      <vt:lpstr>boisson</vt:lpstr>
      <vt:lpstr>choix</vt:lpstr>
      <vt:lpstr>compte_imputation</vt:lpstr>
      <vt:lpstr>fournisseur_ping</vt:lpstr>
      <vt:lpstr>lieu_achat</vt:lpstr>
      <vt:lpstr>marque_ping</vt:lpstr>
      <vt:lpstr>option_licence</vt:lpstr>
      <vt:lpstr>paiement</vt:lpstr>
      <vt:lpstr>sexe</vt:lpstr>
      <vt:lpstr>type_licence</vt:lpstr>
      <vt:lpstr>Attestation!Zone_d_impression</vt:lpstr>
      <vt:lpstr>BDD_licencies!Zone_d_impression</vt:lpstr>
      <vt:lpstr>calculatrice!Zone_d_impression</vt:lpstr>
      <vt:lpstr>cheque_emis!Zone_d_impression</vt:lpstr>
      <vt:lpstr>Facture!Zone_d_impression</vt:lpstr>
      <vt:lpstr>Manifestation!Zone_d_impression</vt:lpstr>
      <vt:lpstr>parametre!Zone_d_impression</vt:lpstr>
      <vt:lpstr>'Recu fiscal'!Zone_d_impression</vt:lpstr>
      <vt:lpstr>'remise banque'!Zone_d_impression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2019-06-26T15:15:48Z</cp:lastPrinted>
  <dcterms:created xsi:type="dcterms:W3CDTF">2019-02-06T13:05:36Z</dcterms:created>
  <dcterms:modified xsi:type="dcterms:W3CDTF">2019-06-26T18:35:27Z</dcterms:modified>
</cp:coreProperties>
</file>