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RC\mugello\mileage\"/>
    </mc:Choice>
  </mc:AlternateContent>
  <bookViews>
    <workbookView xWindow="0" yWindow="60" windowWidth="15315" windowHeight="5445" activeTab="2"/>
  </bookViews>
  <sheets>
    <sheet name="Mileage total" sheetId="1" r:id="rId1"/>
    <sheet name="Maintenance" sheetId="2" r:id="rId2"/>
    <sheet name="92" sheetId="3" r:id="rId3"/>
    <sheet name="123" sheetId="4" r:id="rId4"/>
    <sheet name="151" sheetId="5" r:id="rId5"/>
    <sheet name="151C" sheetId="6" r:id="rId6"/>
  </sheets>
  <calcPr calcId="152511"/>
</workbook>
</file>

<file path=xl/calcChain.xml><?xml version="1.0" encoding="utf-8"?>
<calcChain xmlns="http://schemas.openxmlformats.org/spreadsheetml/2006/main">
  <c r="C7" i="3" l="1"/>
  <c r="E4" i="6"/>
  <c r="F4" i="6"/>
  <c r="G4" i="6"/>
  <c r="H4" i="6"/>
  <c r="I4" i="6"/>
  <c r="J4" i="6"/>
  <c r="K4" i="6"/>
  <c r="L4" i="6"/>
  <c r="M4" i="6"/>
  <c r="N4" i="6"/>
  <c r="O4" i="6"/>
  <c r="P4" i="6"/>
  <c r="Q4" i="6"/>
  <c r="R4" i="6"/>
  <c r="S4" i="6"/>
  <c r="T4" i="6"/>
  <c r="U4" i="6"/>
  <c r="D4" i="6"/>
  <c r="E4" i="5"/>
  <c r="F4" i="5"/>
  <c r="G4" i="5"/>
  <c r="H4" i="5"/>
  <c r="I4" i="5"/>
  <c r="J4" i="5"/>
  <c r="K4" i="5"/>
  <c r="L4" i="5"/>
  <c r="M4" i="5"/>
  <c r="N4" i="5"/>
  <c r="O4" i="5"/>
  <c r="P4" i="5"/>
  <c r="Q4" i="5"/>
  <c r="R4" i="5"/>
  <c r="S4" i="5"/>
  <c r="T4" i="5"/>
  <c r="U4" i="5"/>
  <c r="V4" i="5"/>
  <c r="D4" i="5"/>
  <c r="D4" i="4"/>
  <c r="E4" i="4"/>
  <c r="F4" i="4"/>
  <c r="G4" i="4"/>
  <c r="H4" i="4"/>
  <c r="I4" i="4"/>
  <c r="J4" i="4"/>
  <c r="K4" i="4"/>
  <c r="L4" i="4"/>
  <c r="M4" i="4"/>
  <c r="N4" i="4"/>
  <c r="O4" i="4"/>
  <c r="P4" i="4"/>
  <c r="Q4" i="4"/>
  <c r="R4" i="4"/>
  <c r="S4" i="4"/>
  <c r="T4" i="4"/>
  <c r="U4" i="4"/>
  <c r="V4" i="4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V4" i="3"/>
  <c r="D4" i="3"/>
  <c r="C4" i="5" l="1"/>
  <c r="C4" i="6"/>
  <c r="C19" i="4" l="1"/>
  <c r="C20" i="4"/>
  <c r="C18" i="4"/>
  <c r="C10" i="4"/>
  <c r="C11" i="4"/>
  <c r="C12" i="4"/>
  <c r="C13" i="4"/>
  <c r="C14" i="4"/>
  <c r="C15" i="4"/>
  <c r="C16" i="4"/>
  <c r="C17" i="4"/>
  <c r="C9" i="4"/>
  <c r="C8" i="4"/>
  <c r="C7" i="4"/>
  <c r="C4" i="4"/>
  <c r="C20" i="5" l="1"/>
  <c r="C19" i="5"/>
  <c r="C18" i="5"/>
  <c r="C17" i="5"/>
  <c r="C16" i="5"/>
  <c r="C15" i="5"/>
  <c r="C14" i="5"/>
  <c r="C13" i="5"/>
  <c r="C12" i="5"/>
  <c r="C11" i="5"/>
  <c r="C10" i="5"/>
  <c r="C9" i="5"/>
  <c r="C8" i="5"/>
  <c r="C7" i="5"/>
  <c r="C20" i="3" l="1"/>
  <c r="C19" i="3"/>
  <c r="C18" i="3"/>
  <c r="C17" i="3"/>
  <c r="C16" i="3"/>
  <c r="C15" i="3"/>
  <c r="C14" i="3"/>
  <c r="C13" i="3"/>
  <c r="C12" i="3"/>
  <c r="C11" i="3"/>
  <c r="C10" i="3"/>
  <c r="C9" i="3"/>
  <c r="C8" i="3"/>
  <c r="C4" i="3" l="1"/>
  <c r="C7" i="1" l="1"/>
  <c r="C6" i="1"/>
  <c r="C5" i="1"/>
  <c r="C4" i="1"/>
</calcChain>
</file>

<file path=xl/comments1.xml><?xml version="1.0" encoding="utf-8"?>
<comments xmlns="http://schemas.openxmlformats.org/spreadsheetml/2006/main">
  <authors>
    <author>Miguel</author>
  </authors>
  <commentList>
    <comment ref="L7" authorId="0" shapeId="0">
      <text>
        <r>
          <rPr>
            <b/>
            <sz val="9"/>
            <color indexed="81"/>
            <rFont val="Tahoma"/>
            <family val="2"/>
          </rPr>
          <t>Miguel:</t>
        </r>
        <r>
          <rPr>
            <sz val="9"/>
            <color indexed="81"/>
            <rFont val="Tahoma"/>
            <family val="2"/>
          </rPr>
          <t xml:space="preserve">
Cambio de motor
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14" authorId="0" shapeId="0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5.500 kms según manual</t>
        </r>
      </text>
    </comment>
  </commentList>
</comments>
</file>

<file path=xl/sharedStrings.xml><?xml version="1.0" encoding="utf-8"?>
<sst xmlns="http://schemas.openxmlformats.org/spreadsheetml/2006/main" count="222" uniqueCount="75">
  <si>
    <t>151C</t>
  </si>
  <si>
    <t>Chambley</t>
  </si>
  <si>
    <t>Barcelona</t>
  </si>
  <si>
    <t>Le Mans</t>
  </si>
  <si>
    <t>Barcelona T</t>
  </si>
  <si>
    <t>Le Mans T</t>
  </si>
  <si>
    <t>Kms. Total</t>
  </si>
  <si>
    <t>PARTS</t>
  </si>
  <si>
    <t>CHECKED</t>
  </si>
  <si>
    <t>CHANGE</t>
  </si>
  <si>
    <t>COMENTS</t>
  </si>
  <si>
    <t>spark plugs</t>
  </si>
  <si>
    <t xml:space="preserve">ref. 77 11 160 278 (NGK-R ref. PFR7Z-TG) </t>
  </si>
  <si>
    <t>coolant</t>
  </si>
  <si>
    <t>air filter</t>
  </si>
  <si>
    <t>engine oil</t>
  </si>
  <si>
    <t xml:space="preserve"> ELF sae 05W30</t>
  </si>
  <si>
    <t>engine oil filter</t>
  </si>
  <si>
    <t>wishbones&amp;push</t>
  </si>
  <si>
    <t>uniball clearnace</t>
  </si>
  <si>
    <t>front&amp;rear rocker</t>
  </si>
  <si>
    <t>steering column</t>
  </si>
  <si>
    <t>steering rack&amp;pinion</t>
  </si>
  <si>
    <t>fuel filter</t>
  </si>
  <si>
    <t>change every three races</t>
  </si>
  <si>
    <t>trasmission joint</t>
  </si>
  <si>
    <t>engine</t>
  </si>
  <si>
    <t>gears</t>
  </si>
  <si>
    <t>lifespan expect</t>
  </si>
  <si>
    <t>final drive conical</t>
  </si>
  <si>
    <t>drive shaft</t>
  </si>
  <si>
    <t>drive shaft grease</t>
  </si>
  <si>
    <t>change grease and ckeck balls.</t>
  </si>
  <si>
    <t>starter engine</t>
  </si>
  <si>
    <t>wiring looms</t>
  </si>
  <si>
    <t>clucth</t>
  </si>
  <si>
    <t>ckeck the thickness every race</t>
  </si>
  <si>
    <t>gearbox seal</t>
  </si>
  <si>
    <t>clucth shaft</t>
  </si>
  <si>
    <t>Caliper seal</t>
  </si>
  <si>
    <t>Half season if issue</t>
  </si>
  <si>
    <t>Total Kms. 2016</t>
  </si>
  <si>
    <t>Engine Oil</t>
  </si>
  <si>
    <t>Oil filter</t>
  </si>
  <si>
    <t>Air filter</t>
  </si>
  <si>
    <t>Spark plugs</t>
  </si>
  <si>
    <t>Fuel Pump</t>
  </si>
  <si>
    <t>Water coolant</t>
  </si>
  <si>
    <t>Battery</t>
  </si>
  <si>
    <t>Gearbox actuator</t>
  </si>
  <si>
    <t>Gearbox powerbox</t>
  </si>
  <si>
    <t>Throttle motor</t>
  </si>
  <si>
    <t>Throttle pot</t>
  </si>
  <si>
    <t>Engine rebuild</t>
  </si>
  <si>
    <t>Primary shaft</t>
  </si>
  <si>
    <t>Clutch</t>
  </si>
  <si>
    <t>Transmision service</t>
  </si>
  <si>
    <t>P.Ricard</t>
  </si>
  <si>
    <t>Motorland T</t>
  </si>
  <si>
    <t>Motorland</t>
  </si>
  <si>
    <t>Mugello T</t>
  </si>
  <si>
    <t xml:space="preserve">Motorland </t>
  </si>
  <si>
    <t>Mugello</t>
  </si>
  <si>
    <t xml:space="preserve">Mugello </t>
  </si>
  <si>
    <t xml:space="preserve">Magny-Cours T </t>
  </si>
  <si>
    <t xml:space="preserve">Magny-Cours </t>
  </si>
  <si>
    <t>Estoril T</t>
  </si>
  <si>
    <t>Estoril</t>
  </si>
  <si>
    <t>Châssis</t>
  </si>
  <si>
    <t>Chambley2</t>
  </si>
  <si>
    <t>Le Mans T3</t>
  </si>
  <si>
    <t>Chambley4</t>
  </si>
  <si>
    <t>Chambley5</t>
  </si>
  <si>
    <t>Chambley6</t>
  </si>
  <si>
    <t>new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</si>
</sst>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8"/>
      <color indexed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B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1" fillId="2" borderId="2" xfId="0" applyFont="1" applyFill="1" applyBorder="1" applyAlignment="1">
      <alignment horizontal="center"/>
    </xf>
    <xf numFmtId="0" fontId="1" fillId="3" borderId="4" xfId="0" applyFont="1" applyFill="1" applyBorder="1"/>
    <xf numFmtId="0" fontId="2" fillId="0" borderId="5" xfId="0" applyFont="1" applyBorder="1"/>
    <xf numFmtId="0" fontId="2" fillId="0" borderId="6" xfId="0" applyFont="1" applyBorder="1"/>
    <xf numFmtId="0" fontId="3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3" fillId="0" borderId="10" xfId="0" applyFont="1" applyBorder="1"/>
    <xf numFmtId="0" fontId="1" fillId="0" borderId="4" xfId="0" applyFont="1" applyBorder="1"/>
    <xf numFmtId="0" fontId="1" fillId="0" borderId="11" xfId="0" applyFont="1" applyBorder="1" applyAlignment="1"/>
    <xf numFmtId="0" fontId="0" fillId="0" borderId="12" xfId="0" applyBorder="1" applyAlignment="1"/>
    <xf numFmtId="0" fontId="2" fillId="0" borderId="13" xfId="0" applyFont="1" applyBorder="1"/>
    <xf numFmtId="0" fontId="0" fillId="0" borderId="14" xfId="0" applyBorder="1"/>
    <xf numFmtId="0" fontId="1" fillId="0" borderId="15" xfId="0" applyFont="1" applyFill="1" applyBorder="1" applyAlignment="1"/>
    <xf numFmtId="0" fontId="0" fillId="0" borderId="16" xfId="0" applyBorder="1"/>
    <xf numFmtId="3" fontId="0" fillId="0" borderId="16" xfId="0" applyNumberFormat="1" applyBorder="1"/>
    <xf numFmtId="0" fontId="0" fillId="0" borderId="17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</cellXfs>
  <cellStyles count="1">
    <cellStyle name="Normal" xfId="0" builtinId="0"/>
  </cellStyles>
  <dxfs count="37">
    <dxf>
      <font>
        <color theme="0"/>
      </font>
      <fill>
        <patternFill>
          <bgColor rgb="FF00B050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B3:V7" totalsRowShown="0" headerRowDxfId="36" dataDxfId="35" headerRowBorderDxfId="33" tableBorderDxfId="34" totalsRowBorderDxfId="32">
  <autoFilter ref="B3:V7"/>
  <tableColumns count="21">
    <tableColumn id="1" name="Châssis" dataDxfId="31"/>
    <tableColumn id="2" name="Total Kms. 2016" dataDxfId="30">
      <calculatedColumnFormula>SUM(D4:V4)</calculatedColumnFormula>
    </tableColumn>
    <tableColumn id="3" name="Le Mans T" dataDxfId="29"/>
    <tableColumn id="4" name="Chambley" dataDxfId="28"/>
    <tableColumn id="5" name="Chambley2" dataDxfId="27"/>
    <tableColumn id="6" name="Barcelona T" dataDxfId="26"/>
    <tableColumn id="7" name="Barcelona" dataDxfId="25"/>
    <tableColumn id="8" name="Le Mans T3" dataDxfId="24"/>
    <tableColumn id="9" name="Le Mans" dataDxfId="23"/>
    <tableColumn id="10" name="Chambley4" dataDxfId="22"/>
    <tableColumn id="11" name="P.Ricard" dataDxfId="21"/>
    <tableColumn id="12" name="Chambley5" dataDxfId="20"/>
    <tableColumn id="13" name="Motorland T" dataDxfId="19"/>
    <tableColumn id="14" name="Motorland" dataDxfId="18"/>
    <tableColumn id="15" name="Mugello T" dataDxfId="17"/>
    <tableColumn id="16" name="Mugello" dataDxfId="16"/>
    <tableColumn id="17" name="Chambley6" dataDxfId="15"/>
    <tableColumn id="18" name="Magny-Cours T " dataDxfId="14"/>
    <tableColumn id="19" name="Magny-Cours " dataDxfId="13"/>
    <tableColumn id="20" name="Estoril T" dataDxfId="12"/>
    <tableColumn id="21" name="Estoril" dataDxfId="1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V7"/>
  <sheetViews>
    <sheetView workbookViewId="0">
      <selection activeCell="S4" sqref="S4"/>
    </sheetView>
  </sheetViews>
  <sheetFormatPr baseColWidth="10" defaultRowHeight="15" x14ac:dyDescent="0.25"/>
  <cols>
    <col min="2" max="2" width="9.5703125" customWidth="1"/>
    <col min="3" max="3" width="16.7109375" customWidth="1"/>
    <col min="4" max="4" width="11.85546875" customWidth="1"/>
    <col min="5" max="5" width="12" customWidth="1"/>
    <col min="6" max="6" width="13" customWidth="1"/>
    <col min="7" max="7" width="13.28515625" customWidth="1"/>
    <col min="8" max="8" width="11.85546875" customWidth="1"/>
    <col min="9" max="9" width="12.85546875" customWidth="1"/>
    <col min="10" max="10" width="10.42578125" customWidth="1"/>
    <col min="11" max="11" width="13" customWidth="1"/>
    <col min="12" max="12" width="10.28515625" customWidth="1"/>
    <col min="13" max="13" width="13" customWidth="1"/>
    <col min="14" max="14" width="14" customWidth="1"/>
    <col min="15" max="15" width="12.5703125" customWidth="1"/>
    <col min="16" max="16" width="12" customWidth="1"/>
    <col min="17" max="17" width="10.5703125" customWidth="1"/>
    <col min="18" max="18" width="13" customWidth="1"/>
    <col min="19" max="19" width="16.7109375" customWidth="1"/>
    <col min="20" max="20" width="15.28515625" customWidth="1"/>
    <col min="21" max="21" width="10.140625" customWidth="1"/>
    <col min="22" max="22" width="8.7109375" customWidth="1"/>
  </cols>
  <sheetData>
    <row r="3" spans="2:22" x14ac:dyDescent="0.25">
      <c r="B3" s="26" t="s">
        <v>68</v>
      </c>
      <c r="C3" s="27" t="s">
        <v>41</v>
      </c>
      <c r="D3" s="27" t="s">
        <v>5</v>
      </c>
      <c r="E3" s="27" t="s">
        <v>1</v>
      </c>
      <c r="F3" s="27" t="s">
        <v>69</v>
      </c>
      <c r="G3" s="27" t="s">
        <v>4</v>
      </c>
      <c r="H3" s="27" t="s">
        <v>2</v>
      </c>
      <c r="I3" s="27" t="s">
        <v>70</v>
      </c>
      <c r="J3" s="27" t="s">
        <v>3</v>
      </c>
      <c r="K3" s="27" t="s">
        <v>71</v>
      </c>
      <c r="L3" s="27" t="s">
        <v>57</v>
      </c>
      <c r="M3" s="27" t="s">
        <v>72</v>
      </c>
      <c r="N3" s="27" t="s">
        <v>58</v>
      </c>
      <c r="O3" s="27" t="s">
        <v>59</v>
      </c>
      <c r="P3" s="27" t="s">
        <v>60</v>
      </c>
      <c r="Q3" s="27" t="s">
        <v>62</v>
      </c>
      <c r="R3" s="27" t="s">
        <v>73</v>
      </c>
      <c r="S3" s="27" t="s">
        <v>64</v>
      </c>
      <c r="T3" s="27" t="s">
        <v>65</v>
      </c>
      <c r="U3" s="27" t="s">
        <v>66</v>
      </c>
      <c r="V3" s="28" t="s">
        <v>67</v>
      </c>
    </row>
    <row r="4" spans="2:22" x14ac:dyDescent="0.25">
      <c r="B4" s="24">
        <v>92</v>
      </c>
      <c r="C4" s="21">
        <f>SUM(D4:V4)</f>
        <v>3413.625</v>
      </c>
      <c r="D4" s="21">
        <v>280.06</v>
      </c>
      <c r="E4" s="21"/>
      <c r="F4" s="21">
        <v>250.8</v>
      </c>
      <c r="G4" s="21">
        <v>136.30000000000001</v>
      </c>
      <c r="H4" s="21">
        <v>400</v>
      </c>
      <c r="I4" s="21">
        <v>171.38</v>
      </c>
      <c r="J4" s="21">
        <v>321.86</v>
      </c>
      <c r="K4" s="21"/>
      <c r="L4" s="21">
        <v>359.6</v>
      </c>
      <c r="M4" s="21">
        <v>148.5</v>
      </c>
      <c r="N4" s="21">
        <v>334.6</v>
      </c>
      <c r="O4" s="21">
        <v>354.9</v>
      </c>
      <c r="P4" s="21">
        <v>272.74</v>
      </c>
      <c r="Q4" s="21">
        <v>382.88499999999999</v>
      </c>
      <c r="R4" s="21"/>
      <c r="S4" s="21"/>
      <c r="T4" s="21"/>
      <c r="U4" s="21"/>
      <c r="V4" s="25"/>
    </row>
    <row r="5" spans="2:22" x14ac:dyDescent="0.25">
      <c r="B5" s="24">
        <v>123</v>
      </c>
      <c r="C5" s="21">
        <f>SUM(D5:V5)</f>
        <v>2558.62</v>
      </c>
      <c r="D5" s="21">
        <v>267.52</v>
      </c>
      <c r="E5" s="21"/>
      <c r="F5" s="21">
        <v>283.8</v>
      </c>
      <c r="G5" s="21">
        <v>329</v>
      </c>
      <c r="H5" s="21">
        <v>400</v>
      </c>
      <c r="I5" s="21">
        <v>292.60000000000002</v>
      </c>
      <c r="J5" s="21">
        <v>292.60000000000002</v>
      </c>
      <c r="K5" s="21"/>
      <c r="L5" s="21">
        <v>406</v>
      </c>
      <c r="M5" s="21">
        <v>128.69999999999999</v>
      </c>
      <c r="N5" s="21"/>
      <c r="O5" s="21"/>
      <c r="P5" s="21"/>
      <c r="Q5" s="21"/>
      <c r="R5" s="21">
        <v>158.4</v>
      </c>
      <c r="S5" s="21"/>
      <c r="T5" s="21"/>
      <c r="U5" s="21"/>
      <c r="V5" s="25"/>
    </row>
    <row r="6" spans="2:22" x14ac:dyDescent="0.25">
      <c r="B6" s="24">
        <v>151</v>
      </c>
      <c r="C6" s="21">
        <f>SUM(D6:V6)</f>
        <v>5335.4499999999989</v>
      </c>
      <c r="D6" s="21">
        <v>146.30000000000001</v>
      </c>
      <c r="E6" s="21">
        <v>155.1</v>
      </c>
      <c r="F6" s="21">
        <v>244.2</v>
      </c>
      <c r="G6" s="21">
        <v>756.7</v>
      </c>
      <c r="H6" s="21">
        <v>400</v>
      </c>
      <c r="I6" s="21"/>
      <c r="J6" s="21">
        <v>321.86</v>
      </c>
      <c r="K6" s="21">
        <v>541</v>
      </c>
      <c r="L6" s="21">
        <v>388.6</v>
      </c>
      <c r="M6" s="21">
        <v>237.6</v>
      </c>
      <c r="N6" s="21">
        <v>648.96</v>
      </c>
      <c r="O6" s="21">
        <v>385.32</v>
      </c>
      <c r="P6" s="21">
        <v>723.81</v>
      </c>
      <c r="Q6" s="21">
        <v>386</v>
      </c>
      <c r="R6" s="21"/>
      <c r="S6" s="21"/>
      <c r="T6" s="21"/>
      <c r="U6" s="21"/>
      <c r="V6" s="25"/>
    </row>
    <row r="7" spans="2:22" x14ac:dyDescent="0.25">
      <c r="B7" s="29" t="s">
        <v>0</v>
      </c>
      <c r="C7" s="30">
        <f>SUM(D7:V7)</f>
        <v>1898.58</v>
      </c>
      <c r="D7" s="30"/>
      <c r="E7" s="30"/>
      <c r="F7" s="30"/>
      <c r="G7" s="30"/>
      <c r="H7" s="30"/>
      <c r="I7" s="30">
        <v>267.52</v>
      </c>
      <c r="J7" s="30">
        <v>321.86</v>
      </c>
      <c r="K7" s="30"/>
      <c r="L7" s="30">
        <v>371.2</v>
      </c>
      <c r="M7" s="30"/>
      <c r="N7" s="30">
        <v>542.5</v>
      </c>
      <c r="O7" s="30">
        <v>395.5</v>
      </c>
      <c r="P7" s="30"/>
      <c r="Q7" s="30"/>
      <c r="R7" s="30"/>
      <c r="S7" s="30"/>
      <c r="T7" s="30"/>
      <c r="U7" s="30"/>
      <c r="V7" s="31"/>
    </row>
  </sheetData>
  <sortState ref="B4:V7">
    <sortCondition ref="B4"/>
  </sortState>
  <pageMargins left="0.7" right="0.7" top="0.75" bottom="0.75" header="0.3" footer="0.3"/>
  <legacy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E27"/>
  <sheetViews>
    <sheetView workbookViewId="0">
      <selection activeCell="H17" sqref="H17"/>
    </sheetView>
  </sheetViews>
  <sheetFormatPr baseColWidth="10" defaultRowHeight="15" x14ac:dyDescent="0.25"/>
  <cols>
    <col min="2" max="2" width="18.28515625" customWidth="1"/>
    <col min="5" max="5" width="43.85546875" customWidth="1"/>
  </cols>
  <sheetData>
    <row r="1" spans="2:5" ht="15.75" thickBot="1" x14ac:dyDescent="0.3"/>
    <row r="2" spans="2:5" ht="15.75" thickBot="1" x14ac:dyDescent="0.3">
      <c r="B2" s="1" t="s">
        <v>7</v>
      </c>
      <c r="C2" s="2" t="s">
        <v>8</v>
      </c>
      <c r="D2" s="1" t="s">
        <v>9</v>
      </c>
      <c r="E2" s="3" t="s">
        <v>10</v>
      </c>
    </row>
    <row r="3" spans="2:5" ht="15.75" thickBot="1" x14ac:dyDescent="0.3">
      <c r="B3" s="4" t="s">
        <v>11</v>
      </c>
      <c r="C3" s="5"/>
      <c r="D3" s="6">
        <v>6000</v>
      </c>
      <c r="E3" s="7" t="s">
        <v>12</v>
      </c>
    </row>
    <row r="4" spans="2:5" ht="15.75" thickBot="1" x14ac:dyDescent="0.3">
      <c r="B4" s="4" t="s">
        <v>13</v>
      </c>
      <c r="C4" s="8"/>
      <c r="D4" s="9">
        <v>2000</v>
      </c>
      <c r="E4" s="10"/>
    </row>
    <row r="5" spans="2:5" ht="15.75" thickBot="1" x14ac:dyDescent="0.3">
      <c r="B5" s="4" t="s">
        <v>14</v>
      </c>
      <c r="C5" s="8">
        <v>2000</v>
      </c>
      <c r="D5" s="9"/>
      <c r="E5" s="10"/>
    </row>
    <row r="6" spans="2:5" ht="15.75" thickBot="1" x14ac:dyDescent="0.3">
      <c r="B6" s="4" t="s">
        <v>15</v>
      </c>
      <c r="C6" s="8"/>
      <c r="D6" s="9">
        <v>1000</v>
      </c>
      <c r="E6" s="10" t="s">
        <v>16</v>
      </c>
    </row>
    <row r="7" spans="2:5" ht="15.75" thickBot="1" x14ac:dyDescent="0.3">
      <c r="B7" s="4" t="s">
        <v>17</v>
      </c>
      <c r="C7" s="8"/>
      <c r="D7" s="9">
        <v>1000</v>
      </c>
      <c r="E7" s="10"/>
    </row>
    <row r="8" spans="2:5" ht="15.75" thickBot="1" x14ac:dyDescent="0.3">
      <c r="B8" s="4" t="s">
        <v>18</v>
      </c>
      <c r="C8" s="8">
        <v>2000</v>
      </c>
      <c r="D8" s="9">
        <v>12000</v>
      </c>
      <c r="E8" s="10" t="s">
        <v>19</v>
      </c>
    </row>
    <row r="9" spans="2:5" ht="15.75" thickBot="1" x14ac:dyDescent="0.3">
      <c r="B9" s="4" t="s">
        <v>20</v>
      </c>
      <c r="C9" s="8"/>
      <c r="D9" s="9">
        <v>12000</v>
      </c>
      <c r="E9" s="10"/>
    </row>
    <row r="10" spans="2:5" ht="15.75" thickBot="1" x14ac:dyDescent="0.3">
      <c r="B10" s="4" t="s">
        <v>21</v>
      </c>
      <c r="C10" s="8"/>
      <c r="D10" s="9">
        <v>20000</v>
      </c>
      <c r="E10" s="10"/>
    </row>
    <row r="11" spans="2:5" ht="15.75" thickBot="1" x14ac:dyDescent="0.3">
      <c r="B11" s="4" t="s">
        <v>22</v>
      </c>
      <c r="C11" s="8"/>
      <c r="D11" s="9">
        <v>20000</v>
      </c>
      <c r="E11" s="10"/>
    </row>
    <row r="12" spans="2:5" ht="15.75" thickBot="1" x14ac:dyDescent="0.3">
      <c r="B12" s="4" t="s">
        <v>23</v>
      </c>
      <c r="C12" s="8">
        <v>2000</v>
      </c>
      <c r="D12" s="9">
        <v>2000</v>
      </c>
      <c r="E12" s="10" t="s">
        <v>24</v>
      </c>
    </row>
    <row r="13" spans="2:5" ht="15.75" thickBot="1" x14ac:dyDescent="0.3">
      <c r="B13" s="4" t="s">
        <v>25</v>
      </c>
      <c r="C13" s="8">
        <v>5000</v>
      </c>
      <c r="D13" s="9">
        <v>10000</v>
      </c>
      <c r="E13" s="10"/>
    </row>
    <row r="14" spans="2:5" ht="15.75" thickBot="1" x14ac:dyDescent="0.3">
      <c r="B14" s="4" t="s">
        <v>26</v>
      </c>
      <c r="C14" s="8">
        <v>10000</v>
      </c>
      <c r="D14" s="9"/>
      <c r="E14" s="10"/>
    </row>
    <row r="15" spans="2:5" ht="15.75" thickBot="1" x14ac:dyDescent="0.3">
      <c r="B15" s="11" t="s">
        <v>27</v>
      </c>
      <c r="C15" s="8">
        <v>600</v>
      </c>
      <c r="D15" s="9">
        <v>7000</v>
      </c>
      <c r="E15" s="10" t="s">
        <v>28</v>
      </c>
    </row>
    <row r="16" spans="2:5" ht="15.75" thickBot="1" x14ac:dyDescent="0.3">
      <c r="B16" s="11" t="s">
        <v>29</v>
      </c>
      <c r="C16" s="8">
        <v>2000</v>
      </c>
      <c r="D16" s="9"/>
      <c r="E16" s="10"/>
    </row>
    <row r="17" spans="2:5" ht="15.75" thickBot="1" x14ac:dyDescent="0.3">
      <c r="B17" s="11" t="s">
        <v>30</v>
      </c>
      <c r="C17" s="8">
        <v>5000</v>
      </c>
      <c r="D17" s="9"/>
      <c r="E17" s="10"/>
    </row>
    <row r="18" spans="2:5" ht="15.75" thickBot="1" x14ac:dyDescent="0.3">
      <c r="B18" s="11" t="s">
        <v>31</v>
      </c>
      <c r="C18" s="8">
        <v>5000</v>
      </c>
      <c r="D18" s="9"/>
      <c r="E18" s="10" t="s">
        <v>32</v>
      </c>
    </row>
    <row r="19" spans="2:5" ht="15.75" thickBot="1" x14ac:dyDescent="0.3">
      <c r="B19" s="11" t="s">
        <v>33</v>
      </c>
      <c r="C19" s="8">
        <v>10000</v>
      </c>
      <c r="D19" s="9">
        <v>10000</v>
      </c>
      <c r="E19" s="10"/>
    </row>
    <row r="20" spans="2:5" ht="15.75" thickBot="1" x14ac:dyDescent="0.3">
      <c r="B20" s="11" t="s">
        <v>34</v>
      </c>
      <c r="C20" s="8">
        <v>12000</v>
      </c>
      <c r="D20" s="9"/>
      <c r="E20" s="10"/>
    </row>
    <row r="21" spans="2:5" ht="15.75" thickBot="1" x14ac:dyDescent="0.3">
      <c r="B21" s="11" t="s">
        <v>35</v>
      </c>
      <c r="C21" s="8">
        <v>600</v>
      </c>
      <c r="D21" s="9">
        <v>2500</v>
      </c>
      <c r="E21" s="10" t="s">
        <v>36</v>
      </c>
    </row>
    <row r="22" spans="2:5" ht="15.75" thickBot="1" x14ac:dyDescent="0.3">
      <c r="B22" s="11" t="s">
        <v>37</v>
      </c>
      <c r="C22" s="8"/>
      <c r="D22" s="9">
        <v>2000</v>
      </c>
      <c r="E22" s="10"/>
    </row>
    <row r="23" spans="2:5" ht="15.75" thickBot="1" x14ac:dyDescent="0.3">
      <c r="B23" s="11" t="s">
        <v>38</v>
      </c>
      <c r="C23" s="8"/>
      <c r="D23" s="9">
        <v>2700</v>
      </c>
      <c r="E23" s="10"/>
    </row>
    <row r="24" spans="2:5" ht="15.75" thickBot="1" x14ac:dyDescent="0.3">
      <c r="B24" s="12" t="s">
        <v>39</v>
      </c>
      <c r="C24" s="13"/>
      <c r="D24" s="14">
        <v>4000</v>
      </c>
      <c r="E24" s="15" t="s">
        <v>40</v>
      </c>
    </row>
    <row r="25" spans="2:5" ht="15.75" thickBot="1" x14ac:dyDescent="0.3">
      <c r="B25" s="16" t="s">
        <v>53</v>
      </c>
      <c r="C25" s="17"/>
      <c r="D25" s="18">
        <v>5500</v>
      </c>
      <c r="E25" s="19"/>
    </row>
    <row r="26" spans="2:5" ht="15.75" thickBot="1" x14ac:dyDescent="0.3"/>
    <row r="27" spans="2:5" ht="15.75" thickBot="1" x14ac:dyDescent="0.3">
      <c r="D27" s="20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20"/>
  <sheetViews>
    <sheetView tabSelected="1" zoomScale="75" zoomScaleNormal="75" workbookViewId="0">
      <selection activeCell="C8" sqref="C8"/>
    </sheetView>
  </sheetViews>
  <sheetFormatPr baseColWidth="10" defaultRowHeight="15" x14ac:dyDescent="0.25"/>
  <cols>
    <col min="2" max="2" width="17.28515625" customWidth="1"/>
    <col min="3" max="3" width="9.28515625" customWidth="1"/>
    <col min="4" max="4" width="9.42578125" customWidth="1"/>
    <col min="5" max="6" width="9.140625" customWidth="1"/>
    <col min="7" max="7" width="10.85546875" customWidth="1"/>
    <col min="8" max="9" width="9.42578125" customWidth="1"/>
    <col min="10" max="10" width="8" customWidth="1"/>
    <col min="11" max="11" width="9.140625" customWidth="1"/>
    <col min="12" max="12" width="8" customWidth="1"/>
    <col min="13" max="13" width="9.140625" customWidth="1"/>
    <col min="14" max="14" width="11.28515625" customWidth="1"/>
    <col min="15" max="15" width="9.85546875" customWidth="1"/>
    <col min="16" max="16" width="9.28515625" customWidth="1"/>
    <col min="17" max="17" width="8.28515625" customWidth="1"/>
    <col min="18" max="18" width="9.140625" customWidth="1"/>
    <col min="19" max="19" width="13.85546875" bestFit="1" customWidth="1"/>
    <col min="20" max="20" width="12.42578125" bestFit="1" customWidth="1"/>
    <col min="21" max="21" width="7.7109375" customWidth="1"/>
    <col min="22" max="22" width="6.28515625" customWidth="1"/>
  </cols>
  <sheetData>
    <row r="3" spans="1:22" x14ac:dyDescent="0.25">
      <c r="B3" s="21"/>
      <c r="C3" s="21" t="s">
        <v>6</v>
      </c>
      <c r="D3" s="21" t="s">
        <v>5</v>
      </c>
      <c r="E3" s="21" t="s">
        <v>1</v>
      </c>
      <c r="F3" s="21" t="s">
        <v>1</v>
      </c>
      <c r="G3" s="21" t="s">
        <v>4</v>
      </c>
      <c r="H3" s="21" t="s">
        <v>2</v>
      </c>
      <c r="I3" s="21" t="s">
        <v>5</v>
      </c>
      <c r="J3" s="21" t="s">
        <v>3</v>
      </c>
      <c r="K3" s="21" t="s">
        <v>1</v>
      </c>
      <c r="L3" s="21" t="s">
        <v>57</v>
      </c>
      <c r="M3" s="21" t="s">
        <v>1</v>
      </c>
      <c r="N3" s="21" t="s">
        <v>58</v>
      </c>
      <c r="O3" s="21" t="s">
        <v>59</v>
      </c>
      <c r="P3" s="21" t="s">
        <v>60</v>
      </c>
      <c r="Q3" s="21" t="s">
        <v>63</v>
      </c>
      <c r="R3" s="21" t="s">
        <v>1</v>
      </c>
      <c r="S3" s="21" t="s">
        <v>64</v>
      </c>
      <c r="T3" s="21" t="s">
        <v>65</v>
      </c>
      <c r="U3" s="21" t="s">
        <v>66</v>
      </c>
      <c r="V3" s="21" t="s">
        <v>67</v>
      </c>
    </row>
    <row r="4" spans="1:22" x14ac:dyDescent="0.25">
      <c r="B4" s="21">
        <v>92</v>
      </c>
      <c r="C4" s="21">
        <f>SUM(D4:V4)</f>
        <v>3413.625</v>
      </c>
      <c r="D4" s="21">
        <f>Tableau1[[#This Row],[Le Mans T]]</f>
        <v>280.06</v>
      </c>
      <c r="E4" s="21">
        <f>Tableau1[[#This Row],[Chambley]]</f>
        <v>0</v>
      </c>
      <c r="F4" s="21">
        <f>Tableau1[[#This Row],[Chambley2]]</f>
        <v>250.8</v>
      </c>
      <c r="G4" s="21">
        <f>Tableau1[[#This Row],[Barcelona T]]</f>
        <v>136.30000000000001</v>
      </c>
      <c r="H4" s="21">
        <f>Tableau1[[#This Row],[Barcelona]]</f>
        <v>400</v>
      </c>
      <c r="I4" s="21">
        <f>Tableau1[[#This Row],[Le Mans T3]]</f>
        <v>171.38</v>
      </c>
      <c r="J4" s="21">
        <f>Tableau1[[#This Row],[Le Mans]]</f>
        <v>321.86</v>
      </c>
      <c r="K4" s="21">
        <f>Tableau1[[#This Row],[Chambley4]]</f>
        <v>0</v>
      </c>
      <c r="L4" s="21">
        <f>Tableau1[[#This Row],[P.Ricard]]</f>
        <v>359.6</v>
      </c>
      <c r="M4" s="21">
        <f>Tableau1[[#This Row],[Chambley5]]</f>
        <v>148.5</v>
      </c>
      <c r="N4" s="21">
        <f>Tableau1[[#This Row],[Motorland T]]</f>
        <v>334.6</v>
      </c>
      <c r="O4" s="21">
        <f>Tableau1[[#This Row],[Motorland]]</f>
        <v>354.9</v>
      </c>
      <c r="P4" s="21">
        <f>Tableau1[[#This Row],[Mugello T]]</f>
        <v>272.74</v>
      </c>
      <c r="Q4" s="21">
        <f>Tableau1[[#This Row],[Mugello]]</f>
        <v>382.88499999999999</v>
      </c>
      <c r="R4" s="21">
        <f>Tableau1[[#This Row],[Chambley6]]</f>
        <v>0</v>
      </c>
      <c r="S4" s="21">
        <f>Tableau1[[#This Row],[Magny-Cours T ]]</f>
        <v>0</v>
      </c>
      <c r="T4" s="21">
        <f>Tableau1[[#This Row],[Magny-Cours ]]</f>
        <v>0</v>
      </c>
      <c r="U4" s="21">
        <f>Tableau1[[#This Row],[Estoril T]]</f>
        <v>0</v>
      </c>
      <c r="V4" s="21">
        <f>Tableau1[[#This Row],[Estoril]]</f>
        <v>0</v>
      </c>
    </row>
    <row r="7" spans="1:22" x14ac:dyDescent="0.25">
      <c r="A7">
        <v>1853.23</v>
      </c>
      <c r="B7" s="21" t="s">
        <v>42</v>
      </c>
      <c r="C7" s="21">
        <f>SUM(L4:V4)</f>
        <v>1853.2249999999999</v>
      </c>
      <c r="D7" s="21"/>
      <c r="E7" s="21"/>
      <c r="F7" s="21"/>
      <c r="G7" s="21"/>
      <c r="H7" s="21"/>
      <c r="I7" s="21"/>
      <c r="J7" s="21"/>
      <c r="K7" s="23" t="s">
        <v>74</v>
      </c>
      <c r="L7" s="23" t="s">
        <v>74</v>
      </c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2" x14ac:dyDescent="0.25">
      <c r="B8" s="21" t="s">
        <v>43</v>
      </c>
      <c r="C8" s="21">
        <f>1197.6+P4+Q4</f>
        <v>1853.2249999999999</v>
      </c>
      <c r="D8" s="21"/>
      <c r="E8" s="21"/>
      <c r="F8" s="21"/>
      <c r="G8" s="21"/>
      <c r="H8" s="21"/>
      <c r="I8" s="21"/>
      <c r="J8" s="21"/>
      <c r="K8" s="23" t="s">
        <v>74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2" x14ac:dyDescent="0.25">
      <c r="B9" s="21" t="s">
        <v>44</v>
      </c>
      <c r="C9" s="21">
        <f>1197.6+P4+Q4</f>
        <v>1853.2249999999999</v>
      </c>
      <c r="D9" s="21"/>
      <c r="E9" s="21"/>
      <c r="F9" s="21"/>
      <c r="G9" s="21"/>
      <c r="H9" s="21"/>
      <c r="I9" s="21"/>
      <c r="J9" s="21"/>
      <c r="K9" s="23" t="s">
        <v>74</v>
      </c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2" x14ac:dyDescent="0.25">
      <c r="B10" s="21" t="s">
        <v>45</v>
      </c>
      <c r="C10" s="21">
        <f>2758+P4+Q4</f>
        <v>3413.625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2" x14ac:dyDescent="0.25">
      <c r="B11" s="21" t="s">
        <v>46</v>
      </c>
      <c r="C11" s="21">
        <f>2090.8+P4+Q4</f>
        <v>2746.4250000000002</v>
      </c>
      <c r="D11" s="21"/>
      <c r="E11" s="21"/>
      <c r="F11" s="21"/>
      <c r="G11" s="21"/>
      <c r="H11" s="23" t="s">
        <v>74</v>
      </c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x14ac:dyDescent="0.25">
      <c r="B12" s="21" t="s">
        <v>47</v>
      </c>
      <c r="C12" s="21">
        <f>2758+$P$4+Q4</f>
        <v>3413.625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2" x14ac:dyDescent="0.25">
      <c r="B13" s="21" t="s">
        <v>48</v>
      </c>
      <c r="C13" s="21">
        <f>2758+$P$4+Q4</f>
        <v>3413.625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2" x14ac:dyDescent="0.25">
      <c r="B14" s="21" t="s">
        <v>49</v>
      </c>
      <c r="C14" s="21">
        <f>2758+$P$4+Q4</f>
        <v>3413.625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2" x14ac:dyDescent="0.25">
      <c r="B15" s="21" t="s">
        <v>50</v>
      </c>
      <c r="C15" s="21">
        <f>2758+$P$4+Q4</f>
        <v>3413.625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2" x14ac:dyDescent="0.25">
      <c r="B16" s="21" t="s">
        <v>51</v>
      </c>
      <c r="C16" s="21">
        <f>2758+$P$4+Q4</f>
        <v>3413.625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2:22" x14ac:dyDescent="0.25">
      <c r="B17" s="21" t="s">
        <v>52</v>
      </c>
      <c r="C17" s="21">
        <f>2758+$P$4+Q4</f>
        <v>3413.625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2:22" x14ac:dyDescent="0.25">
      <c r="B18" s="21" t="s">
        <v>54</v>
      </c>
      <c r="C18" s="21">
        <f>2227.1+P4+Q4</f>
        <v>2882.7250000000004</v>
      </c>
      <c r="D18" s="21"/>
      <c r="E18" s="21"/>
      <c r="F18" s="21"/>
      <c r="G18" s="23" t="s">
        <v>74</v>
      </c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2:22" x14ac:dyDescent="0.25">
      <c r="B19" s="23" t="s">
        <v>55</v>
      </c>
      <c r="C19" s="21">
        <f>2227.1+P4+Q4</f>
        <v>2882.7250000000004</v>
      </c>
      <c r="D19" s="21"/>
      <c r="E19" s="21"/>
      <c r="F19" s="21"/>
      <c r="G19" s="23" t="s">
        <v>74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2:22" x14ac:dyDescent="0.25">
      <c r="B20" s="23" t="s">
        <v>56</v>
      </c>
      <c r="C20" s="21">
        <f>1690.8+P4+Q4</f>
        <v>2346.4250000000002</v>
      </c>
      <c r="D20" s="21"/>
      <c r="E20" s="21"/>
      <c r="F20" s="21"/>
      <c r="G20" s="21"/>
      <c r="H20" s="21"/>
      <c r="I20" s="23" t="s">
        <v>74</v>
      </c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</sheetData>
  <conditionalFormatting sqref="D7:V20">
    <cfRule type="containsText" dxfId="2" priority="3" operator="containsText" text="new">
      <formula>NOT(ISERROR(SEARCH("new",D7)))</formula>
    </cfRule>
    <cfRule type="notContainsText" dxfId="1" priority="1" operator="notContains" text="new">
      <formula>ISERROR(SEARCH("new",D7))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20"/>
  <sheetViews>
    <sheetView zoomScale="75" zoomScaleNormal="75" workbookViewId="0">
      <selection activeCell="F4" sqref="F4"/>
    </sheetView>
  </sheetViews>
  <sheetFormatPr baseColWidth="10" defaultRowHeight="15" x14ac:dyDescent="0.25"/>
  <cols>
    <col min="2" max="2" width="17.28515625" customWidth="1"/>
    <col min="3" max="3" width="8.28515625" customWidth="1"/>
    <col min="4" max="4" width="9.42578125" customWidth="1"/>
    <col min="5" max="6" width="9.140625" customWidth="1"/>
    <col min="7" max="7" width="10.85546875" customWidth="1"/>
    <col min="8" max="9" width="9.42578125" customWidth="1"/>
    <col min="10" max="10" width="8" customWidth="1"/>
    <col min="11" max="11" width="9.140625" customWidth="1"/>
    <col min="12" max="12" width="8" customWidth="1"/>
    <col min="13" max="13" width="9.140625" customWidth="1"/>
    <col min="14" max="14" width="11.28515625" customWidth="1"/>
    <col min="15" max="15" width="10.28515625" customWidth="1"/>
    <col min="16" max="16" width="9.28515625" customWidth="1"/>
    <col min="17" max="17" width="7.7109375" customWidth="1"/>
    <col min="18" max="18" width="9.140625" customWidth="1"/>
    <col min="19" max="19" width="13.85546875" bestFit="1" customWidth="1"/>
    <col min="20" max="20" width="12.42578125" bestFit="1" customWidth="1"/>
    <col min="21" max="21" width="7.7109375" customWidth="1"/>
    <col min="22" max="22" width="6.28515625" customWidth="1"/>
  </cols>
  <sheetData>
    <row r="3" spans="2:22" x14ac:dyDescent="0.25">
      <c r="B3" s="21"/>
      <c r="C3" s="21" t="s">
        <v>6</v>
      </c>
      <c r="D3" s="21" t="s">
        <v>5</v>
      </c>
      <c r="E3" s="21" t="s">
        <v>1</v>
      </c>
      <c r="F3" s="21" t="s">
        <v>1</v>
      </c>
      <c r="G3" s="21" t="s">
        <v>4</v>
      </c>
      <c r="H3" s="21" t="s">
        <v>2</v>
      </c>
      <c r="I3" s="21" t="s">
        <v>5</v>
      </c>
      <c r="J3" s="21" t="s">
        <v>3</v>
      </c>
      <c r="K3" s="21" t="s">
        <v>1</v>
      </c>
      <c r="L3" s="21" t="s">
        <v>57</v>
      </c>
      <c r="M3" s="21" t="s">
        <v>1</v>
      </c>
      <c r="N3" s="21" t="s">
        <v>58</v>
      </c>
      <c r="O3" s="21" t="s">
        <v>61</v>
      </c>
      <c r="P3" s="21" t="s">
        <v>60</v>
      </c>
      <c r="Q3" s="21" t="s">
        <v>62</v>
      </c>
      <c r="R3" s="21" t="s">
        <v>1</v>
      </c>
      <c r="S3" s="21" t="s">
        <v>64</v>
      </c>
      <c r="T3" s="21" t="s">
        <v>65</v>
      </c>
      <c r="U3" s="21" t="s">
        <v>66</v>
      </c>
      <c r="V3" s="21" t="s">
        <v>67</v>
      </c>
    </row>
    <row r="4" spans="2:22" x14ac:dyDescent="0.25">
      <c r="B4" s="21">
        <v>123</v>
      </c>
      <c r="C4" s="21">
        <f>SUM(D4:V4)</f>
        <v>2558.62</v>
      </c>
      <c r="D4" s="21">
        <f>'Mileage total'!D5</f>
        <v>267.52</v>
      </c>
      <c r="E4" s="21">
        <f>'Mileage total'!E5</f>
        <v>0</v>
      </c>
      <c r="F4" s="21">
        <f>'Mileage total'!F5</f>
        <v>283.8</v>
      </c>
      <c r="G4" s="21">
        <f>'Mileage total'!G5</f>
        <v>329</v>
      </c>
      <c r="H4" s="21">
        <f>'Mileage total'!H5</f>
        <v>400</v>
      </c>
      <c r="I4" s="21">
        <f>'Mileage total'!I5</f>
        <v>292.60000000000002</v>
      </c>
      <c r="J4" s="21">
        <f>'Mileage total'!J5</f>
        <v>292.60000000000002</v>
      </c>
      <c r="K4" s="21">
        <f>'Mileage total'!K5</f>
        <v>0</v>
      </c>
      <c r="L4" s="21">
        <f>'Mileage total'!L5</f>
        <v>406</v>
      </c>
      <c r="M4" s="21">
        <f>'Mileage total'!M5</f>
        <v>128.69999999999999</v>
      </c>
      <c r="N4" s="21">
        <f>'Mileage total'!N5</f>
        <v>0</v>
      </c>
      <c r="O4" s="21">
        <f>'Mileage total'!O5</f>
        <v>0</v>
      </c>
      <c r="P4" s="21">
        <f>'Mileage total'!P5</f>
        <v>0</v>
      </c>
      <c r="Q4" s="21">
        <f>'Mileage total'!Q5</f>
        <v>0</v>
      </c>
      <c r="R4" s="21">
        <f>'Mileage total'!R5</f>
        <v>158.4</v>
      </c>
      <c r="S4" s="21">
        <f>'Mileage total'!S5</f>
        <v>0</v>
      </c>
      <c r="T4" s="21">
        <f>'Mileage total'!T5</f>
        <v>0</v>
      </c>
      <c r="U4" s="21">
        <f>'Mileage total'!U5</f>
        <v>0</v>
      </c>
      <c r="V4" s="21">
        <f>'Mileage total'!V5</f>
        <v>0</v>
      </c>
    </row>
    <row r="7" spans="2:22" x14ac:dyDescent="0.25">
      <c r="B7" s="21" t="s">
        <v>42</v>
      </c>
      <c r="C7" s="21">
        <f>534.7+R4</f>
        <v>693.1</v>
      </c>
      <c r="D7" s="21"/>
      <c r="E7" s="21"/>
      <c r="F7" s="21"/>
      <c r="G7" s="21"/>
      <c r="H7" s="21"/>
      <c r="I7" s="21"/>
      <c r="J7" s="21"/>
      <c r="K7" s="22" t="s">
        <v>74</v>
      </c>
      <c r="L7" s="22" t="s">
        <v>74</v>
      </c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2:22" x14ac:dyDescent="0.25">
      <c r="B8" s="21" t="s">
        <v>43</v>
      </c>
      <c r="C8" s="21">
        <f>534.7+R4</f>
        <v>693.1</v>
      </c>
      <c r="D8" s="21"/>
      <c r="E8" s="21"/>
      <c r="F8" s="21"/>
      <c r="G8" s="21"/>
      <c r="H8" s="21"/>
      <c r="I8" s="21"/>
      <c r="J8" s="21"/>
      <c r="K8" s="22" t="s">
        <v>74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2:22" x14ac:dyDescent="0.25">
      <c r="B9" s="21" t="s">
        <v>44</v>
      </c>
      <c r="C9" s="21">
        <f>2400.22+$R$4</f>
        <v>2558.62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2:22" x14ac:dyDescent="0.25">
      <c r="B10" s="21" t="s">
        <v>45</v>
      </c>
      <c r="C10" s="21">
        <f t="shared" ref="C10:C17" si="0">2400.22+$R$4</f>
        <v>2558.62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2:22" x14ac:dyDescent="0.25">
      <c r="B11" s="21" t="s">
        <v>46</v>
      </c>
      <c r="C11" s="21">
        <f t="shared" si="0"/>
        <v>2558.62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2:22" x14ac:dyDescent="0.25">
      <c r="B12" s="21" t="s">
        <v>47</v>
      </c>
      <c r="C12" s="21">
        <f t="shared" si="0"/>
        <v>2558.62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2:22" x14ac:dyDescent="0.25">
      <c r="B13" s="21" t="s">
        <v>48</v>
      </c>
      <c r="C13" s="21">
        <f t="shared" si="0"/>
        <v>2558.62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2:22" x14ac:dyDescent="0.25">
      <c r="B14" s="21" t="s">
        <v>49</v>
      </c>
      <c r="C14" s="21">
        <f t="shared" si="0"/>
        <v>2558.62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2:22" x14ac:dyDescent="0.25">
      <c r="B15" s="21" t="s">
        <v>50</v>
      </c>
      <c r="C15" s="21">
        <f t="shared" si="0"/>
        <v>2558.62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2:22" x14ac:dyDescent="0.25">
      <c r="B16" s="21" t="s">
        <v>51</v>
      </c>
      <c r="C16" s="21">
        <f t="shared" si="0"/>
        <v>2558.62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2:22" x14ac:dyDescent="0.25">
      <c r="B17" s="21" t="s">
        <v>52</v>
      </c>
      <c r="C17" s="21">
        <f t="shared" si="0"/>
        <v>2558.62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2:22" x14ac:dyDescent="0.25">
      <c r="B18" s="21" t="s">
        <v>54</v>
      </c>
      <c r="C18" s="21">
        <f>1848.9+$R$4</f>
        <v>2007.3000000000002</v>
      </c>
      <c r="D18" s="21"/>
      <c r="E18" s="21"/>
      <c r="F18" s="21"/>
      <c r="G18" s="22" t="s">
        <v>74</v>
      </c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2:22" x14ac:dyDescent="0.25">
      <c r="B19" s="23" t="s">
        <v>55</v>
      </c>
      <c r="C19" s="21">
        <f t="shared" ref="C19:C20" si="1">1848.9+$R$4</f>
        <v>2007.3000000000002</v>
      </c>
      <c r="D19" s="21"/>
      <c r="E19" s="21"/>
      <c r="F19" s="21"/>
      <c r="G19" s="22" t="s">
        <v>74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2:22" x14ac:dyDescent="0.25">
      <c r="B20" s="23" t="s">
        <v>56</v>
      </c>
      <c r="C20" s="21">
        <f t="shared" si="1"/>
        <v>2007.3000000000002</v>
      </c>
      <c r="D20" s="21"/>
      <c r="E20" s="21"/>
      <c r="F20" s="21"/>
      <c r="G20" s="22" t="s">
        <v>74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</sheetData>
  <conditionalFormatting sqref="D7:V20">
    <cfRule type="containsText" dxfId="10" priority="1" operator="containsText" text="new">
      <formula>NOT(ISERROR(SEARCH("new",D7)))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V20"/>
  <sheetViews>
    <sheetView zoomScale="75" zoomScaleNormal="75" workbookViewId="0">
      <selection activeCell="J31" sqref="J31"/>
    </sheetView>
  </sheetViews>
  <sheetFormatPr baseColWidth="10" defaultRowHeight="15" x14ac:dyDescent="0.25"/>
  <cols>
    <col min="2" max="2" width="17.28515625" customWidth="1"/>
    <col min="3" max="3" width="8.28515625" customWidth="1"/>
    <col min="4" max="4" width="9.42578125" customWidth="1"/>
    <col min="5" max="6" width="9.140625" customWidth="1"/>
    <col min="7" max="7" width="10.85546875" customWidth="1"/>
    <col min="8" max="9" width="9.42578125" customWidth="1"/>
    <col min="10" max="10" width="8" customWidth="1"/>
    <col min="11" max="11" width="9.140625" customWidth="1"/>
    <col min="12" max="12" width="8" customWidth="1"/>
    <col min="13" max="13" width="9.140625" customWidth="1"/>
    <col min="14" max="14" width="11.28515625" customWidth="1"/>
    <col min="15" max="15" width="9.85546875" customWidth="1"/>
    <col min="16" max="16" width="9.28515625" customWidth="1"/>
    <col min="17" max="17" width="7.7109375" customWidth="1"/>
    <col min="18" max="18" width="9.140625" customWidth="1"/>
    <col min="19" max="19" width="13.85546875" bestFit="1" customWidth="1"/>
    <col min="20" max="20" width="12.42578125" bestFit="1" customWidth="1"/>
    <col min="21" max="21" width="7.7109375" customWidth="1"/>
    <col min="22" max="22" width="6.28515625" customWidth="1"/>
  </cols>
  <sheetData>
    <row r="3" spans="2:22" x14ac:dyDescent="0.25">
      <c r="B3" s="21"/>
      <c r="C3" s="21" t="s">
        <v>6</v>
      </c>
      <c r="D3" s="21" t="s">
        <v>5</v>
      </c>
      <c r="E3" s="21" t="s">
        <v>1</v>
      </c>
      <c r="F3" s="21" t="s">
        <v>1</v>
      </c>
      <c r="G3" s="21" t="s">
        <v>4</v>
      </c>
      <c r="H3" s="21" t="s">
        <v>2</v>
      </c>
      <c r="I3" s="21" t="s">
        <v>5</v>
      </c>
      <c r="J3" s="21" t="s">
        <v>3</v>
      </c>
      <c r="K3" s="21" t="s">
        <v>1</v>
      </c>
      <c r="L3" s="21" t="s">
        <v>57</v>
      </c>
      <c r="M3" s="21" t="s">
        <v>1</v>
      </c>
      <c r="N3" s="21" t="s">
        <v>58</v>
      </c>
      <c r="O3" s="21" t="s">
        <v>59</v>
      </c>
      <c r="P3" s="21" t="s">
        <v>60</v>
      </c>
      <c r="Q3" s="21" t="s">
        <v>62</v>
      </c>
      <c r="R3" s="21" t="s">
        <v>1</v>
      </c>
      <c r="S3" s="21" t="s">
        <v>64</v>
      </c>
      <c r="T3" s="21" t="s">
        <v>65</v>
      </c>
      <c r="U3" s="21" t="s">
        <v>66</v>
      </c>
      <c r="V3" s="21" t="s">
        <v>67</v>
      </c>
    </row>
    <row r="4" spans="2:22" x14ac:dyDescent="0.25">
      <c r="B4" s="21">
        <v>151</v>
      </c>
      <c r="C4" s="21">
        <f>SUM(D4:V4)</f>
        <v>5335.4499999999989</v>
      </c>
      <c r="D4" s="21">
        <f>'Mileage total'!D6</f>
        <v>146.30000000000001</v>
      </c>
      <c r="E4" s="21">
        <f>'Mileage total'!E6</f>
        <v>155.1</v>
      </c>
      <c r="F4" s="21">
        <f>'Mileage total'!F6</f>
        <v>244.2</v>
      </c>
      <c r="G4" s="21">
        <f>'Mileage total'!G6</f>
        <v>756.7</v>
      </c>
      <c r="H4" s="21">
        <f>'Mileage total'!H6</f>
        <v>400</v>
      </c>
      <c r="I4" s="21">
        <f>'Mileage total'!I6</f>
        <v>0</v>
      </c>
      <c r="J4" s="21">
        <f>'Mileage total'!J6</f>
        <v>321.86</v>
      </c>
      <c r="K4" s="21">
        <f>'Mileage total'!K6</f>
        <v>541</v>
      </c>
      <c r="L4" s="21">
        <f>'Mileage total'!L6</f>
        <v>388.6</v>
      </c>
      <c r="M4" s="21">
        <f>'Mileage total'!M6</f>
        <v>237.6</v>
      </c>
      <c r="N4" s="21">
        <f>'Mileage total'!N6</f>
        <v>648.96</v>
      </c>
      <c r="O4" s="21">
        <f>'Mileage total'!O6</f>
        <v>385.32</v>
      </c>
      <c r="P4" s="21">
        <f>'Mileage total'!P6</f>
        <v>723.81</v>
      </c>
      <c r="Q4" s="21">
        <f>'Mileage total'!Q6</f>
        <v>386</v>
      </c>
      <c r="R4" s="21">
        <f>'Mileage total'!R6</f>
        <v>0</v>
      </c>
      <c r="S4" s="21">
        <f>'Mileage total'!S6</f>
        <v>0</v>
      </c>
      <c r="T4" s="21">
        <f>'Mileage total'!T6</f>
        <v>0</v>
      </c>
      <c r="U4" s="21">
        <f>'Mileage total'!U6</f>
        <v>0</v>
      </c>
      <c r="V4" s="21">
        <f>'Mileage total'!V6</f>
        <v>0</v>
      </c>
    </row>
    <row r="7" spans="2:22" x14ac:dyDescent="0.25">
      <c r="B7" s="21" t="s">
        <v>42</v>
      </c>
      <c r="C7" s="21">
        <f>1660.5+P4+Q4</f>
        <v>2770.31</v>
      </c>
      <c r="D7" s="21"/>
      <c r="E7" s="21"/>
      <c r="F7" s="21"/>
      <c r="G7" s="21"/>
      <c r="H7" s="21"/>
      <c r="I7" s="21"/>
      <c r="J7" s="21"/>
      <c r="K7" s="22" t="s">
        <v>74</v>
      </c>
      <c r="L7" s="22" t="s">
        <v>74</v>
      </c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2:22" x14ac:dyDescent="0.25">
      <c r="B8" s="21" t="s">
        <v>43</v>
      </c>
      <c r="C8" s="21">
        <f>2201.5+P4+Q4</f>
        <v>3311.31</v>
      </c>
      <c r="D8" s="21"/>
      <c r="E8" s="21"/>
      <c r="F8" s="21"/>
      <c r="G8" s="21"/>
      <c r="H8" s="21"/>
      <c r="I8" s="21"/>
      <c r="J8" s="21"/>
      <c r="K8" s="22" t="s">
        <v>74</v>
      </c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2:22" x14ac:dyDescent="0.25">
      <c r="B9" s="21" t="s">
        <v>44</v>
      </c>
      <c r="C9" s="21">
        <f>4225.6+$P$4+Q4</f>
        <v>5335.41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2:22" x14ac:dyDescent="0.25">
      <c r="B10" s="21" t="s">
        <v>45</v>
      </c>
      <c r="C10" s="21">
        <f>4225.6+$P$4+Q4</f>
        <v>5335.41</v>
      </c>
      <c r="D10" s="21"/>
      <c r="E10" s="21"/>
      <c r="F10" s="21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2:22" x14ac:dyDescent="0.25">
      <c r="B11" s="21" t="s">
        <v>46</v>
      </c>
      <c r="C11" s="21">
        <f>4225.6+$P$4+Q4</f>
        <v>5335.41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2:22" x14ac:dyDescent="0.25">
      <c r="B12" s="21" t="s">
        <v>47</v>
      </c>
      <c r="C12" s="21">
        <f>2923.3+P4+Q4</f>
        <v>4033.11</v>
      </c>
      <c r="D12" s="21"/>
      <c r="E12" s="21"/>
      <c r="F12" s="21"/>
      <c r="G12" s="21"/>
      <c r="H12" s="22" t="s">
        <v>74</v>
      </c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2:22" x14ac:dyDescent="0.25">
      <c r="B13" s="21" t="s">
        <v>48</v>
      </c>
      <c r="C13" s="21">
        <f>4225.6+$P$4+Q4</f>
        <v>5335.41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2:22" x14ac:dyDescent="0.25">
      <c r="B14" s="21" t="s">
        <v>49</v>
      </c>
      <c r="C14" s="21">
        <f>4225.6+$P$4+Q4</f>
        <v>5335.41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2:22" x14ac:dyDescent="0.25">
      <c r="B15" s="21" t="s">
        <v>50</v>
      </c>
      <c r="C15" s="21">
        <f>4225.6+$P$4+Q4</f>
        <v>5335.41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2:22" x14ac:dyDescent="0.25">
      <c r="B16" s="21" t="s">
        <v>51</v>
      </c>
      <c r="C16" s="21">
        <f>4079.3+P4+Q4</f>
        <v>5189.1100000000006</v>
      </c>
      <c r="D16" s="21"/>
      <c r="E16" s="22" t="s">
        <v>74</v>
      </c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2:22" x14ac:dyDescent="0.25">
      <c r="B17" s="21" t="s">
        <v>52</v>
      </c>
      <c r="C17" s="21">
        <f>4225.6+P4+Q4</f>
        <v>5335.41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2:22" x14ac:dyDescent="0.25">
      <c r="B18" s="21" t="s">
        <v>54</v>
      </c>
      <c r="C18" s="21">
        <f>3680+P4+Q4</f>
        <v>4789.8099999999995</v>
      </c>
      <c r="D18" s="21"/>
      <c r="E18" s="21"/>
      <c r="F18" s="21"/>
      <c r="G18" s="22" t="s">
        <v>74</v>
      </c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2:22" x14ac:dyDescent="0.25">
      <c r="B19" s="23" t="s">
        <v>55</v>
      </c>
      <c r="C19" s="21">
        <f>3680+P4+Q4</f>
        <v>4789.8099999999995</v>
      </c>
      <c r="D19" s="21"/>
      <c r="E19" s="21"/>
      <c r="F19" s="21"/>
      <c r="G19" s="22" t="s">
        <v>74</v>
      </c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2:22" x14ac:dyDescent="0.25">
      <c r="B20" s="23" t="s">
        <v>56</v>
      </c>
      <c r="C20" s="21">
        <f>1660.4+P4+Q4</f>
        <v>2770.21</v>
      </c>
      <c r="D20" s="21"/>
      <c r="E20" s="21"/>
      <c r="F20" s="21"/>
      <c r="G20" s="22" t="s">
        <v>74</v>
      </c>
      <c r="H20" s="21"/>
      <c r="I20" s="21"/>
      <c r="J20" s="21"/>
      <c r="K20" s="21"/>
      <c r="L20" s="22" t="s">
        <v>74</v>
      </c>
      <c r="M20" s="21"/>
      <c r="N20" s="21"/>
      <c r="O20" s="21"/>
      <c r="P20" s="21"/>
      <c r="Q20" s="21"/>
      <c r="R20" s="21"/>
      <c r="S20" s="21"/>
      <c r="T20" s="21"/>
      <c r="U20" s="21"/>
      <c r="V20" s="21"/>
    </row>
  </sheetData>
  <conditionalFormatting sqref="D7:V20">
    <cfRule type="containsText" dxfId="9" priority="1" operator="containsText" text="new">
      <formula>NOT(ISERROR(SEARCH("new",D7)))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U20"/>
  <sheetViews>
    <sheetView zoomScale="75" zoomScaleNormal="75" workbookViewId="0">
      <selection activeCell="M14" sqref="M14"/>
    </sheetView>
  </sheetViews>
  <sheetFormatPr baseColWidth="10" defaultRowHeight="15" x14ac:dyDescent="0.25"/>
  <cols>
    <col min="2" max="2" width="17.28515625" customWidth="1"/>
    <col min="3" max="3" width="7.28515625" customWidth="1"/>
    <col min="4" max="4" width="9.42578125" customWidth="1"/>
    <col min="5" max="6" width="9.140625" customWidth="1"/>
    <col min="7" max="7" width="10.85546875" customWidth="1"/>
    <col min="8" max="9" width="9.42578125" customWidth="1"/>
    <col min="10" max="10" width="8" customWidth="1"/>
    <col min="11" max="11" width="9.140625" customWidth="1"/>
    <col min="12" max="12" width="8" customWidth="1"/>
    <col min="13" max="13" width="11.28515625" customWidth="1"/>
    <col min="14" max="14" width="9.85546875" customWidth="1"/>
    <col min="15" max="15" width="9.28515625" customWidth="1"/>
    <col min="16" max="16" width="7.7109375" customWidth="1"/>
    <col min="17" max="17" width="9.140625" customWidth="1"/>
    <col min="18" max="18" width="13.85546875" bestFit="1" customWidth="1"/>
    <col min="19" max="19" width="12.42578125" bestFit="1" customWidth="1"/>
    <col min="20" max="20" width="7.7109375" customWidth="1"/>
    <col min="21" max="21" width="6.28515625" customWidth="1"/>
  </cols>
  <sheetData>
    <row r="3" spans="2:21" x14ac:dyDescent="0.25">
      <c r="B3" s="21"/>
      <c r="C3" s="21" t="s">
        <v>6</v>
      </c>
      <c r="D3" s="21" t="s">
        <v>5</v>
      </c>
      <c r="E3" s="21" t="s">
        <v>1</v>
      </c>
      <c r="F3" s="21" t="s">
        <v>1</v>
      </c>
      <c r="G3" s="21" t="s">
        <v>4</v>
      </c>
      <c r="H3" s="21" t="s">
        <v>2</v>
      </c>
      <c r="I3" s="21" t="s">
        <v>5</v>
      </c>
      <c r="J3" s="21" t="s">
        <v>3</v>
      </c>
      <c r="K3" s="21" t="s">
        <v>1</v>
      </c>
      <c r="L3" s="21" t="s">
        <v>57</v>
      </c>
      <c r="M3" s="21" t="s">
        <v>58</v>
      </c>
      <c r="N3" s="21" t="s">
        <v>59</v>
      </c>
      <c r="O3" s="21" t="s">
        <v>60</v>
      </c>
      <c r="P3" s="21" t="s">
        <v>62</v>
      </c>
      <c r="Q3" s="21" t="s">
        <v>1</v>
      </c>
      <c r="R3" s="21" t="s">
        <v>64</v>
      </c>
      <c r="S3" s="21" t="s">
        <v>65</v>
      </c>
      <c r="T3" s="21" t="s">
        <v>66</v>
      </c>
      <c r="U3" s="21" t="s">
        <v>67</v>
      </c>
    </row>
    <row r="4" spans="2:21" x14ac:dyDescent="0.25">
      <c r="B4" s="21" t="s">
        <v>0</v>
      </c>
      <c r="C4" s="21">
        <f>SUM(D4:U4)</f>
        <v>1898.58</v>
      </c>
      <c r="D4" s="21">
        <f>'Mileage total'!D7</f>
        <v>0</v>
      </c>
      <c r="E4" s="21">
        <f>'Mileage total'!E7</f>
        <v>0</v>
      </c>
      <c r="F4" s="21">
        <f>'Mileage total'!F7</f>
        <v>0</v>
      </c>
      <c r="G4" s="21">
        <f>'Mileage total'!G7</f>
        <v>0</v>
      </c>
      <c r="H4" s="21">
        <f>'Mileage total'!H7</f>
        <v>0</v>
      </c>
      <c r="I4" s="21">
        <f>'Mileage total'!I7</f>
        <v>267.52</v>
      </c>
      <c r="J4" s="21">
        <f>'Mileage total'!J7</f>
        <v>321.86</v>
      </c>
      <c r="K4" s="21">
        <f>'Mileage total'!K7</f>
        <v>0</v>
      </c>
      <c r="L4" s="21">
        <f>'Mileage total'!L7</f>
        <v>371.2</v>
      </c>
      <c r="M4" s="21">
        <f>'Mileage total'!M7</f>
        <v>0</v>
      </c>
      <c r="N4" s="21">
        <f>'Mileage total'!N7</f>
        <v>542.5</v>
      </c>
      <c r="O4" s="21">
        <f>'Mileage total'!O7</f>
        <v>395.5</v>
      </c>
      <c r="P4" s="21">
        <f>'Mileage total'!P7</f>
        <v>0</v>
      </c>
      <c r="Q4" s="21">
        <f>'Mileage total'!Q7</f>
        <v>0</v>
      </c>
      <c r="R4" s="21">
        <f>'Mileage total'!R7</f>
        <v>0</v>
      </c>
      <c r="S4" s="21">
        <f>'Mileage total'!S7</f>
        <v>0</v>
      </c>
      <c r="T4" s="21">
        <f>'Mileage total'!T7</f>
        <v>0</v>
      </c>
      <c r="U4" s="21">
        <f>'Mileage total'!U7</f>
        <v>0</v>
      </c>
    </row>
    <row r="7" spans="2:21" x14ac:dyDescent="0.25">
      <c r="B7" s="21" t="s">
        <v>42</v>
      </c>
      <c r="C7" s="21">
        <v>1309.2</v>
      </c>
      <c r="D7" s="21"/>
      <c r="E7" s="21"/>
      <c r="F7" s="21"/>
      <c r="G7" s="21"/>
      <c r="H7" s="22" t="s">
        <v>74</v>
      </c>
      <c r="I7" s="21"/>
      <c r="J7" s="21"/>
      <c r="K7" s="22" t="s">
        <v>74</v>
      </c>
      <c r="L7" s="22" t="s">
        <v>74</v>
      </c>
      <c r="M7" s="21"/>
      <c r="N7" s="21"/>
      <c r="O7" s="21"/>
      <c r="P7" s="21"/>
      <c r="Q7" s="21"/>
      <c r="R7" s="21"/>
      <c r="S7" s="21"/>
      <c r="T7" s="21"/>
      <c r="U7" s="21"/>
    </row>
    <row r="8" spans="2:21" x14ac:dyDescent="0.25">
      <c r="B8" s="21" t="s">
        <v>43</v>
      </c>
      <c r="C8" s="21">
        <v>1309.2</v>
      </c>
      <c r="D8" s="21"/>
      <c r="E8" s="21"/>
      <c r="F8" s="21"/>
      <c r="G8" s="21"/>
      <c r="H8" s="21"/>
      <c r="I8" s="21"/>
      <c r="J8" s="21"/>
      <c r="K8" s="22" t="s">
        <v>74</v>
      </c>
      <c r="L8" s="21"/>
      <c r="M8" s="21"/>
      <c r="N8" s="21"/>
      <c r="O8" s="21"/>
      <c r="P8" s="21"/>
      <c r="Q8" s="21"/>
      <c r="R8" s="21"/>
      <c r="S8" s="21"/>
      <c r="T8" s="21"/>
      <c r="U8" s="21"/>
    </row>
    <row r="9" spans="2:21" x14ac:dyDescent="0.25">
      <c r="B9" s="21" t="s">
        <v>44</v>
      </c>
      <c r="C9" s="21">
        <v>960.58</v>
      </c>
      <c r="D9" s="21"/>
      <c r="E9" s="21"/>
      <c r="F9" s="21"/>
      <c r="G9" s="21"/>
      <c r="H9" s="21"/>
      <c r="I9" s="21"/>
      <c r="J9" s="21"/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</row>
    <row r="10" spans="2:21" x14ac:dyDescent="0.25">
      <c r="B10" s="21" t="s">
        <v>45</v>
      </c>
      <c r="C10" s="21">
        <v>1309.2</v>
      </c>
      <c r="D10" s="21"/>
      <c r="E10" s="21"/>
      <c r="F10" s="21"/>
      <c r="G10" s="21"/>
      <c r="H10" s="21"/>
      <c r="I10" s="21"/>
      <c r="J10" s="21"/>
      <c r="K10" s="22" t="s">
        <v>74</v>
      </c>
      <c r="L10" s="21"/>
      <c r="M10" s="21"/>
      <c r="N10" s="21"/>
      <c r="O10" s="21"/>
      <c r="P10" s="21"/>
      <c r="Q10" s="21"/>
      <c r="R10" s="21"/>
      <c r="S10" s="21"/>
      <c r="T10" s="21"/>
      <c r="U10" s="21"/>
    </row>
    <row r="11" spans="2:21" x14ac:dyDescent="0.25">
      <c r="B11" s="21" t="s">
        <v>46</v>
      </c>
      <c r="C11" s="21">
        <v>1898.6</v>
      </c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</row>
    <row r="12" spans="2:21" x14ac:dyDescent="0.25">
      <c r="B12" s="21" t="s">
        <v>47</v>
      </c>
      <c r="C12" s="21">
        <v>1898.6</v>
      </c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</row>
    <row r="13" spans="2:21" x14ac:dyDescent="0.25">
      <c r="B13" s="21" t="s">
        <v>48</v>
      </c>
      <c r="C13" s="21">
        <v>1898.6</v>
      </c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</row>
    <row r="14" spans="2:21" x14ac:dyDescent="0.25">
      <c r="B14" s="21" t="s">
        <v>49</v>
      </c>
      <c r="C14" s="21">
        <v>1898.6</v>
      </c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</row>
    <row r="15" spans="2:21" x14ac:dyDescent="0.25">
      <c r="B15" s="21" t="s">
        <v>50</v>
      </c>
      <c r="C15" s="21">
        <v>1898.6</v>
      </c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</row>
    <row r="16" spans="2:21" x14ac:dyDescent="0.25">
      <c r="B16" s="21" t="s">
        <v>51</v>
      </c>
      <c r="C16" s="21">
        <v>1898.6</v>
      </c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</row>
    <row r="17" spans="2:21" x14ac:dyDescent="0.25">
      <c r="B17" s="21" t="s">
        <v>52</v>
      </c>
      <c r="C17" s="21">
        <v>1898.6</v>
      </c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</row>
    <row r="18" spans="2:21" x14ac:dyDescent="0.25">
      <c r="B18" s="21" t="s">
        <v>54</v>
      </c>
      <c r="C18" s="21">
        <v>1898.6</v>
      </c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</row>
    <row r="19" spans="2:21" x14ac:dyDescent="0.25">
      <c r="B19" s="23" t="s">
        <v>55</v>
      </c>
      <c r="C19" s="21">
        <v>1898.6</v>
      </c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</row>
    <row r="20" spans="2:21" x14ac:dyDescent="0.25">
      <c r="B20" s="23" t="s">
        <v>56</v>
      </c>
      <c r="C20" s="21">
        <v>938</v>
      </c>
      <c r="D20" s="21"/>
      <c r="E20" s="21"/>
      <c r="F20" s="21"/>
      <c r="G20" s="21"/>
      <c r="H20" s="21"/>
      <c r="I20" s="21"/>
      <c r="J20" s="21"/>
      <c r="K20" s="21"/>
      <c r="L20" s="21"/>
      <c r="M20" s="22" t="s">
        <v>74</v>
      </c>
      <c r="N20" s="21"/>
      <c r="O20" s="21"/>
      <c r="P20" s="21"/>
      <c r="Q20" s="21"/>
      <c r="R20" s="21"/>
      <c r="S20" s="21"/>
      <c r="T20" s="21"/>
      <c r="U20" s="21"/>
    </row>
  </sheetData>
  <conditionalFormatting sqref="D7:U20">
    <cfRule type="containsText" dxfId="8" priority="1" operator="containsText" text="new">
      <formula>NOT(ISERROR(SEARCH("new",D7)))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Mileage total</vt:lpstr>
      <vt:lpstr>Maintenance</vt:lpstr>
      <vt:lpstr>92</vt:lpstr>
      <vt:lpstr>123</vt:lpstr>
      <vt:lpstr>151</vt:lpstr>
      <vt:lpstr>151C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</dc:creator>
  <cp:lastModifiedBy>gabriela golliardon</cp:lastModifiedBy>
  <dcterms:created xsi:type="dcterms:W3CDTF">2016-05-08T16:38:03Z</dcterms:created>
  <dcterms:modified xsi:type="dcterms:W3CDTF">2016-09-22T13:29:27Z</dcterms:modified>
</cp:coreProperties>
</file>