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mc:AlternateContent xmlns:mc="http://schemas.openxmlformats.org/markup-compatibility/2006">
    <mc:Choice Requires="x15">
      <x15ac:absPath xmlns:x15ac="http://schemas.microsoft.com/office/spreadsheetml/2010/11/ac" url="C:\Users\Christophe\Desktop\Boulot WE\E 78.16.07.0080 DOMUSVI ANDRESY\"/>
    </mc:Choice>
  </mc:AlternateContent>
  <bookViews>
    <workbookView xWindow="0" yWindow="0" windowWidth="23040" windowHeight="9105" activeTab="1"/>
  </bookViews>
  <sheets>
    <sheet name="PdG" sheetId="4" r:id="rId1"/>
    <sheet name="Lot_1_VRD" sheetId="21" r:id="rId2"/>
    <sheet name="BB_PRIX" sheetId="2" r:id="rId3"/>
    <sheet name="Mac" sheetId="35" r:id="rId4"/>
  </sheets>
  <definedNames>
    <definedName name="ACTUALISABLE">PdG!$K$14</definedName>
    <definedName name="ARRONDI_PU">PdG!$K$17</definedName>
    <definedName name="ARRONDI_QT">PdG!$K$18</definedName>
    <definedName name="Base_vie">BB_PRIX!$D$15:$D$19</definedName>
    <definedName name="Béton">BB_PRIX!$D$52:$D$58</definedName>
    <definedName name="Canalisations_enterrées">BB_PRIX!$D$47:$D$50</definedName>
    <definedName name="CE_0_INSTALLATION_DE_CHANTIER">BB_PRIX!$C$8:$C$19</definedName>
    <definedName name="CE_1_TERRASSEMENTS_VCT">BB_PRIX!$C$23:$C$36</definedName>
    <definedName name="CE_16_VRD">BB_PRIX!$B$59</definedName>
    <definedName name="CE_2_GROS_ŒUVRE">BB_PRIX!$C$40:$C$58</definedName>
    <definedName name="COEF_FOUR1_GO">BB_PRIX!$P$38</definedName>
    <definedName name="COEF_FOUR1_INSTALL">BB_PRIX!$P$6</definedName>
    <definedName name="COEF_FOUR1_TERR">BB_PRIX!$P$21</definedName>
    <definedName name="COEF_FOUR1_VRD">BB_PRIX!$P$60</definedName>
    <definedName name="COEF_FOUR2_GO">BB_PRIX!$S$38</definedName>
    <definedName name="COEF_FOUR2_INSTALL">BB_PRIX!$S$6</definedName>
    <definedName name="COEF_FOUR2_TERR">BB_PRIX!$S$21</definedName>
    <definedName name="COEF_FOUR2_VRD">BB_PRIX!$S$60</definedName>
    <definedName name="COEF_FOUR3_GO">BB_PRIX!$V$38</definedName>
    <definedName name="COEF_FOUR3_INSTALL">BB_PRIX!$V$6</definedName>
    <definedName name="COEF_FOUR3_TERR">BB_PRIX!$V$21</definedName>
    <definedName name="COEF_FOUR3_VRD">BB_PRIX!$V$60</definedName>
    <definedName name="COEF_FOURNITURE1">BB_PRIX!$P$3</definedName>
    <definedName name="COEF_FOURNITURE2">BB_PRIX!$S$3</definedName>
    <definedName name="COEF_FOURNITURE3">BB_PRIX!$V$3</definedName>
    <definedName name="COEF_MO">BB_PRIX!$M$3</definedName>
    <definedName name="COEF_MO_GO">BB_PRIX!$M$38</definedName>
    <definedName name="COEF_MO_INSTALL">BB_PRIX!$M$6</definedName>
    <definedName name="COEF_MO_TERR">BB_PRIX!$M$21</definedName>
    <definedName name="COEF_MO_VRD">BB_PRIX!$M$60</definedName>
    <definedName name="COEF_MTL_AMR">BB_PRIX!$AB$3</definedName>
    <definedName name="COEF_MTL_LOC">BB_PRIX!$Y$3</definedName>
    <definedName name="COEF_MTLAMR_GO">BB_PRIX!$AB$38</definedName>
    <definedName name="COEF_MTLAMR_INSTALL">BB_PRIX!$AB$6</definedName>
    <definedName name="COEF_MTLAMR_TERR">BB_PRIX!$AB$21</definedName>
    <definedName name="COEF_MTLAMR_VRD">BB_PRIX!$AB$60</definedName>
    <definedName name="COEF_MTLLOC_GO">BB_PRIX!$Y$38</definedName>
    <definedName name="COEF_MTLLOC_INSTALL">BB_PRIX!$Y$6</definedName>
    <definedName name="COEF_MTLLOC_TERR">BB_PRIX!$Y$21</definedName>
    <definedName name="COEF_MTLLOC_VRD">BB_PRIX!$Y$60</definedName>
    <definedName name="COEF_ST1">BB_PRIX!$AE$3</definedName>
    <definedName name="COEF_ST1_GO">BB_PRIX!$AE$38</definedName>
    <definedName name="COEF_ST1_INSTALL">BB_PRIX!$AE$6</definedName>
    <definedName name="COEF_ST1_TERR">BB_PRIX!$AE$21</definedName>
    <definedName name="COEF_ST1_VRD">BB_PRIX!$AE$60</definedName>
    <definedName name="COEF_ST2">BB_PRIX!$AH$3</definedName>
    <definedName name="COEF_ST2_GO">BB_PRIX!$AH$38</definedName>
    <definedName name="COEF_ST2_INSTALL">BB_PRIX!$AH$6</definedName>
    <definedName name="COEF_ST2_TERR">BB_PRIX!$AH$21</definedName>
    <definedName name="COEF_ST2_VRD">BB_PRIX!$AH$60</definedName>
    <definedName name="DATE">PdG!$K$10</definedName>
    <definedName name="DATE_VALEUR">PdG!$K$13</definedName>
    <definedName name="Décapage">BB_PRIX!$D$25:$D$29</definedName>
    <definedName name="Fouille_pleine_masse">BB_PRIX!$D$31:$D$36</definedName>
    <definedName name="Grue_à_tour">BB_PRIX!$D$10:$D$13</definedName>
    <definedName name="_xlnm.Print_Titles" localSheetId="1">Lot_1_VRD!$1:$6</definedName>
    <definedName name="INDICE_DQE">PdG!$K$9</definedName>
    <definedName name="Réseau_EP">BB_PRIX!$D$79:$D$86</definedName>
    <definedName name="Réseau_EU">BB_PRIX!$D$71:$D$77</definedName>
    <definedName name="REVISABLE">PdG!$K$15</definedName>
    <definedName name="Terrassements_complémentaires">BB_PRIX!$D$42:$D$45</definedName>
    <definedName name="TH_GO">BB_PRIX!$K$38</definedName>
    <definedName name="TH_INSTALL">BB_PRIX!$K$6</definedName>
    <definedName name="TH_TERR">BB_PRIX!$K$21</definedName>
    <definedName name="TH_VRD">BB_PRIX!$K$60</definedName>
    <definedName name="Travaux_préalables">BB_PRIX!$D$64:$D$69</definedName>
    <definedName name="TVA">PdG!$K$12</definedName>
    <definedName name="_xlnm.Print_Area" localSheetId="1">Lot_1_VRD!$E$7:$AS$264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5" i="21" l="1"/>
  <c r="BS15" i="21"/>
  <c r="BP15" i="21"/>
  <c r="BM15" i="21"/>
  <c r="BJ15" i="21"/>
  <c r="BG15" i="21"/>
  <c r="BD15" i="21"/>
  <c r="BA15" i="21"/>
  <c r="AY15" i="21"/>
  <c r="AX15" i="21"/>
  <c r="AU15" i="21" s="1"/>
  <c r="AV15" i="21"/>
  <c r="AE15" i="21"/>
  <c r="AC15" i="21"/>
  <c r="Q15" i="21" s="1"/>
  <c r="AB15" i="21"/>
  <c r="P15" i="21" s="1"/>
  <c r="AA15" i="21"/>
  <c r="Z15" i="21"/>
  <c r="Y15" i="21"/>
  <c r="X15" i="21"/>
  <c r="W15" i="21"/>
  <c r="V15" i="21"/>
  <c r="J15" i="21" s="1"/>
  <c r="U15" i="21"/>
  <c r="I15" i="21" s="1"/>
  <c r="T15" i="21"/>
  <c r="S15" i="21" s="1"/>
  <c r="O15" i="21"/>
  <c r="N15" i="21"/>
  <c r="M15" i="21"/>
  <c r="L15" i="21"/>
  <c r="K15" i="21"/>
  <c r="AR15" i="21" l="1"/>
  <c r="AS15" i="21" s="1"/>
  <c r="BV15" i="21"/>
  <c r="BW15" i="21" s="1"/>
  <c r="H15" i="21"/>
  <c r="AQ15" i="21" s="1"/>
  <c r="BS64" i="21"/>
  <c r="BP64" i="21"/>
  <c r="BM64" i="21"/>
  <c r="BJ64" i="21"/>
  <c r="BG64" i="21"/>
  <c r="BD64" i="21"/>
  <c r="BA64" i="21"/>
  <c r="BV64" i="21" s="1"/>
  <c r="AX64" i="21"/>
  <c r="AV64" i="21"/>
  <c r="AU64" i="21"/>
  <c r="AE64" i="21"/>
  <c r="AY64" i="21" s="1"/>
  <c r="AC64" i="21"/>
  <c r="AB64" i="21"/>
  <c r="AA64" i="21"/>
  <c r="Z64" i="21"/>
  <c r="Y64" i="21"/>
  <c r="X64" i="21"/>
  <c r="L64" i="21" s="1"/>
  <c r="W64" i="21"/>
  <c r="K64" i="21" s="1"/>
  <c r="V64" i="21"/>
  <c r="J64" i="21" s="1"/>
  <c r="U64" i="21"/>
  <c r="T64" i="21"/>
  <c r="S64" i="21" s="1"/>
  <c r="Q64" i="21"/>
  <c r="P64" i="21"/>
  <c r="O64" i="21"/>
  <c r="N64" i="21"/>
  <c r="M64" i="21"/>
  <c r="I64" i="21"/>
  <c r="H64" i="21"/>
  <c r="F64" i="21"/>
  <c r="BS12" i="21"/>
  <c r="BP12" i="21"/>
  <c r="BM12" i="21"/>
  <c r="BJ12" i="21"/>
  <c r="BG12" i="21"/>
  <c r="BD12" i="21"/>
  <c r="BA12" i="21"/>
  <c r="AX12" i="21"/>
  <c r="BV12" i="21" s="1"/>
  <c r="AV12" i="21"/>
  <c r="AU12" i="21"/>
  <c r="AE12" i="21"/>
  <c r="AY12" i="21" s="1"/>
  <c r="AC12" i="21"/>
  <c r="AB12" i="21"/>
  <c r="AA12" i="21"/>
  <c r="Z12" i="21"/>
  <c r="N12" i="21" s="1"/>
  <c r="Y12" i="21"/>
  <c r="M12" i="21" s="1"/>
  <c r="X12" i="21"/>
  <c r="L12" i="21" s="1"/>
  <c r="W12" i="21"/>
  <c r="V12" i="21"/>
  <c r="U12" i="21"/>
  <c r="T12" i="21"/>
  <c r="Q12" i="21"/>
  <c r="P12" i="21"/>
  <c r="O12" i="21"/>
  <c r="K12" i="21"/>
  <c r="J12" i="21"/>
  <c r="I12" i="21"/>
  <c r="H12" i="21"/>
  <c r="F11" i="35"/>
  <c r="AH67" i="2"/>
  <c r="AF67" i="2"/>
  <c r="AE67" i="2"/>
  <c r="AC67" i="2"/>
  <c r="AB67" i="2"/>
  <c r="Z67" i="2"/>
  <c r="Y67" i="2"/>
  <c r="W67" i="2"/>
  <c r="V67" i="2"/>
  <c r="T67" i="2"/>
  <c r="S67" i="2"/>
  <c r="Q67" i="2"/>
  <c r="P67" i="2"/>
  <c r="N67" i="2"/>
  <c r="L67" i="2"/>
  <c r="K67" i="2"/>
  <c r="AI67" i="2" s="1"/>
  <c r="I67" i="2"/>
  <c r="H67" i="2"/>
  <c r="L80" i="2"/>
  <c r="AH82" i="2"/>
  <c r="AE82" i="2"/>
  <c r="AB82" i="2"/>
  <c r="Z82" i="2"/>
  <c r="Y82" i="2"/>
  <c r="W82" i="2"/>
  <c r="V82" i="2"/>
  <c r="T82" i="2"/>
  <c r="S82" i="2"/>
  <c r="Q82" i="2"/>
  <c r="P82" i="2"/>
  <c r="L82" i="2"/>
  <c r="K82" i="2"/>
  <c r="AH81" i="2"/>
  <c r="AE81" i="2"/>
  <c r="AB81" i="2"/>
  <c r="Z81" i="2"/>
  <c r="Y81" i="2"/>
  <c r="W81" i="2"/>
  <c r="V81" i="2"/>
  <c r="T81" i="2"/>
  <c r="S81" i="2"/>
  <c r="Q81" i="2"/>
  <c r="P81" i="2"/>
  <c r="L81" i="2"/>
  <c r="K81" i="2"/>
  <c r="H81" i="2" s="1"/>
  <c r="AH80" i="2"/>
  <c r="AE80" i="2"/>
  <c r="AB80" i="2"/>
  <c r="Z80" i="2"/>
  <c r="Y80" i="2"/>
  <c r="W80" i="2"/>
  <c r="V80" i="2"/>
  <c r="T80" i="2"/>
  <c r="S80" i="2"/>
  <c r="Q80" i="2"/>
  <c r="P80" i="2"/>
  <c r="O53" i="2"/>
  <c r="P53" i="2" s="1"/>
  <c r="AH57" i="2"/>
  <c r="AE57" i="2"/>
  <c r="AB57" i="2"/>
  <c r="Z57" i="2"/>
  <c r="Y57" i="2"/>
  <c r="W57" i="2"/>
  <c r="V57" i="2"/>
  <c r="T57" i="2"/>
  <c r="S57" i="2"/>
  <c r="Q57" i="2"/>
  <c r="P57" i="2"/>
  <c r="L57" i="2"/>
  <c r="K57" i="2"/>
  <c r="M57" i="2" s="1"/>
  <c r="AH56" i="2"/>
  <c r="AE56" i="2"/>
  <c r="AB56" i="2"/>
  <c r="Z56" i="2"/>
  <c r="Y56" i="2"/>
  <c r="W56" i="2"/>
  <c r="V56" i="2"/>
  <c r="T56" i="2"/>
  <c r="S56" i="2"/>
  <c r="Q56" i="2"/>
  <c r="P56" i="2"/>
  <c r="L56" i="2"/>
  <c r="K56" i="2"/>
  <c r="M56" i="2" s="1"/>
  <c r="AH55" i="2"/>
  <c r="AE55" i="2"/>
  <c r="AB55" i="2"/>
  <c r="Z55" i="2"/>
  <c r="Y55" i="2"/>
  <c r="W55" i="2"/>
  <c r="V55" i="2"/>
  <c r="T55" i="2"/>
  <c r="S55" i="2"/>
  <c r="Q55" i="2"/>
  <c r="P55" i="2"/>
  <c r="L55" i="2"/>
  <c r="K55" i="2"/>
  <c r="H55" i="2" s="1"/>
  <c r="AH54" i="2"/>
  <c r="AE54" i="2"/>
  <c r="AB54" i="2"/>
  <c r="Z54" i="2"/>
  <c r="Y54" i="2"/>
  <c r="W54" i="2"/>
  <c r="V54" i="2"/>
  <c r="T54" i="2"/>
  <c r="S54" i="2"/>
  <c r="Q54" i="2"/>
  <c r="P54" i="2"/>
  <c r="L54" i="2"/>
  <c r="K54" i="2"/>
  <c r="H54" i="2" s="1"/>
  <c r="AH53" i="2"/>
  <c r="AE53" i="2"/>
  <c r="AB53" i="2"/>
  <c r="Z53" i="2"/>
  <c r="Y53" i="2"/>
  <c r="W53" i="2"/>
  <c r="V53" i="2"/>
  <c r="T53" i="2"/>
  <c r="S53" i="2"/>
  <c r="Q53" i="2"/>
  <c r="L53" i="2"/>
  <c r="K53" i="2"/>
  <c r="M53" i="2" s="1"/>
  <c r="AH17" i="2"/>
  <c r="AE17" i="2"/>
  <c r="AB17" i="2"/>
  <c r="Z17" i="2"/>
  <c r="Y17" i="2"/>
  <c r="W17" i="2"/>
  <c r="V17" i="2"/>
  <c r="T17" i="2"/>
  <c r="S17" i="2"/>
  <c r="Q17" i="2"/>
  <c r="P17" i="2"/>
  <c r="L17" i="2"/>
  <c r="K17" i="2"/>
  <c r="M17" i="2" s="1"/>
  <c r="AH16" i="2"/>
  <c r="AE16" i="2"/>
  <c r="AB16" i="2"/>
  <c r="Z16" i="2"/>
  <c r="Y16" i="2"/>
  <c r="W16" i="2"/>
  <c r="V16" i="2"/>
  <c r="T16" i="2"/>
  <c r="S16" i="2"/>
  <c r="Q16" i="2"/>
  <c r="P16" i="2"/>
  <c r="L16" i="2"/>
  <c r="K16" i="2"/>
  <c r="M16" i="2" s="1"/>
  <c r="AH49" i="2"/>
  <c r="AE49" i="2"/>
  <c r="AB49" i="2"/>
  <c r="Z49" i="2"/>
  <c r="Y49" i="2"/>
  <c r="W49" i="2"/>
  <c r="V49" i="2"/>
  <c r="T49" i="2"/>
  <c r="S49" i="2"/>
  <c r="Q49" i="2"/>
  <c r="P49" i="2"/>
  <c r="L49" i="2"/>
  <c r="K49" i="2"/>
  <c r="M49" i="2" s="1"/>
  <c r="AH48" i="2"/>
  <c r="AE48" i="2"/>
  <c r="AB48" i="2"/>
  <c r="Z48" i="2"/>
  <c r="Y48" i="2"/>
  <c r="W48" i="2"/>
  <c r="V48" i="2"/>
  <c r="T48" i="2"/>
  <c r="S48" i="2"/>
  <c r="Q48" i="2"/>
  <c r="P48" i="2"/>
  <c r="L48" i="2"/>
  <c r="K48" i="2"/>
  <c r="M48" i="2" s="1"/>
  <c r="B40" i="4"/>
  <c r="AZ15" i="21" l="1"/>
  <c r="BI15" i="21"/>
  <c r="BR15" i="21"/>
  <c r="BF15" i="21"/>
  <c r="BO15" i="21"/>
  <c r="BC15" i="21"/>
  <c r="BL15" i="21"/>
  <c r="BU15" i="21"/>
  <c r="BX15" i="21"/>
  <c r="BW64" i="21"/>
  <c r="AR64" i="21"/>
  <c r="AQ64" i="21"/>
  <c r="AQ12" i="21"/>
  <c r="BW12" i="21"/>
  <c r="AR12" i="21"/>
  <c r="AS12" i="21" s="1"/>
  <c r="S12" i="21"/>
  <c r="AJ67" i="2"/>
  <c r="G67" i="2"/>
  <c r="M67" i="2"/>
  <c r="H82" i="2"/>
  <c r="K80" i="2"/>
  <c r="M82" i="2"/>
  <c r="M81" i="2"/>
  <c r="M55" i="2"/>
  <c r="H53" i="2"/>
  <c r="H57" i="2"/>
  <c r="M54" i="2"/>
  <c r="H56" i="2"/>
  <c r="H17" i="2"/>
  <c r="H16" i="2"/>
  <c r="H49" i="2"/>
  <c r="H48" i="2"/>
  <c r="BL64" i="21" l="1"/>
  <c r="AZ64" i="21"/>
  <c r="BC64" i="21"/>
  <c r="BU64" i="21"/>
  <c r="BI64" i="21"/>
  <c r="BR64" i="21"/>
  <c r="BO64" i="21"/>
  <c r="BF64" i="21"/>
  <c r="AS64" i="21"/>
  <c r="BL12" i="21"/>
  <c r="AZ12" i="21"/>
  <c r="BC12" i="21"/>
  <c r="BO12" i="21"/>
  <c r="BU12" i="21"/>
  <c r="BX12" i="21" s="1"/>
  <c r="BI12" i="21"/>
  <c r="BF12" i="21"/>
  <c r="BR12" i="21"/>
  <c r="M80" i="2"/>
  <c r="H80" i="2"/>
  <c r="BX64" i="21" l="1"/>
  <c r="AQ2" i="21"/>
  <c r="BM117" i="21"/>
  <c r="BJ117" i="21"/>
  <c r="BG117" i="21"/>
  <c r="BD117" i="21"/>
  <c r="AX117" i="21"/>
  <c r="AU117" i="21" s="1"/>
  <c r="AE117" i="21"/>
  <c r="AY117" i="21" s="1"/>
  <c r="AC117" i="21"/>
  <c r="Q117" i="21" s="1"/>
  <c r="AB117" i="21"/>
  <c r="P117" i="21" s="1"/>
  <c r="AA117" i="21"/>
  <c r="O117" i="21" s="1"/>
  <c r="Z117" i="21"/>
  <c r="N117" i="21" s="1"/>
  <c r="Y117" i="21"/>
  <c r="M117" i="21" s="1"/>
  <c r="X117" i="21"/>
  <c r="L117" i="21" s="1"/>
  <c r="W117" i="21"/>
  <c r="K117" i="21" s="1"/>
  <c r="V117" i="21"/>
  <c r="J117" i="21" s="1"/>
  <c r="U117" i="21"/>
  <c r="I117" i="21" s="1"/>
  <c r="T117" i="21"/>
  <c r="H117" i="21" s="1"/>
  <c r="AL110" i="21"/>
  <c r="Z110" i="21" s="1"/>
  <c r="N110" i="21" s="1"/>
  <c r="Z109" i="21"/>
  <c r="N109" i="21" s="1"/>
  <c r="AL108" i="21"/>
  <c r="BM110" i="21"/>
  <c r="BJ110" i="21"/>
  <c r="BG110" i="21"/>
  <c r="BD110" i="21"/>
  <c r="AX110" i="21"/>
  <c r="AU110" i="21" s="1"/>
  <c r="AC110" i="21"/>
  <c r="Q110" i="21" s="1"/>
  <c r="AB110" i="21"/>
  <c r="P110" i="21" s="1"/>
  <c r="AA110" i="21"/>
  <c r="O110" i="21" s="1"/>
  <c r="Y110" i="21"/>
  <c r="M110" i="21" s="1"/>
  <c r="X110" i="21"/>
  <c r="L110" i="21" s="1"/>
  <c r="W110" i="21"/>
  <c r="K110" i="21" s="1"/>
  <c r="V110" i="21"/>
  <c r="U110" i="21"/>
  <c r="I110" i="21" s="1"/>
  <c r="T110" i="21"/>
  <c r="H110" i="21" s="1"/>
  <c r="BM109" i="21"/>
  <c r="BJ109" i="21"/>
  <c r="BG109" i="21"/>
  <c r="BD109" i="21"/>
  <c r="AX109" i="21"/>
  <c r="AU109" i="21" s="1"/>
  <c r="AC109" i="21"/>
  <c r="Q109" i="21" s="1"/>
  <c r="AB109" i="21"/>
  <c r="P109" i="21" s="1"/>
  <c r="AA109" i="21"/>
  <c r="O109" i="21" s="1"/>
  <c r="Y109" i="21"/>
  <c r="M109" i="21" s="1"/>
  <c r="X109" i="21"/>
  <c r="L109" i="21" s="1"/>
  <c r="W109" i="21"/>
  <c r="K109" i="21" s="1"/>
  <c r="V109" i="21"/>
  <c r="J109" i="21" s="1"/>
  <c r="U109" i="21"/>
  <c r="T109" i="21"/>
  <c r="H109" i="21" s="1"/>
  <c r="BM103" i="21"/>
  <c r="BJ103" i="21"/>
  <c r="BG103" i="21"/>
  <c r="BD103" i="21"/>
  <c r="AX103" i="21"/>
  <c r="AU103" i="21" s="1"/>
  <c r="AE103" i="21"/>
  <c r="AY103" i="21" s="1"/>
  <c r="AC103" i="21"/>
  <c r="Q103" i="21" s="1"/>
  <c r="AB103" i="21"/>
  <c r="P103" i="21" s="1"/>
  <c r="AA103" i="21"/>
  <c r="O103" i="21" s="1"/>
  <c r="Z103" i="21"/>
  <c r="N103" i="21" s="1"/>
  <c r="Y103" i="21"/>
  <c r="M103" i="21" s="1"/>
  <c r="X103" i="21"/>
  <c r="L103" i="21" s="1"/>
  <c r="W103" i="21"/>
  <c r="K103" i="21" s="1"/>
  <c r="V103" i="21"/>
  <c r="J103" i="21" s="1"/>
  <c r="U103" i="21"/>
  <c r="I103" i="21" s="1"/>
  <c r="T103" i="21"/>
  <c r="H103" i="21" s="1"/>
  <c r="BM102" i="21"/>
  <c r="BJ102" i="21"/>
  <c r="BG102" i="21"/>
  <c r="BD102" i="21"/>
  <c r="AX102" i="21"/>
  <c r="AE102" i="21"/>
  <c r="AY102" i="21" s="1"/>
  <c r="AC102" i="21"/>
  <c r="Q102" i="21" s="1"/>
  <c r="AB102" i="21"/>
  <c r="P102" i="21" s="1"/>
  <c r="AA102" i="21"/>
  <c r="O102" i="21" s="1"/>
  <c r="Z102" i="21"/>
  <c r="N102" i="21" s="1"/>
  <c r="Y102" i="21"/>
  <c r="M102" i="21" s="1"/>
  <c r="X102" i="21"/>
  <c r="L102" i="21" s="1"/>
  <c r="W102" i="21"/>
  <c r="K102" i="21" s="1"/>
  <c r="V102" i="21"/>
  <c r="J102" i="21" s="1"/>
  <c r="U102" i="21"/>
  <c r="I102" i="21" s="1"/>
  <c r="T102" i="21"/>
  <c r="BM105" i="21"/>
  <c r="BJ105" i="21"/>
  <c r="BG105" i="21"/>
  <c r="BD105" i="21"/>
  <c r="AX105" i="21"/>
  <c r="AU105" i="21" s="1"/>
  <c r="AE105" i="21"/>
  <c r="AY105" i="21" s="1"/>
  <c r="AC105" i="21"/>
  <c r="Q105" i="21" s="1"/>
  <c r="AB105" i="21"/>
  <c r="P105" i="21" s="1"/>
  <c r="AA105" i="21"/>
  <c r="O105" i="21" s="1"/>
  <c r="Z105" i="21"/>
  <c r="N105" i="21" s="1"/>
  <c r="Y105" i="21"/>
  <c r="M105" i="21" s="1"/>
  <c r="X105" i="21"/>
  <c r="L105" i="21" s="1"/>
  <c r="W105" i="21"/>
  <c r="K105" i="21" s="1"/>
  <c r="V105" i="21"/>
  <c r="J105" i="21" s="1"/>
  <c r="U105" i="21"/>
  <c r="I105" i="21" s="1"/>
  <c r="T105" i="21"/>
  <c r="H105" i="21" s="1"/>
  <c r="BM101" i="21"/>
  <c r="BJ101" i="21"/>
  <c r="BG101" i="21"/>
  <c r="BD101" i="21"/>
  <c r="AX101" i="21"/>
  <c r="AU101" i="21" s="1"/>
  <c r="AE101" i="21"/>
  <c r="AY101" i="21" s="1"/>
  <c r="AC101" i="21"/>
  <c r="Q101" i="21" s="1"/>
  <c r="AB101" i="21"/>
  <c r="P101" i="21" s="1"/>
  <c r="AA101" i="21"/>
  <c r="O101" i="21" s="1"/>
  <c r="Z101" i="21"/>
  <c r="N101" i="21" s="1"/>
  <c r="Y101" i="21"/>
  <c r="M101" i="21" s="1"/>
  <c r="X101" i="21"/>
  <c r="L101" i="21" s="1"/>
  <c r="W101" i="21"/>
  <c r="K101" i="21" s="1"/>
  <c r="V101" i="21"/>
  <c r="J101" i="21" s="1"/>
  <c r="U101" i="21"/>
  <c r="T101" i="21"/>
  <c r="H101" i="21" s="1"/>
  <c r="BM104" i="21"/>
  <c r="BJ104" i="21"/>
  <c r="BG104" i="21"/>
  <c r="BD104" i="21"/>
  <c r="AX104" i="21"/>
  <c r="AE104" i="21"/>
  <c r="AY104" i="21" s="1"/>
  <c r="AC104" i="21"/>
  <c r="Q104" i="21" s="1"/>
  <c r="AB104" i="21"/>
  <c r="P104" i="21" s="1"/>
  <c r="AA104" i="21"/>
  <c r="O104" i="21" s="1"/>
  <c r="Z104" i="21"/>
  <c r="N104" i="21" s="1"/>
  <c r="Y104" i="21"/>
  <c r="M104" i="21" s="1"/>
  <c r="X104" i="21"/>
  <c r="L104" i="21" s="1"/>
  <c r="W104" i="21"/>
  <c r="K104" i="21" s="1"/>
  <c r="V104" i="21"/>
  <c r="J104" i="21" s="1"/>
  <c r="U104" i="21"/>
  <c r="I104" i="21" s="1"/>
  <c r="T104" i="21"/>
  <c r="BM100" i="21"/>
  <c r="BJ100" i="21"/>
  <c r="BG100" i="21"/>
  <c r="BD100" i="21"/>
  <c r="AX100" i="21"/>
  <c r="AU100" i="21" s="1"/>
  <c r="AE100" i="21"/>
  <c r="AY100" i="21" s="1"/>
  <c r="AC100" i="21"/>
  <c r="Q100" i="21" s="1"/>
  <c r="AB100" i="21"/>
  <c r="P100" i="21" s="1"/>
  <c r="AA100" i="21"/>
  <c r="O100" i="21" s="1"/>
  <c r="Z100" i="21"/>
  <c r="N100" i="21" s="1"/>
  <c r="Y100" i="21"/>
  <c r="M100" i="21" s="1"/>
  <c r="X100" i="21"/>
  <c r="L100" i="21" s="1"/>
  <c r="W100" i="21"/>
  <c r="K100" i="21" s="1"/>
  <c r="V100" i="21"/>
  <c r="J100" i="21" s="1"/>
  <c r="U100" i="21"/>
  <c r="I100" i="21" s="1"/>
  <c r="T100" i="21"/>
  <c r="H100" i="21" s="1"/>
  <c r="BM94" i="21"/>
  <c r="BJ94" i="21"/>
  <c r="BG94" i="21"/>
  <c r="BD94" i="21"/>
  <c r="AX94" i="21"/>
  <c r="AU94" i="21" s="1"/>
  <c r="AE94" i="21"/>
  <c r="AY94" i="21" s="1"/>
  <c r="AC94" i="21"/>
  <c r="Q94" i="21" s="1"/>
  <c r="AB94" i="21"/>
  <c r="P94" i="21" s="1"/>
  <c r="AA94" i="21"/>
  <c r="O94" i="21" s="1"/>
  <c r="Z94" i="21"/>
  <c r="N94" i="21" s="1"/>
  <c r="Y94" i="21"/>
  <c r="M94" i="21" s="1"/>
  <c r="X94" i="21"/>
  <c r="L94" i="21" s="1"/>
  <c r="W94" i="21"/>
  <c r="K94" i="21" s="1"/>
  <c r="V94" i="21"/>
  <c r="U94" i="21"/>
  <c r="I94" i="21" s="1"/>
  <c r="T94" i="21"/>
  <c r="H94" i="21" s="1"/>
  <c r="AL112" i="21" l="1"/>
  <c r="AE109" i="21"/>
  <c r="AY109" i="21" s="1"/>
  <c r="AQ117" i="21"/>
  <c r="S117" i="21"/>
  <c r="AE110" i="21"/>
  <c r="AY110" i="21" s="1"/>
  <c r="S110" i="21"/>
  <c r="J110" i="21"/>
  <c r="AQ110" i="21" s="1"/>
  <c r="S109" i="21"/>
  <c r="I109" i="21"/>
  <c r="AQ109" i="21" s="1"/>
  <c r="S102" i="21"/>
  <c r="AQ103" i="21"/>
  <c r="H102" i="21"/>
  <c r="AQ102" i="21" s="1"/>
  <c r="AU102" i="21"/>
  <c r="S103" i="21"/>
  <c r="AQ105" i="21"/>
  <c r="BL105" i="21" s="1"/>
  <c r="S105" i="21"/>
  <c r="S101" i="21"/>
  <c r="I101" i="21"/>
  <c r="AQ101" i="21" s="1"/>
  <c r="S104" i="21"/>
  <c r="H104" i="21"/>
  <c r="AQ104" i="21" s="1"/>
  <c r="AU104" i="21"/>
  <c r="S94" i="21"/>
  <c r="AQ100" i="21"/>
  <c r="S100" i="21"/>
  <c r="J94" i="21"/>
  <c r="AQ94" i="21" s="1"/>
  <c r="AR71" i="21"/>
  <c r="AS71" i="21" s="1"/>
  <c r="AL38" i="21"/>
  <c r="AL51" i="21"/>
  <c r="BM52" i="21"/>
  <c r="BJ52" i="21"/>
  <c r="BG52" i="21"/>
  <c r="BD52" i="21"/>
  <c r="AX52" i="21"/>
  <c r="AU52" i="21" s="1"/>
  <c r="AE52" i="21"/>
  <c r="AY52" i="21" s="1"/>
  <c r="AC52" i="21"/>
  <c r="Q52" i="21" s="1"/>
  <c r="AB52" i="21"/>
  <c r="P52" i="21" s="1"/>
  <c r="AA52" i="21"/>
  <c r="O52" i="21" s="1"/>
  <c r="Z52" i="21"/>
  <c r="N52" i="21" s="1"/>
  <c r="Y52" i="21"/>
  <c r="M52" i="21" s="1"/>
  <c r="X52" i="21"/>
  <c r="L52" i="21" s="1"/>
  <c r="W52" i="21"/>
  <c r="K52" i="21" s="1"/>
  <c r="V52" i="21"/>
  <c r="J52" i="21" s="1"/>
  <c r="U52" i="21"/>
  <c r="I52" i="21" s="1"/>
  <c r="T52" i="21"/>
  <c r="H52" i="21" s="1"/>
  <c r="AL44" i="21"/>
  <c r="BL117" i="21" l="1"/>
  <c r="AZ117" i="21"/>
  <c r="BF117" i="21"/>
  <c r="BO117" i="21"/>
  <c r="BU117" i="21"/>
  <c r="BI117" i="21"/>
  <c r="BR117" i="21"/>
  <c r="BC117" i="21"/>
  <c r="BL110" i="21"/>
  <c r="AZ110" i="21"/>
  <c r="BF110" i="21"/>
  <c r="BO110" i="21"/>
  <c r="BU110" i="21"/>
  <c r="BI110" i="21"/>
  <c r="BR110" i="21"/>
  <c r="BC110" i="21"/>
  <c r="BU109" i="21"/>
  <c r="BI109" i="21"/>
  <c r="BR109" i="21"/>
  <c r="BF109" i="21"/>
  <c r="BO109" i="21"/>
  <c r="BC109" i="21"/>
  <c r="BL109" i="21"/>
  <c r="AZ109" i="21"/>
  <c r="BO105" i="21"/>
  <c r="BF105" i="21"/>
  <c r="BC105" i="21"/>
  <c r="BC102" i="21"/>
  <c r="BL102" i="21"/>
  <c r="BI102" i="21"/>
  <c r="BR102" i="21"/>
  <c r="BF102" i="21"/>
  <c r="BO102" i="21"/>
  <c r="AZ102" i="21"/>
  <c r="BU102" i="21"/>
  <c r="BU103" i="21"/>
  <c r="BI103" i="21"/>
  <c r="BR103" i="21"/>
  <c r="BC103" i="21"/>
  <c r="BL103" i="21"/>
  <c r="BF103" i="21"/>
  <c r="BO103" i="21"/>
  <c r="AZ103" i="21"/>
  <c r="BR105" i="21"/>
  <c r="BI105" i="21"/>
  <c r="BU105" i="21"/>
  <c r="AZ105" i="21"/>
  <c r="BL101" i="21"/>
  <c r="AZ101" i="21"/>
  <c r="BU101" i="21"/>
  <c r="BI101" i="21"/>
  <c r="BR101" i="21"/>
  <c r="BF101" i="21"/>
  <c r="BO101" i="21"/>
  <c r="BC101" i="21"/>
  <c r="BL104" i="21"/>
  <c r="AZ104" i="21"/>
  <c r="BU104" i="21"/>
  <c r="BI104" i="21"/>
  <c r="BC104" i="21"/>
  <c r="BR104" i="21"/>
  <c r="BF104" i="21"/>
  <c r="BO104" i="21"/>
  <c r="BL100" i="21"/>
  <c r="AZ100" i="21"/>
  <c r="BF100" i="21"/>
  <c r="BC100" i="21"/>
  <c r="BU100" i="21"/>
  <c r="BI100" i="21"/>
  <c r="BR100" i="21"/>
  <c r="BO100" i="21"/>
  <c r="BU94" i="21"/>
  <c r="BI94" i="21"/>
  <c r="BR94" i="21"/>
  <c r="BF94" i="21"/>
  <c r="BO94" i="21"/>
  <c r="BC94" i="21"/>
  <c r="BL94" i="21"/>
  <c r="AZ94" i="21"/>
  <c r="S52" i="21"/>
  <c r="AQ52" i="21"/>
  <c r="BI52" i="21" s="1"/>
  <c r="AL45" i="21"/>
  <c r="BM11" i="35"/>
  <c r="BJ11" i="35"/>
  <c r="BG11" i="35"/>
  <c r="BD11" i="35"/>
  <c r="AX11" i="35"/>
  <c r="AU11" i="35" s="1"/>
  <c r="AE11" i="35"/>
  <c r="AY11" i="35" s="1"/>
  <c r="AC11" i="35"/>
  <c r="Q11" i="35" s="1"/>
  <c r="AB11" i="35"/>
  <c r="P11" i="35" s="1"/>
  <c r="AA11" i="35"/>
  <c r="O11" i="35" s="1"/>
  <c r="Z11" i="35"/>
  <c r="N11" i="35" s="1"/>
  <c r="Y11" i="35"/>
  <c r="M11" i="35" s="1"/>
  <c r="X11" i="35"/>
  <c r="L11" i="35" s="1"/>
  <c r="W11" i="35"/>
  <c r="K11" i="35" s="1"/>
  <c r="V11" i="35"/>
  <c r="J11" i="35" s="1"/>
  <c r="U11" i="35"/>
  <c r="I11" i="35" s="1"/>
  <c r="T11" i="35"/>
  <c r="H11" i="35" s="1"/>
  <c r="BO52" i="21" l="1"/>
  <c r="BF52" i="21"/>
  <c r="BC52" i="21"/>
  <c r="BU52" i="21"/>
  <c r="AZ52" i="21"/>
  <c r="BR52" i="21"/>
  <c r="BL52" i="21"/>
  <c r="AQ11" i="35"/>
  <c r="S11" i="35"/>
  <c r="AS264" i="21"/>
  <c r="G264" i="21"/>
  <c r="AR256" i="21"/>
  <c r="F234" i="21"/>
  <c r="F235" i="21"/>
  <c r="F236" i="21"/>
  <c r="F237" i="21"/>
  <c r="G239" i="21"/>
  <c r="P26" i="21"/>
  <c r="Q26" i="21"/>
  <c r="P39" i="21"/>
  <c r="Q39" i="21"/>
  <c r="BQ228" i="21"/>
  <c r="AR226" i="21"/>
  <c r="AS226" i="21" s="1"/>
  <c r="AR225" i="21"/>
  <c r="AS225" i="21" s="1"/>
  <c r="AR227" i="21"/>
  <c r="AS227" i="21" s="1"/>
  <c r="BM228" i="21"/>
  <c r="BJ228" i="21"/>
  <c r="BG228" i="21"/>
  <c r="BD228" i="21"/>
  <c r="AX228" i="21"/>
  <c r="AE228" i="21"/>
  <c r="AY228" i="21" s="1"/>
  <c r="AC228" i="21"/>
  <c r="Q228" i="21" s="1"/>
  <c r="AB228" i="21"/>
  <c r="P228" i="21" s="1"/>
  <c r="AA228" i="21"/>
  <c r="O228" i="21" s="1"/>
  <c r="Z228" i="21"/>
  <c r="N228" i="21" s="1"/>
  <c r="Y228" i="21"/>
  <c r="M228" i="21" s="1"/>
  <c r="X228" i="21"/>
  <c r="L228" i="21" s="1"/>
  <c r="W228" i="21"/>
  <c r="K228" i="21" s="1"/>
  <c r="V228" i="21"/>
  <c r="J228" i="21" s="1"/>
  <c r="U228" i="21"/>
  <c r="T228" i="21"/>
  <c r="H228" i="21" s="1"/>
  <c r="BQ215" i="21"/>
  <c r="BM215" i="21"/>
  <c r="BJ215" i="21"/>
  <c r="BG215" i="21"/>
  <c r="BD215" i="21"/>
  <c r="AX215" i="21"/>
  <c r="AE215" i="21"/>
  <c r="AY215" i="21" s="1"/>
  <c r="AC215" i="21"/>
  <c r="Q215" i="21" s="1"/>
  <c r="AB215" i="21"/>
  <c r="P215" i="21" s="1"/>
  <c r="AA215" i="21"/>
  <c r="O215" i="21" s="1"/>
  <c r="Z215" i="21"/>
  <c r="N215" i="21" s="1"/>
  <c r="Y215" i="21"/>
  <c r="M215" i="21" s="1"/>
  <c r="X215" i="21"/>
  <c r="L215" i="21" s="1"/>
  <c r="W215" i="21"/>
  <c r="K215" i="21" s="1"/>
  <c r="V215" i="21"/>
  <c r="J215" i="21" s="1"/>
  <c r="U215" i="21"/>
  <c r="I215" i="21" s="1"/>
  <c r="T215" i="21"/>
  <c r="H215" i="21" s="1"/>
  <c r="AU215" i="21" l="1"/>
  <c r="BL11" i="35"/>
  <c r="AZ11" i="35"/>
  <c r="BF11" i="35"/>
  <c r="BU11" i="35"/>
  <c r="BI11" i="35"/>
  <c r="BR11" i="35"/>
  <c r="BO11" i="35"/>
  <c r="BC11" i="35"/>
  <c r="AU228" i="21"/>
  <c r="S228" i="21"/>
  <c r="I228" i="21"/>
  <c r="AQ228" i="21" s="1"/>
  <c r="AQ215" i="21"/>
  <c r="S215" i="21"/>
  <c r="BQ212" i="21"/>
  <c r="BM212" i="21"/>
  <c r="BJ212" i="21"/>
  <c r="BG212" i="21"/>
  <c r="BD212" i="21"/>
  <c r="AX212" i="21"/>
  <c r="AE212" i="21"/>
  <c r="AY212" i="21" s="1"/>
  <c r="AC212" i="21"/>
  <c r="Q212" i="21" s="1"/>
  <c r="AB212" i="21"/>
  <c r="P212" i="21" s="1"/>
  <c r="AA212" i="21"/>
  <c r="O212" i="21" s="1"/>
  <c r="Z212" i="21"/>
  <c r="N212" i="21" s="1"/>
  <c r="Y212" i="21"/>
  <c r="M212" i="21" s="1"/>
  <c r="X212" i="21"/>
  <c r="L212" i="21" s="1"/>
  <c r="W212" i="21"/>
  <c r="K212" i="21" s="1"/>
  <c r="V212" i="21"/>
  <c r="J212" i="21" s="1"/>
  <c r="U212" i="21"/>
  <c r="T212" i="21"/>
  <c r="H212" i="21" s="1"/>
  <c r="BL228" i="21" l="1"/>
  <c r="BU228" i="21"/>
  <c r="BI228" i="21"/>
  <c r="BR228" i="21"/>
  <c r="BF228" i="21"/>
  <c r="BO228" i="21"/>
  <c r="BC228" i="21"/>
  <c r="AZ228" i="21"/>
  <c r="BR215" i="21"/>
  <c r="BF215" i="21"/>
  <c r="BO215" i="21"/>
  <c r="AZ215" i="21"/>
  <c r="BU215" i="21"/>
  <c r="BI215" i="21"/>
  <c r="BL215" i="21"/>
  <c r="BC215" i="21"/>
  <c r="AU212" i="21"/>
  <c r="S212" i="21"/>
  <c r="I212" i="21"/>
  <c r="AQ212" i="21" s="1"/>
  <c r="BQ200" i="21"/>
  <c r="BM200" i="21"/>
  <c r="BJ200" i="21"/>
  <c r="BG200" i="21"/>
  <c r="BD200" i="21"/>
  <c r="AX200" i="21"/>
  <c r="AE200" i="21"/>
  <c r="AY200" i="21" s="1"/>
  <c r="AC200" i="21"/>
  <c r="Q200" i="21" s="1"/>
  <c r="AB200" i="21"/>
  <c r="P200" i="21" s="1"/>
  <c r="AA200" i="21"/>
  <c r="O200" i="21" s="1"/>
  <c r="Z200" i="21"/>
  <c r="N200" i="21" s="1"/>
  <c r="Y200" i="21"/>
  <c r="M200" i="21" s="1"/>
  <c r="X200" i="21"/>
  <c r="L200" i="21" s="1"/>
  <c r="W200" i="21"/>
  <c r="K200" i="21" s="1"/>
  <c r="V200" i="21"/>
  <c r="U200" i="21"/>
  <c r="I200" i="21" s="1"/>
  <c r="T200" i="21"/>
  <c r="H200" i="21" s="1"/>
  <c r="BM209" i="21"/>
  <c r="BJ209" i="21"/>
  <c r="BG209" i="21"/>
  <c r="BD209" i="21"/>
  <c r="AX209" i="21"/>
  <c r="AU209" i="21" s="1"/>
  <c r="AE209" i="21"/>
  <c r="AY209" i="21" s="1"/>
  <c r="AC209" i="21"/>
  <c r="Q209" i="21" s="1"/>
  <c r="AB209" i="21"/>
  <c r="P209" i="21" s="1"/>
  <c r="AA209" i="21"/>
  <c r="O209" i="21" s="1"/>
  <c r="Z209" i="21"/>
  <c r="N209" i="21" s="1"/>
  <c r="Y209" i="21"/>
  <c r="M209" i="21" s="1"/>
  <c r="X209" i="21"/>
  <c r="L209" i="21" s="1"/>
  <c r="W209" i="21"/>
  <c r="V209" i="21"/>
  <c r="J209" i="21" s="1"/>
  <c r="U209" i="21"/>
  <c r="I209" i="21" s="1"/>
  <c r="T209" i="21"/>
  <c r="H209" i="21" s="1"/>
  <c r="BQ208" i="21"/>
  <c r="BQ205" i="21"/>
  <c r="BM208" i="21"/>
  <c r="BJ208" i="21"/>
  <c r="BG208" i="21"/>
  <c r="BD208" i="21"/>
  <c r="AX208" i="21"/>
  <c r="AE208" i="21"/>
  <c r="AY208" i="21" s="1"/>
  <c r="AC208" i="21"/>
  <c r="Q208" i="21" s="1"/>
  <c r="AB208" i="21"/>
  <c r="P208" i="21" s="1"/>
  <c r="AA208" i="21"/>
  <c r="O208" i="21" s="1"/>
  <c r="Z208" i="21"/>
  <c r="N208" i="21" s="1"/>
  <c r="Y208" i="21"/>
  <c r="M208" i="21" s="1"/>
  <c r="X208" i="21"/>
  <c r="L208" i="21" s="1"/>
  <c r="W208" i="21"/>
  <c r="K208" i="21" s="1"/>
  <c r="V208" i="21"/>
  <c r="J208" i="21" s="1"/>
  <c r="U208" i="21"/>
  <c r="I208" i="21" s="1"/>
  <c r="T208" i="21"/>
  <c r="H208" i="21" s="1"/>
  <c r="BQ162" i="21"/>
  <c r="BQ199" i="21"/>
  <c r="BM199" i="21"/>
  <c r="BJ199" i="21"/>
  <c r="BG199" i="21"/>
  <c r="BD199" i="21"/>
  <c r="AX199" i="21"/>
  <c r="AE199" i="21"/>
  <c r="AY199" i="21" s="1"/>
  <c r="AC199" i="21"/>
  <c r="Q199" i="21" s="1"/>
  <c r="AB199" i="21"/>
  <c r="P199" i="21" s="1"/>
  <c r="AA199" i="21"/>
  <c r="O199" i="21" s="1"/>
  <c r="Z199" i="21"/>
  <c r="N199" i="21" s="1"/>
  <c r="Y199" i="21"/>
  <c r="M199" i="21" s="1"/>
  <c r="X199" i="21"/>
  <c r="L199" i="21" s="1"/>
  <c r="W199" i="21"/>
  <c r="K199" i="21" s="1"/>
  <c r="V199" i="21"/>
  <c r="J199" i="21" s="1"/>
  <c r="U199" i="21"/>
  <c r="I199" i="21" s="1"/>
  <c r="T199" i="21"/>
  <c r="H199" i="21" s="1"/>
  <c r="BQ198" i="21"/>
  <c r="BM205" i="21"/>
  <c r="BJ205" i="21"/>
  <c r="BG205" i="21"/>
  <c r="BD205" i="21"/>
  <c r="AX205" i="21"/>
  <c r="AE205" i="21"/>
  <c r="AY205" i="21" s="1"/>
  <c r="AC205" i="21"/>
  <c r="Q205" i="21" s="1"/>
  <c r="AB205" i="21"/>
  <c r="P205" i="21" s="1"/>
  <c r="AA205" i="21"/>
  <c r="O205" i="21" s="1"/>
  <c r="Z205" i="21"/>
  <c r="N205" i="21" s="1"/>
  <c r="Y205" i="21"/>
  <c r="M205" i="21" s="1"/>
  <c r="X205" i="21"/>
  <c r="L205" i="21" s="1"/>
  <c r="W205" i="21"/>
  <c r="K205" i="21" s="1"/>
  <c r="V205" i="21"/>
  <c r="J205" i="21" s="1"/>
  <c r="U205" i="21"/>
  <c r="I205" i="21" s="1"/>
  <c r="T205" i="21"/>
  <c r="H205" i="21" s="1"/>
  <c r="BM198" i="21"/>
  <c r="BJ198" i="21"/>
  <c r="BG198" i="21"/>
  <c r="BD198" i="21"/>
  <c r="AX198" i="21"/>
  <c r="AE198" i="21"/>
  <c r="AY198" i="21" s="1"/>
  <c r="AC198" i="21"/>
  <c r="Q198" i="21" s="1"/>
  <c r="AB198" i="21"/>
  <c r="P198" i="21" s="1"/>
  <c r="AA198" i="21"/>
  <c r="O198" i="21" s="1"/>
  <c r="Z198" i="21"/>
  <c r="N198" i="21" s="1"/>
  <c r="Y198" i="21"/>
  <c r="M198" i="21" s="1"/>
  <c r="X198" i="21"/>
  <c r="L198" i="21" s="1"/>
  <c r="W198" i="21"/>
  <c r="K198" i="21" s="1"/>
  <c r="V198" i="21"/>
  <c r="J198" i="21" s="1"/>
  <c r="U198" i="21"/>
  <c r="I198" i="21" s="1"/>
  <c r="T198" i="21"/>
  <c r="H198" i="21" s="1"/>
  <c r="AU199" i="21" l="1"/>
  <c r="S200" i="21"/>
  <c r="AU205" i="21"/>
  <c r="BL212" i="21"/>
  <c r="AZ212" i="21"/>
  <c r="BU212" i="21"/>
  <c r="BI212" i="21"/>
  <c r="BR212" i="21"/>
  <c r="BF212" i="21"/>
  <c r="BO212" i="21"/>
  <c r="BC212" i="21"/>
  <c r="AU200" i="21"/>
  <c r="J200" i="21"/>
  <c r="AQ200" i="21" s="1"/>
  <c r="AQ205" i="21"/>
  <c r="BR205" i="21" s="1"/>
  <c r="S209" i="21"/>
  <c r="S198" i="21"/>
  <c r="K209" i="21"/>
  <c r="AQ209" i="21" s="1"/>
  <c r="AU208" i="21"/>
  <c r="S208" i="21"/>
  <c r="AQ208" i="21"/>
  <c r="AQ199" i="21"/>
  <c r="S199" i="21"/>
  <c r="AU198" i="21"/>
  <c r="S205" i="21"/>
  <c r="AQ198" i="21"/>
  <c r="BQ195" i="21"/>
  <c r="BM195" i="21"/>
  <c r="BJ195" i="21"/>
  <c r="BG195" i="21"/>
  <c r="BD195" i="21"/>
  <c r="AX195" i="21"/>
  <c r="AE195" i="21"/>
  <c r="AY195" i="21" s="1"/>
  <c r="AC195" i="21"/>
  <c r="Q195" i="21" s="1"/>
  <c r="AB195" i="21"/>
  <c r="P195" i="21" s="1"/>
  <c r="AA195" i="21"/>
  <c r="O195" i="21" s="1"/>
  <c r="Z195" i="21"/>
  <c r="N195" i="21" s="1"/>
  <c r="Y195" i="21"/>
  <c r="M195" i="21" s="1"/>
  <c r="X195" i="21"/>
  <c r="L195" i="21" s="1"/>
  <c r="W195" i="21"/>
  <c r="K195" i="21" s="1"/>
  <c r="V195" i="21"/>
  <c r="J195" i="21" s="1"/>
  <c r="U195" i="21"/>
  <c r="I195" i="21" s="1"/>
  <c r="T195" i="21"/>
  <c r="H195" i="21" s="1"/>
  <c r="BM194" i="21"/>
  <c r="BJ194" i="21"/>
  <c r="BG194" i="21"/>
  <c r="BD194" i="21"/>
  <c r="AX194" i="21"/>
  <c r="AE194" i="21"/>
  <c r="AY194" i="21" s="1"/>
  <c r="AC194" i="21"/>
  <c r="Q194" i="21" s="1"/>
  <c r="AB194" i="21"/>
  <c r="P194" i="21" s="1"/>
  <c r="AA194" i="21"/>
  <c r="O194" i="21" s="1"/>
  <c r="Z194" i="21"/>
  <c r="N194" i="21" s="1"/>
  <c r="Y194" i="21"/>
  <c r="M194" i="21" s="1"/>
  <c r="X194" i="21"/>
  <c r="L194" i="21" s="1"/>
  <c r="W194" i="21"/>
  <c r="K194" i="21" s="1"/>
  <c r="V194" i="21"/>
  <c r="U194" i="21"/>
  <c r="I194" i="21" s="1"/>
  <c r="T194" i="21"/>
  <c r="H194" i="21" s="1"/>
  <c r="BM191" i="21"/>
  <c r="BJ191" i="21"/>
  <c r="BG191" i="21"/>
  <c r="BD191" i="21"/>
  <c r="AX191" i="21"/>
  <c r="AU191" i="21" s="1"/>
  <c r="AE191" i="21"/>
  <c r="AY191" i="21" s="1"/>
  <c r="AC191" i="21"/>
  <c r="Q191" i="21" s="1"/>
  <c r="AB191" i="21"/>
  <c r="P191" i="21" s="1"/>
  <c r="AA191" i="21"/>
  <c r="O191" i="21" s="1"/>
  <c r="Z191" i="21"/>
  <c r="N191" i="21" s="1"/>
  <c r="Y191" i="21"/>
  <c r="M191" i="21" s="1"/>
  <c r="X191" i="21"/>
  <c r="L191" i="21" s="1"/>
  <c r="W191" i="21"/>
  <c r="K191" i="21" s="1"/>
  <c r="V191" i="21"/>
  <c r="J191" i="21" s="1"/>
  <c r="U191" i="21"/>
  <c r="I191" i="21" s="1"/>
  <c r="T191" i="21"/>
  <c r="H191" i="21" s="1"/>
  <c r="BQ190" i="21"/>
  <c r="BQ189" i="21"/>
  <c r="BM190" i="21"/>
  <c r="BJ190" i="21"/>
  <c r="BG190" i="21"/>
  <c r="BD190" i="21"/>
  <c r="AX190" i="21"/>
  <c r="AE190" i="21"/>
  <c r="AY190" i="21" s="1"/>
  <c r="AC190" i="21"/>
  <c r="Q190" i="21" s="1"/>
  <c r="AB190" i="21"/>
  <c r="P190" i="21" s="1"/>
  <c r="AA190" i="21"/>
  <c r="O190" i="21" s="1"/>
  <c r="Z190" i="21"/>
  <c r="N190" i="21" s="1"/>
  <c r="Y190" i="21"/>
  <c r="M190" i="21" s="1"/>
  <c r="X190" i="21"/>
  <c r="L190" i="21" s="1"/>
  <c r="W190" i="21"/>
  <c r="K190" i="21" s="1"/>
  <c r="V190" i="21"/>
  <c r="J190" i="21" s="1"/>
  <c r="U190" i="21"/>
  <c r="I190" i="21" s="1"/>
  <c r="T190" i="21"/>
  <c r="H190" i="21" s="1"/>
  <c r="BM189" i="21"/>
  <c r="BJ189" i="21"/>
  <c r="BG189" i="21"/>
  <c r="BD189" i="21"/>
  <c r="AX189" i="21"/>
  <c r="AE189" i="21"/>
  <c r="AY189" i="21" s="1"/>
  <c r="AC189" i="21"/>
  <c r="Q189" i="21" s="1"/>
  <c r="AB189" i="21"/>
  <c r="P189" i="21" s="1"/>
  <c r="AA189" i="21"/>
  <c r="O189" i="21" s="1"/>
  <c r="Z189" i="21"/>
  <c r="N189" i="21" s="1"/>
  <c r="Y189" i="21"/>
  <c r="M189" i="21" s="1"/>
  <c r="X189" i="21"/>
  <c r="L189" i="21" s="1"/>
  <c r="W189" i="21"/>
  <c r="K189" i="21" s="1"/>
  <c r="V189" i="21"/>
  <c r="J189" i="21" s="1"/>
  <c r="U189" i="21"/>
  <c r="I189" i="21" s="1"/>
  <c r="T189" i="21"/>
  <c r="H189" i="21" s="1"/>
  <c r="BQ188" i="21"/>
  <c r="BM188" i="21"/>
  <c r="BJ188" i="21"/>
  <c r="BG188" i="21"/>
  <c r="BD188" i="21"/>
  <c r="AX188" i="21"/>
  <c r="AE188" i="21"/>
  <c r="AY188" i="21" s="1"/>
  <c r="AC188" i="21"/>
  <c r="Q188" i="21" s="1"/>
  <c r="AB188" i="21"/>
  <c r="P188" i="21" s="1"/>
  <c r="AA188" i="21"/>
  <c r="O188" i="21" s="1"/>
  <c r="Z188" i="21"/>
  <c r="N188" i="21" s="1"/>
  <c r="Y188" i="21"/>
  <c r="M188" i="21" s="1"/>
  <c r="X188" i="21"/>
  <c r="L188" i="21" s="1"/>
  <c r="W188" i="21"/>
  <c r="K188" i="21" s="1"/>
  <c r="V188" i="21"/>
  <c r="J188" i="21" s="1"/>
  <c r="U188" i="21"/>
  <c r="I188" i="21" s="1"/>
  <c r="T188" i="21"/>
  <c r="H188" i="21" s="1"/>
  <c r="BM135" i="21"/>
  <c r="BJ135" i="21"/>
  <c r="BG135" i="21"/>
  <c r="BD135" i="21"/>
  <c r="AX135" i="21"/>
  <c r="AU135" i="21" s="1"/>
  <c r="AE135" i="21"/>
  <c r="AY135" i="21" s="1"/>
  <c r="AC135" i="21"/>
  <c r="Q135" i="21" s="1"/>
  <c r="AB135" i="21"/>
  <c r="P135" i="21" s="1"/>
  <c r="AA135" i="21"/>
  <c r="O135" i="21" s="1"/>
  <c r="Z135" i="21"/>
  <c r="N135" i="21" s="1"/>
  <c r="Y135" i="21"/>
  <c r="M135" i="21" s="1"/>
  <c r="X135" i="21"/>
  <c r="L135" i="21" s="1"/>
  <c r="W135" i="21"/>
  <c r="K135" i="21" s="1"/>
  <c r="V135" i="21"/>
  <c r="J135" i="21" s="1"/>
  <c r="U135" i="21"/>
  <c r="T135" i="21"/>
  <c r="H135" i="21" s="1"/>
  <c r="BM173" i="21"/>
  <c r="BJ173" i="21"/>
  <c r="BG173" i="21"/>
  <c r="BD173" i="21"/>
  <c r="AX173" i="21"/>
  <c r="AU173" i="21" s="1"/>
  <c r="AE173" i="21"/>
  <c r="AY173" i="21" s="1"/>
  <c r="AC173" i="21"/>
  <c r="Q173" i="21" s="1"/>
  <c r="AB173" i="21"/>
  <c r="P173" i="21" s="1"/>
  <c r="AA173" i="21"/>
  <c r="O173" i="21" s="1"/>
  <c r="Z173" i="21"/>
  <c r="N173" i="21" s="1"/>
  <c r="Y173" i="21"/>
  <c r="M173" i="21" s="1"/>
  <c r="X173" i="21"/>
  <c r="L173" i="21" s="1"/>
  <c r="W173" i="21"/>
  <c r="K173" i="21" s="1"/>
  <c r="V173" i="21"/>
  <c r="J173" i="21" s="1"/>
  <c r="U173" i="21"/>
  <c r="I173" i="21" s="1"/>
  <c r="T173" i="21"/>
  <c r="H173" i="21" s="1"/>
  <c r="AR172" i="21"/>
  <c r="AS172" i="21" s="1"/>
  <c r="BQ177" i="21"/>
  <c r="BM177" i="21"/>
  <c r="BJ177" i="21"/>
  <c r="BG177" i="21"/>
  <c r="BD177" i="21"/>
  <c r="AX177" i="21"/>
  <c r="AE177" i="21"/>
  <c r="AY177" i="21" s="1"/>
  <c r="AC177" i="21"/>
  <c r="Q177" i="21" s="1"/>
  <c r="AB177" i="21"/>
  <c r="P177" i="21" s="1"/>
  <c r="AA177" i="21"/>
  <c r="O177" i="21" s="1"/>
  <c r="Z177" i="21"/>
  <c r="N177" i="21" s="1"/>
  <c r="Y177" i="21"/>
  <c r="M177" i="21" s="1"/>
  <c r="X177" i="21"/>
  <c r="L177" i="21" s="1"/>
  <c r="W177" i="21"/>
  <c r="K177" i="21" s="1"/>
  <c r="V177" i="21"/>
  <c r="J177" i="21" s="1"/>
  <c r="U177" i="21"/>
  <c r="T177" i="21"/>
  <c r="H177" i="21" s="1"/>
  <c r="BM176" i="21"/>
  <c r="BJ176" i="21"/>
  <c r="BG176" i="21"/>
  <c r="BD176" i="21"/>
  <c r="AX176" i="21"/>
  <c r="AU176" i="21" s="1"/>
  <c r="AE176" i="21"/>
  <c r="AY176" i="21" s="1"/>
  <c r="AC176" i="21"/>
  <c r="Q176" i="21" s="1"/>
  <c r="AB176" i="21"/>
  <c r="P176" i="21" s="1"/>
  <c r="AA176" i="21"/>
  <c r="O176" i="21" s="1"/>
  <c r="Z176" i="21"/>
  <c r="N176" i="21" s="1"/>
  <c r="Y176" i="21"/>
  <c r="M176" i="21" s="1"/>
  <c r="X176" i="21"/>
  <c r="L176" i="21" s="1"/>
  <c r="W176" i="21"/>
  <c r="K176" i="21" s="1"/>
  <c r="V176" i="21"/>
  <c r="J176" i="21" s="1"/>
  <c r="U176" i="21"/>
  <c r="T176" i="21"/>
  <c r="H176" i="21" s="1"/>
  <c r="BM171" i="21"/>
  <c r="BJ171" i="21"/>
  <c r="BG171" i="21"/>
  <c r="BD171" i="21"/>
  <c r="AX171" i="21"/>
  <c r="AE171" i="21"/>
  <c r="AY171" i="21" s="1"/>
  <c r="AC171" i="21"/>
  <c r="Q171" i="21" s="1"/>
  <c r="AB171" i="21"/>
  <c r="P171" i="21" s="1"/>
  <c r="AA171" i="21"/>
  <c r="O171" i="21" s="1"/>
  <c r="Z171" i="21"/>
  <c r="N171" i="21" s="1"/>
  <c r="Y171" i="21"/>
  <c r="M171" i="21" s="1"/>
  <c r="X171" i="21"/>
  <c r="L171" i="21" s="1"/>
  <c r="W171" i="21"/>
  <c r="K171" i="21" s="1"/>
  <c r="V171" i="21"/>
  <c r="J171" i="21" s="1"/>
  <c r="U171" i="21"/>
  <c r="I171" i="21" s="1"/>
  <c r="T171" i="21"/>
  <c r="H171" i="21" s="1"/>
  <c r="BM170" i="21"/>
  <c r="BJ170" i="21"/>
  <c r="BG170" i="21"/>
  <c r="BD170" i="21"/>
  <c r="AX170" i="21"/>
  <c r="AE170" i="21"/>
  <c r="AY170" i="21" s="1"/>
  <c r="AC170" i="21"/>
  <c r="Q170" i="21" s="1"/>
  <c r="AB170" i="21"/>
  <c r="P170" i="21" s="1"/>
  <c r="AA170" i="21"/>
  <c r="O170" i="21" s="1"/>
  <c r="Z170" i="21"/>
  <c r="N170" i="21" s="1"/>
  <c r="Y170" i="21"/>
  <c r="M170" i="21" s="1"/>
  <c r="X170" i="21"/>
  <c r="L170" i="21" s="1"/>
  <c r="W170" i="21"/>
  <c r="K170" i="21" s="1"/>
  <c r="V170" i="21"/>
  <c r="J170" i="21" s="1"/>
  <c r="U170" i="21"/>
  <c r="I170" i="21" s="1"/>
  <c r="T170" i="21"/>
  <c r="H170" i="21" s="1"/>
  <c r="BM162" i="21"/>
  <c r="BJ162" i="21"/>
  <c r="BG162" i="21"/>
  <c r="BD162" i="21"/>
  <c r="AX162" i="21"/>
  <c r="AE162" i="21"/>
  <c r="AY162" i="21" s="1"/>
  <c r="AC162" i="21"/>
  <c r="Q162" i="21" s="1"/>
  <c r="AB162" i="21"/>
  <c r="P162" i="21" s="1"/>
  <c r="AA162" i="21"/>
  <c r="O162" i="21" s="1"/>
  <c r="Z162" i="21"/>
  <c r="N162" i="21" s="1"/>
  <c r="Y162" i="21"/>
  <c r="M162" i="21" s="1"/>
  <c r="X162" i="21"/>
  <c r="L162" i="21" s="1"/>
  <c r="W162" i="21"/>
  <c r="K162" i="21" s="1"/>
  <c r="V162" i="21"/>
  <c r="J162" i="21" s="1"/>
  <c r="U162" i="21"/>
  <c r="I162" i="21" s="1"/>
  <c r="T162" i="21"/>
  <c r="H162" i="21" s="1"/>
  <c r="AL168" i="21"/>
  <c r="AE168" i="21" s="1"/>
  <c r="AY168" i="21" s="1"/>
  <c r="Z165" i="21"/>
  <c r="N165" i="21" s="1"/>
  <c r="AE165" i="21"/>
  <c r="AY165" i="21" s="1"/>
  <c r="AE166" i="21"/>
  <c r="AY166" i="21" s="1"/>
  <c r="BM168" i="21"/>
  <c r="BJ168" i="21"/>
  <c r="BG168" i="21"/>
  <c r="BD168" i="21"/>
  <c r="AX168" i="21"/>
  <c r="AC168" i="21"/>
  <c r="Q168" i="21" s="1"/>
  <c r="AB168" i="21"/>
  <c r="P168" i="21" s="1"/>
  <c r="AA168" i="21"/>
  <c r="O168" i="21" s="1"/>
  <c r="Y168" i="21"/>
  <c r="M168" i="21" s="1"/>
  <c r="X168" i="21"/>
  <c r="L168" i="21" s="1"/>
  <c r="W168" i="21"/>
  <c r="K168" i="21" s="1"/>
  <c r="V168" i="21"/>
  <c r="J168" i="21" s="1"/>
  <c r="U168" i="21"/>
  <c r="I168" i="21" s="1"/>
  <c r="T168" i="21"/>
  <c r="H168" i="21" s="1"/>
  <c r="BM167" i="21"/>
  <c r="BJ167" i="21"/>
  <c r="BG167" i="21"/>
  <c r="BD167" i="21"/>
  <c r="AX167" i="21"/>
  <c r="AU167" i="21" s="1"/>
  <c r="Z167" i="21"/>
  <c r="N167" i="21" s="1"/>
  <c r="AE167" i="21"/>
  <c r="AY167" i="21" s="1"/>
  <c r="AC167" i="21"/>
  <c r="Q167" i="21" s="1"/>
  <c r="AB167" i="21"/>
  <c r="P167" i="21" s="1"/>
  <c r="AA167" i="21"/>
  <c r="O167" i="21" s="1"/>
  <c r="Y167" i="21"/>
  <c r="M167" i="21" s="1"/>
  <c r="X167" i="21"/>
  <c r="L167" i="21" s="1"/>
  <c r="W167" i="21"/>
  <c r="K167" i="21" s="1"/>
  <c r="V167" i="21"/>
  <c r="J167" i="21" s="1"/>
  <c r="U167" i="21"/>
  <c r="I167" i="21" s="1"/>
  <c r="T167" i="21"/>
  <c r="H167" i="21" s="1"/>
  <c r="BM166" i="21"/>
  <c r="BJ166" i="21"/>
  <c r="BG166" i="21"/>
  <c r="BD166" i="21"/>
  <c r="AX166" i="21"/>
  <c r="AU166" i="21" s="1"/>
  <c r="AC166" i="21"/>
  <c r="Q166" i="21" s="1"/>
  <c r="AB166" i="21"/>
  <c r="P166" i="21" s="1"/>
  <c r="AA166" i="21"/>
  <c r="O166" i="21" s="1"/>
  <c r="Z166" i="21"/>
  <c r="N166" i="21" s="1"/>
  <c r="Y166" i="21"/>
  <c r="M166" i="21" s="1"/>
  <c r="X166" i="21"/>
  <c r="L166" i="21" s="1"/>
  <c r="W166" i="21"/>
  <c r="K166" i="21" s="1"/>
  <c r="V166" i="21"/>
  <c r="J166" i="21" s="1"/>
  <c r="U166" i="21"/>
  <c r="I166" i="21" s="1"/>
  <c r="T166" i="21"/>
  <c r="H166" i="21" s="1"/>
  <c r="BM165" i="21"/>
  <c r="BJ165" i="21"/>
  <c r="BG165" i="21"/>
  <c r="BD165" i="21"/>
  <c r="AX165" i="21"/>
  <c r="AC165" i="21"/>
  <c r="Q165" i="21" s="1"/>
  <c r="AB165" i="21"/>
  <c r="P165" i="21" s="1"/>
  <c r="AA165" i="21"/>
  <c r="O165" i="21" s="1"/>
  <c r="Y165" i="21"/>
  <c r="M165" i="21" s="1"/>
  <c r="X165" i="21"/>
  <c r="L165" i="21" s="1"/>
  <c r="W165" i="21"/>
  <c r="K165" i="21" s="1"/>
  <c r="V165" i="21"/>
  <c r="J165" i="21" s="1"/>
  <c r="U165" i="21"/>
  <c r="I165" i="21" s="1"/>
  <c r="T165" i="21"/>
  <c r="H165" i="21" s="1"/>
  <c r="BQ138" i="21"/>
  <c r="AL138" i="21"/>
  <c r="AE138" i="21" s="1"/>
  <c r="AY138" i="21" s="1"/>
  <c r="BM159" i="21"/>
  <c r="BJ159" i="21"/>
  <c r="BG159" i="21"/>
  <c r="BD159" i="21"/>
  <c r="AX159" i="21"/>
  <c r="AU159" i="21" s="1"/>
  <c r="AE159" i="21"/>
  <c r="AY159" i="21" s="1"/>
  <c r="AC159" i="21"/>
  <c r="Q159" i="21" s="1"/>
  <c r="AB159" i="21"/>
  <c r="P159" i="21" s="1"/>
  <c r="AA159" i="21"/>
  <c r="O159" i="21" s="1"/>
  <c r="Z159" i="21"/>
  <c r="N159" i="21" s="1"/>
  <c r="Y159" i="21"/>
  <c r="X159" i="21"/>
  <c r="L159" i="21" s="1"/>
  <c r="W159" i="21"/>
  <c r="K159" i="21" s="1"/>
  <c r="V159" i="21"/>
  <c r="J159" i="21" s="1"/>
  <c r="U159" i="21"/>
  <c r="I159" i="21" s="1"/>
  <c r="T159" i="21"/>
  <c r="H159" i="21" s="1"/>
  <c r="AR156" i="21"/>
  <c r="AS156" i="21" s="1"/>
  <c r="AR155" i="21"/>
  <c r="AS155" i="21" s="1"/>
  <c r="AR137" i="21"/>
  <c r="AS137" i="21" s="1"/>
  <c r="BM153" i="21"/>
  <c r="BJ153" i="21"/>
  <c r="BG153" i="21"/>
  <c r="BD153" i="21"/>
  <c r="AX153" i="21"/>
  <c r="AU153" i="21" s="1"/>
  <c r="AE153" i="21"/>
  <c r="AY153" i="21" s="1"/>
  <c r="AC153" i="21"/>
  <c r="Q153" i="21" s="1"/>
  <c r="AB153" i="21"/>
  <c r="P153" i="21" s="1"/>
  <c r="AA153" i="21"/>
  <c r="O153" i="21" s="1"/>
  <c r="Z153" i="21"/>
  <c r="N153" i="21" s="1"/>
  <c r="Y153" i="21"/>
  <c r="M153" i="21" s="1"/>
  <c r="X153" i="21"/>
  <c r="L153" i="21" s="1"/>
  <c r="W153" i="21"/>
  <c r="K153" i="21" s="1"/>
  <c r="V153" i="21"/>
  <c r="J153" i="21" s="1"/>
  <c r="U153" i="21"/>
  <c r="I153" i="21" s="1"/>
  <c r="T153" i="21"/>
  <c r="H153" i="21" s="1"/>
  <c r="BM152" i="21"/>
  <c r="BJ152" i="21"/>
  <c r="BG152" i="21"/>
  <c r="BD152" i="21"/>
  <c r="AX152" i="21"/>
  <c r="AE152" i="21"/>
  <c r="AY152" i="21" s="1"/>
  <c r="AC152" i="21"/>
  <c r="Q152" i="21" s="1"/>
  <c r="AB152" i="21"/>
  <c r="P152" i="21" s="1"/>
  <c r="AA152" i="21"/>
  <c r="O152" i="21" s="1"/>
  <c r="Z152" i="21"/>
  <c r="N152" i="21" s="1"/>
  <c r="Y152" i="21"/>
  <c r="M152" i="21" s="1"/>
  <c r="X152" i="21"/>
  <c r="L152" i="21" s="1"/>
  <c r="W152" i="21"/>
  <c r="K152" i="21" s="1"/>
  <c r="V152" i="21"/>
  <c r="U152" i="21"/>
  <c r="I152" i="21" s="1"/>
  <c r="T152" i="21"/>
  <c r="H152" i="21" s="1"/>
  <c r="AE146" i="21"/>
  <c r="AY146" i="21" s="1"/>
  <c r="BM148" i="21"/>
  <c r="BJ148" i="21"/>
  <c r="BG148" i="21"/>
  <c r="BD148" i="21"/>
  <c r="AX148" i="21"/>
  <c r="AU148" i="21" s="1"/>
  <c r="AE148" i="21"/>
  <c r="AY148" i="21" s="1"/>
  <c r="AC148" i="21"/>
  <c r="Q148" i="21" s="1"/>
  <c r="AB148" i="21"/>
  <c r="P148" i="21" s="1"/>
  <c r="AA148" i="21"/>
  <c r="O148" i="21" s="1"/>
  <c r="Z148" i="21"/>
  <c r="N148" i="21" s="1"/>
  <c r="Y148" i="21"/>
  <c r="M148" i="21" s="1"/>
  <c r="X148" i="21"/>
  <c r="W148" i="21"/>
  <c r="K148" i="21" s="1"/>
  <c r="V148" i="21"/>
  <c r="J148" i="21" s="1"/>
  <c r="U148" i="21"/>
  <c r="I148" i="21" s="1"/>
  <c r="T148" i="21"/>
  <c r="H148" i="21" s="1"/>
  <c r="BM147" i="21"/>
  <c r="BJ147" i="21"/>
  <c r="BG147" i="21"/>
  <c r="BD147" i="21"/>
  <c r="AX147" i="21"/>
  <c r="AU147" i="21" s="1"/>
  <c r="AE147" i="21"/>
  <c r="AY147" i="21" s="1"/>
  <c r="AC147" i="21"/>
  <c r="Q147" i="21" s="1"/>
  <c r="AB147" i="21"/>
  <c r="P147" i="21" s="1"/>
  <c r="AA147" i="21"/>
  <c r="O147" i="21" s="1"/>
  <c r="Z147" i="21"/>
  <c r="N147" i="21" s="1"/>
  <c r="Y147" i="21"/>
  <c r="M147" i="21" s="1"/>
  <c r="X147" i="21"/>
  <c r="L147" i="21" s="1"/>
  <c r="W147" i="21"/>
  <c r="K147" i="21" s="1"/>
  <c r="V147" i="21"/>
  <c r="J147" i="21" s="1"/>
  <c r="U147" i="21"/>
  <c r="I147" i="21" s="1"/>
  <c r="T147" i="21"/>
  <c r="H147" i="21" s="1"/>
  <c r="BM146" i="21"/>
  <c r="BJ146" i="21"/>
  <c r="BG146" i="21"/>
  <c r="BD146" i="21"/>
  <c r="AX146" i="21"/>
  <c r="AU146" i="21" s="1"/>
  <c r="AC146" i="21"/>
  <c r="Q146" i="21" s="1"/>
  <c r="AB146" i="21"/>
  <c r="P146" i="21" s="1"/>
  <c r="AA146" i="21"/>
  <c r="O146" i="21" s="1"/>
  <c r="Y146" i="21"/>
  <c r="M146" i="21" s="1"/>
  <c r="X146" i="21"/>
  <c r="L146" i="21" s="1"/>
  <c r="W146" i="21"/>
  <c r="K146" i="21" s="1"/>
  <c r="V146" i="21"/>
  <c r="J146" i="21" s="1"/>
  <c r="U146" i="21"/>
  <c r="I146" i="21" s="1"/>
  <c r="T146" i="21"/>
  <c r="H146" i="21" s="1"/>
  <c r="AR143" i="21"/>
  <c r="AS143" i="21" s="1"/>
  <c r="BM142" i="21"/>
  <c r="BJ142" i="21"/>
  <c r="BG142" i="21"/>
  <c r="BD142" i="21"/>
  <c r="AX142" i="21"/>
  <c r="AE142" i="21"/>
  <c r="AY142" i="21" s="1"/>
  <c r="AC142" i="21"/>
  <c r="Q142" i="21" s="1"/>
  <c r="AB142" i="21"/>
  <c r="P142" i="21" s="1"/>
  <c r="AA142" i="21"/>
  <c r="O142" i="21" s="1"/>
  <c r="Z142" i="21"/>
  <c r="N142" i="21" s="1"/>
  <c r="Y142" i="21"/>
  <c r="M142" i="21" s="1"/>
  <c r="X142" i="21"/>
  <c r="L142" i="21" s="1"/>
  <c r="W142" i="21"/>
  <c r="K142" i="21" s="1"/>
  <c r="V142" i="21"/>
  <c r="J142" i="21" s="1"/>
  <c r="U142" i="21"/>
  <c r="I142" i="21" s="1"/>
  <c r="T142" i="21"/>
  <c r="H142" i="21" s="1"/>
  <c r="AR73" i="21"/>
  <c r="AS73" i="21" s="1"/>
  <c r="AR136" i="21"/>
  <c r="AS136" i="21" s="1"/>
  <c r="BM139" i="21"/>
  <c r="BJ139" i="21"/>
  <c r="BG139" i="21"/>
  <c r="BD139" i="21"/>
  <c r="AX139" i="21"/>
  <c r="AU139" i="21" s="1"/>
  <c r="AE139" i="21"/>
  <c r="AY139" i="21" s="1"/>
  <c r="AC139" i="21"/>
  <c r="Q139" i="21" s="1"/>
  <c r="AB139" i="21"/>
  <c r="P139" i="21" s="1"/>
  <c r="AA139" i="21"/>
  <c r="O139" i="21" s="1"/>
  <c r="Z139" i="21"/>
  <c r="N139" i="21" s="1"/>
  <c r="Y139" i="21"/>
  <c r="M139" i="21" s="1"/>
  <c r="X139" i="21"/>
  <c r="L139" i="21" s="1"/>
  <c r="W139" i="21"/>
  <c r="K139" i="21" s="1"/>
  <c r="V139" i="21"/>
  <c r="J139" i="21" s="1"/>
  <c r="U139" i="21"/>
  <c r="I139" i="21" s="1"/>
  <c r="T139" i="21"/>
  <c r="H139" i="21" s="1"/>
  <c r="BM138" i="21"/>
  <c r="BJ138" i="21"/>
  <c r="BG138" i="21"/>
  <c r="BD138" i="21"/>
  <c r="AX138" i="21"/>
  <c r="AC138" i="21"/>
  <c r="Q138" i="21" s="1"/>
  <c r="AB138" i="21"/>
  <c r="P138" i="21" s="1"/>
  <c r="AA138" i="21"/>
  <c r="O138" i="21" s="1"/>
  <c r="Y138" i="21"/>
  <c r="M138" i="21" s="1"/>
  <c r="X138" i="21"/>
  <c r="L138" i="21" s="1"/>
  <c r="W138" i="21"/>
  <c r="K138" i="21" s="1"/>
  <c r="V138" i="21"/>
  <c r="J138" i="21" s="1"/>
  <c r="U138" i="21"/>
  <c r="I138" i="21" s="1"/>
  <c r="T138" i="21"/>
  <c r="H138" i="21" s="1"/>
  <c r="BM134" i="21"/>
  <c r="BJ134" i="21"/>
  <c r="BG134" i="21"/>
  <c r="BD134" i="21"/>
  <c r="AX134" i="21"/>
  <c r="AU134" i="21" s="1"/>
  <c r="AE134" i="21"/>
  <c r="AY134" i="21" s="1"/>
  <c r="AC134" i="21"/>
  <c r="Q134" i="21" s="1"/>
  <c r="AB134" i="21"/>
  <c r="P134" i="21" s="1"/>
  <c r="AA134" i="21"/>
  <c r="O134" i="21" s="1"/>
  <c r="Z134" i="21"/>
  <c r="N134" i="21" s="1"/>
  <c r="Y134" i="21"/>
  <c r="M134" i="21" s="1"/>
  <c r="X134" i="21"/>
  <c r="L134" i="21" s="1"/>
  <c r="W134" i="21"/>
  <c r="K134" i="21" s="1"/>
  <c r="V134" i="21"/>
  <c r="J134" i="21" s="1"/>
  <c r="U134" i="21"/>
  <c r="I134" i="21" s="1"/>
  <c r="T134" i="21"/>
  <c r="H134" i="21" s="1"/>
  <c r="AR133" i="21"/>
  <c r="AS133" i="21" s="1"/>
  <c r="AW125" i="21"/>
  <c r="AX125" i="21" s="1"/>
  <c r="BH125" i="21"/>
  <c r="BB125" i="21"/>
  <c r="BM124" i="21"/>
  <c r="BJ124" i="21"/>
  <c r="BG124" i="21"/>
  <c r="BD124" i="21"/>
  <c r="AX124" i="21"/>
  <c r="AU124" i="21" s="1"/>
  <c r="BM125" i="21"/>
  <c r="BJ125" i="21"/>
  <c r="BG125" i="21"/>
  <c r="BD125" i="21"/>
  <c r="AE125" i="21"/>
  <c r="AC125" i="21"/>
  <c r="Q125" i="21" s="1"/>
  <c r="AB125" i="21"/>
  <c r="P125" i="21" s="1"/>
  <c r="AA125" i="21"/>
  <c r="O125" i="21" s="1"/>
  <c r="Z125" i="21"/>
  <c r="N125" i="21" s="1"/>
  <c r="Y125" i="21"/>
  <c r="M125" i="21" s="1"/>
  <c r="X125" i="21"/>
  <c r="W125" i="21"/>
  <c r="K125" i="21" s="1"/>
  <c r="V125" i="21"/>
  <c r="J125" i="21" s="1"/>
  <c r="U125" i="21"/>
  <c r="I125" i="21" s="1"/>
  <c r="T125" i="21"/>
  <c r="H125" i="21" s="1"/>
  <c r="AE124" i="21"/>
  <c r="AC124" i="21"/>
  <c r="Q124" i="21" s="1"/>
  <c r="AB124" i="21"/>
  <c r="P124" i="21" s="1"/>
  <c r="AA124" i="21"/>
  <c r="O124" i="21" s="1"/>
  <c r="Z124" i="21"/>
  <c r="Y124" i="21"/>
  <c r="M124" i="21" s="1"/>
  <c r="X124" i="21"/>
  <c r="L124" i="21" s="1"/>
  <c r="W124" i="21"/>
  <c r="K124" i="21" s="1"/>
  <c r="V124" i="21"/>
  <c r="J124" i="21" s="1"/>
  <c r="U124" i="21"/>
  <c r="I124" i="21" s="1"/>
  <c r="T124" i="21"/>
  <c r="H124" i="21" s="1"/>
  <c r="BM123" i="21"/>
  <c r="BJ123" i="21"/>
  <c r="BG123" i="21"/>
  <c r="BD123" i="21"/>
  <c r="AX123" i="21"/>
  <c r="AU123" i="21" s="1"/>
  <c r="AE123" i="21"/>
  <c r="AY123" i="21" s="1"/>
  <c r="AC123" i="21"/>
  <c r="Q123" i="21" s="1"/>
  <c r="AB123" i="21"/>
  <c r="P123" i="21" s="1"/>
  <c r="AA123" i="21"/>
  <c r="O123" i="21" s="1"/>
  <c r="Z123" i="21"/>
  <c r="N123" i="21" s="1"/>
  <c r="Y123" i="21"/>
  <c r="M123" i="21" s="1"/>
  <c r="X123" i="21"/>
  <c r="L123" i="21" s="1"/>
  <c r="W123" i="21"/>
  <c r="K123" i="21" s="1"/>
  <c r="V123" i="21"/>
  <c r="J123" i="21" s="1"/>
  <c r="U123" i="21"/>
  <c r="I123" i="21" s="1"/>
  <c r="T123" i="21"/>
  <c r="H123" i="21" s="1"/>
  <c r="BM120" i="21"/>
  <c r="BJ120" i="21"/>
  <c r="BG120" i="21"/>
  <c r="BD120" i="21"/>
  <c r="AX120" i="21"/>
  <c r="AE120" i="21"/>
  <c r="AY120" i="21" s="1"/>
  <c r="AC120" i="21"/>
  <c r="Q120" i="21" s="1"/>
  <c r="AB120" i="21"/>
  <c r="P120" i="21" s="1"/>
  <c r="AA120" i="21"/>
  <c r="O120" i="21" s="1"/>
  <c r="Z120" i="21"/>
  <c r="N120" i="21" s="1"/>
  <c r="Y120" i="21"/>
  <c r="M120" i="21" s="1"/>
  <c r="X120" i="21"/>
  <c r="W120" i="21"/>
  <c r="K120" i="21" s="1"/>
  <c r="V120" i="21"/>
  <c r="J120" i="21" s="1"/>
  <c r="U120" i="21"/>
  <c r="I120" i="21" s="1"/>
  <c r="T120" i="21"/>
  <c r="H120" i="21" s="1"/>
  <c r="BM119" i="21"/>
  <c r="BJ119" i="21"/>
  <c r="BG119" i="21"/>
  <c r="BD119" i="21"/>
  <c r="AX119" i="21"/>
  <c r="AE119" i="21"/>
  <c r="AY119" i="21" s="1"/>
  <c r="AC119" i="21"/>
  <c r="Q119" i="21" s="1"/>
  <c r="AB119" i="21"/>
  <c r="P119" i="21" s="1"/>
  <c r="AA119" i="21"/>
  <c r="O119" i="21" s="1"/>
  <c r="Z119" i="21"/>
  <c r="N119" i="21" s="1"/>
  <c r="Y119" i="21"/>
  <c r="M119" i="21" s="1"/>
  <c r="X119" i="21"/>
  <c r="L119" i="21" s="1"/>
  <c r="W119" i="21"/>
  <c r="K119" i="21" s="1"/>
  <c r="V119" i="21"/>
  <c r="J119" i="21" s="1"/>
  <c r="U119" i="21"/>
  <c r="I119" i="21" s="1"/>
  <c r="T119" i="21"/>
  <c r="H119" i="21" s="1"/>
  <c r="BM118" i="21"/>
  <c r="BJ118" i="21"/>
  <c r="BG118" i="21"/>
  <c r="BD118" i="21"/>
  <c r="AX118" i="21"/>
  <c r="AU118" i="21" s="1"/>
  <c r="AE118" i="21"/>
  <c r="AY118" i="21" s="1"/>
  <c r="AC118" i="21"/>
  <c r="Q118" i="21" s="1"/>
  <c r="AB118" i="21"/>
  <c r="P118" i="21" s="1"/>
  <c r="AA118" i="21"/>
  <c r="O118" i="21" s="1"/>
  <c r="Z118" i="21"/>
  <c r="N118" i="21" s="1"/>
  <c r="Y118" i="21"/>
  <c r="M118" i="21" s="1"/>
  <c r="X118" i="21"/>
  <c r="L118" i="21" s="1"/>
  <c r="W118" i="21"/>
  <c r="K118" i="21" s="1"/>
  <c r="V118" i="21"/>
  <c r="J118" i="21" s="1"/>
  <c r="U118" i="21"/>
  <c r="I118" i="21" s="1"/>
  <c r="T118" i="21"/>
  <c r="H118" i="21" s="1"/>
  <c r="BM116" i="21"/>
  <c r="BJ116" i="21"/>
  <c r="BG116" i="21"/>
  <c r="BD116" i="21"/>
  <c r="AX116" i="21"/>
  <c r="AU116" i="21" s="1"/>
  <c r="AE116" i="21"/>
  <c r="AY116" i="21" s="1"/>
  <c r="AC116" i="21"/>
  <c r="Q116" i="21" s="1"/>
  <c r="AB116" i="21"/>
  <c r="P116" i="21" s="1"/>
  <c r="AA116" i="21"/>
  <c r="O116" i="21" s="1"/>
  <c r="Z116" i="21"/>
  <c r="N116" i="21" s="1"/>
  <c r="Y116" i="21"/>
  <c r="M116" i="21" s="1"/>
  <c r="X116" i="21"/>
  <c r="L116" i="21" s="1"/>
  <c r="W116" i="21"/>
  <c r="K116" i="21" s="1"/>
  <c r="V116" i="21"/>
  <c r="J116" i="21" s="1"/>
  <c r="U116" i="21"/>
  <c r="T116" i="21"/>
  <c r="H116" i="21" s="1"/>
  <c r="BM113" i="21"/>
  <c r="BJ113" i="21"/>
  <c r="BG113" i="21"/>
  <c r="BD113" i="21"/>
  <c r="AX113" i="21"/>
  <c r="AU113" i="21" s="1"/>
  <c r="AE113" i="21"/>
  <c r="AY113" i="21" s="1"/>
  <c r="AC113" i="21"/>
  <c r="Q113" i="21" s="1"/>
  <c r="AB113" i="21"/>
  <c r="P113" i="21" s="1"/>
  <c r="AA113" i="21"/>
  <c r="O113" i="21" s="1"/>
  <c r="Z113" i="21"/>
  <c r="N113" i="21" s="1"/>
  <c r="Y113" i="21"/>
  <c r="M113" i="21" s="1"/>
  <c r="X113" i="21"/>
  <c r="L113" i="21" s="1"/>
  <c r="W113" i="21"/>
  <c r="K113" i="21" s="1"/>
  <c r="V113" i="21"/>
  <c r="J113" i="21" s="1"/>
  <c r="U113" i="21"/>
  <c r="I113" i="21" s="1"/>
  <c r="T113" i="21"/>
  <c r="H113" i="21" s="1"/>
  <c r="BM112" i="21"/>
  <c r="BJ112" i="21"/>
  <c r="BG112" i="21"/>
  <c r="BD112" i="21"/>
  <c r="AX112" i="21"/>
  <c r="AE112" i="21"/>
  <c r="AY112" i="21" s="1"/>
  <c r="AC112" i="21"/>
  <c r="Q112" i="21" s="1"/>
  <c r="AB112" i="21"/>
  <c r="P112" i="21" s="1"/>
  <c r="AA112" i="21"/>
  <c r="O112" i="21" s="1"/>
  <c r="Z112" i="21"/>
  <c r="N112" i="21" s="1"/>
  <c r="Y112" i="21"/>
  <c r="M112" i="21" s="1"/>
  <c r="X112" i="21"/>
  <c r="L112" i="21" s="1"/>
  <c r="W112" i="21"/>
  <c r="K112" i="21" s="1"/>
  <c r="V112" i="21"/>
  <c r="J112" i="21" s="1"/>
  <c r="U112" i="21"/>
  <c r="I112" i="21" s="1"/>
  <c r="T112" i="21"/>
  <c r="H112" i="21" s="1"/>
  <c r="BM111" i="21"/>
  <c r="BJ111" i="21"/>
  <c r="BG111" i="21"/>
  <c r="BD111" i="21"/>
  <c r="AX111" i="21"/>
  <c r="AE111" i="21"/>
  <c r="AY111" i="21" s="1"/>
  <c r="AC111" i="21"/>
  <c r="Q111" i="21" s="1"/>
  <c r="AB111" i="21"/>
  <c r="P111" i="21" s="1"/>
  <c r="AA111" i="21"/>
  <c r="O111" i="21" s="1"/>
  <c r="Z111" i="21"/>
  <c r="N111" i="21" s="1"/>
  <c r="Y111" i="21"/>
  <c r="M111" i="21" s="1"/>
  <c r="X111" i="21"/>
  <c r="L111" i="21" s="1"/>
  <c r="W111" i="21"/>
  <c r="K111" i="21" s="1"/>
  <c r="V111" i="21"/>
  <c r="J111" i="21" s="1"/>
  <c r="U111" i="21"/>
  <c r="I111" i="21" s="1"/>
  <c r="T111" i="21"/>
  <c r="H111" i="21" s="1"/>
  <c r="BM108" i="21"/>
  <c r="BJ108" i="21"/>
  <c r="BG108" i="21"/>
  <c r="BD108" i="21"/>
  <c r="AX108" i="21"/>
  <c r="AU108" i="21" s="1"/>
  <c r="AE108" i="21"/>
  <c r="AY108" i="21" s="1"/>
  <c r="AC108" i="21"/>
  <c r="Q108" i="21" s="1"/>
  <c r="AB108" i="21"/>
  <c r="P108" i="21" s="1"/>
  <c r="AA108" i="21"/>
  <c r="O108" i="21" s="1"/>
  <c r="Z108" i="21"/>
  <c r="Y108" i="21"/>
  <c r="M108" i="21" s="1"/>
  <c r="X108" i="21"/>
  <c r="L108" i="21" s="1"/>
  <c r="W108" i="21"/>
  <c r="K108" i="21" s="1"/>
  <c r="V108" i="21"/>
  <c r="J108" i="21" s="1"/>
  <c r="U108" i="21"/>
  <c r="I108" i="21" s="1"/>
  <c r="T108" i="21"/>
  <c r="H108" i="21" s="1"/>
  <c r="AR97" i="21"/>
  <c r="AS97" i="21" s="1"/>
  <c r="BM96" i="21"/>
  <c r="BJ96" i="21"/>
  <c r="BG96" i="21"/>
  <c r="BD96" i="21"/>
  <c r="AX96" i="21"/>
  <c r="AE96" i="21"/>
  <c r="AY96" i="21" s="1"/>
  <c r="AC96" i="21"/>
  <c r="Q96" i="21" s="1"/>
  <c r="AB96" i="21"/>
  <c r="P96" i="21" s="1"/>
  <c r="AA96" i="21"/>
  <c r="O96" i="21" s="1"/>
  <c r="Z96" i="21"/>
  <c r="N96" i="21" s="1"/>
  <c r="Y96" i="21"/>
  <c r="M96" i="21" s="1"/>
  <c r="X96" i="21"/>
  <c r="L96" i="21" s="1"/>
  <c r="W96" i="21"/>
  <c r="K96" i="21" s="1"/>
  <c r="V96" i="21"/>
  <c r="U96" i="21"/>
  <c r="I96" i="21" s="1"/>
  <c r="T96" i="21"/>
  <c r="H96" i="21" s="1"/>
  <c r="BM93" i="21"/>
  <c r="BJ93" i="21"/>
  <c r="BG93" i="21"/>
  <c r="BD93" i="21"/>
  <c r="AX93" i="21"/>
  <c r="AE93" i="21"/>
  <c r="AY93" i="21" s="1"/>
  <c r="AC93" i="21"/>
  <c r="Q93" i="21" s="1"/>
  <c r="AB93" i="21"/>
  <c r="P93" i="21" s="1"/>
  <c r="AA93" i="21"/>
  <c r="O93" i="21" s="1"/>
  <c r="Z93" i="21"/>
  <c r="N93" i="21" s="1"/>
  <c r="Y93" i="21"/>
  <c r="M93" i="21" s="1"/>
  <c r="X93" i="21"/>
  <c r="L93" i="21" s="1"/>
  <c r="W93" i="21"/>
  <c r="K93" i="21" s="1"/>
  <c r="V93" i="21"/>
  <c r="J93" i="21" s="1"/>
  <c r="U93" i="21"/>
  <c r="I93" i="21" s="1"/>
  <c r="T93" i="21"/>
  <c r="H93" i="21" s="1"/>
  <c r="BM89" i="21"/>
  <c r="BJ89" i="21"/>
  <c r="BG89" i="21"/>
  <c r="BD89" i="21"/>
  <c r="AX89" i="21"/>
  <c r="AU89" i="21" s="1"/>
  <c r="AE89" i="21"/>
  <c r="AY89" i="21" s="1"/>
  <c r="AC89" i="21"/>
  <c r="Q89" i="21" s="1"/>
  <c r="AB89" i="21"/>
  <c r="P89" i="21" s="1"/>
  <c r="AA89" i="21"/>
  <c r="O89" i="21" s="1"/>
  <c r="Z89" i="21"/>
  <c r="N89" i="21" s="1"/>
  <c r="Y89" i="21"/>
  <c r="M89" i="21" s="1"/>
  <c r="X89" i="21"/>
  <c r="L89" i="21" s="1"/>
  <c r="W89" i="21"/>
  <c r="K89" i="21" s="1"/>
  <c r="V89" i="21"/>
  <c r="J89" i="21" s="1"/>
  <c r="U89" i="21"/>
  <c r="I89" i="21" s="1"/>
  <c r="T89" i="21"/>
  <c r="H89" i="21" s="1"/>
  <c r="BQ88" i="21"/>
  <c r="BQ87" i="21"/>
  <c r="BM88" i="21"/>
  <c r="BJ88" i="21"/>
  <c r="BG88" i="21"/>
  <c r="BD88" i="21"/>
  <c r="AX88" i="21"/>
  <c r="AE88" i="21"/>
  <c r="AY88" i="21" s="1"/>
  <c r="AC88" i="21"/>
  <c r="Q88" i="21" s="1"/>
  <c r="AB88" i="21"/>
  <c r="P88" i="21" s="1"/>
  <c r="AA88" i="21"/>
  <c r="O88" i="21" s="1"/>
  <c r="Z88" i="21"/>
  <c r="N88" i="21" s="1"/>
  <c r="Y88" i="21"/>
  <c r="M88" i="21" s="1"/>
  <c r="X88" i="21"/>
  <c r="L88" i="21" s="1"/>
  <c r="W88" i="21"/>
  <c r="K88" i="21" s="1"/>
  <c r="V88" i="21"/>
  <c r="J88" i="21" s="1"/>
  <c r="U88" i="21"/>
  <c r="I88" i="21" s="1"/>
  <c r="T88" i="21"/>
  <c r="H88" i="21" s="1"/>
  <c r="BM87" i="21"/>
  <c r="BJ87" i="21"/>
  <c r="BG87" i="21"/>
  <c r="BD87" i="21"/>
  <c r="AX87" i="21"/>
  <c r="AE87" i="21"/>
  <c r="AY87" i="21" s="1"/>
  <c r="AC87" i="21"/>
  <c r="Q87" i="21" s="1"/>
  <c r="AB87" i="21"/>
  <c r="P87" i="21" s="1"/>
  <c r="AA87" i="21"/>
  <c r="O87" i="21" s="1"/>
  <c r="Z87" i="21"/>
  <c r="N87" i="21" s="1"/>
  <c r="Y87" i="21"/>
  <c r="M87" i="21" s="1"/>
  <c r="X87" i="21"/>
  <c r="L87" i="21" s="1"/>
  <c r="W87" i="21"/>
  <c r="K87" i="21" s="1"/>
  <c r="V87" i="21"/>
  <c r="J87" i="21" s="1"/>
  <c r="U87" i="21"/>
  <c r="I87" i="21" s="1"/>
  <c r="T87" i="21"/>
  <c r="BQ82" i="21"/>
  <c r="BQ83" i="21"/>
  <c r="BM83" i="21"/>
  <c r="BJ83" i="21"/>
  <c r="BG83" i="21"/>
  <c r="BD83" i="21"/>
  <c r="AX83" i="21"/>
  <c r="AE83" i="21"/>
  <c r="AY83" i="21" s="1"/>
  <c r="AC83" i="21"/>
  <c r="Q83" i="21" s="1"/>
  <c r="AB83" i="21"/>
  <c r="P83" i="21" s="1"/>
  <c r="AA83" i="21"/>
  <c r="O83" i="21" s="1"/>
  <c r="Z83" i="21"/>
  <c r="N83" i="21" s="1"/>
  <c r="Y83" i="21"/>
  <c r="M83" i="21" s="1"/>
  <c r="X83" i="21"/>
  <c r="L83" i="21" s="1"/>
  <c r="W83" i="21"/>
  <c r="K83" i="21" s="1"/>
  <c r="V83" i="21"/>
  <c r="J83" i="21" s="1"/>
  <c r="U83" i="21"/>
  <c r="T83" i="21"/>
  <c r="H83" i="21" s="1"/>
  <c r="BM84" i="21"/>
  <c r="BJ84" i="21"/>
  <c r="BG84" i="21"/>
  <c r="BD84" i="21"/>
  <c r="AX84" i="21"/>
  <c r="AU84" i="21" s="1"/>
  <c r="AE84" i="21"/>
  <c r="AY84" i="21" s="1"/>
  <c r="AC84" i="21"/>
  <c r="Q84" i="21" s="1"/>
  <c r="AB84" i="21"/>
  <c r="P84" i="21" s="1"/>
  <c r="AA84" i="21"/>
  <c r="O84" i="21" s="1"/>
  <c r="Z84" i="21"/>
  <c r="Y84" i="21"/>
  <c r="M84" i="21" s="1"/>
  <c r="X84" i="21"/>
  <c r="L84" i="21" s="1"/>
  <c r="W84" i="21"/>
  <c r="K84" i="21" s="1"/>
  <c r="V84" i="21"/>
  <c r="J84" i="21" s="1"/>
  <c r="U84" i="21"/>
  <c r="I84" i="21" s="1"/>
  <c r="T84" i="21"/>
  <c r="H84" i="21" s="1"/>
  <c r="BM82" i="21"/>
  <c r="BJ82" i="21"/>
  <c r="BG82" i="21"/>
  <c r="BD82" i="21"/>
  <c r="AX82" i="21"/>
  <c r="AE82" i="21"/>
  <c r="AY82" i="21" s="1"/>
  <c r="AC82" i="21"/>
  <c r="Q82" i="21" s="1"/>
  <c r="AB82" i="21"/>
  <c r="P82" i="21" s="1"/>
  <c r="AA82" i="21"/>
  <c r="O82" i="21" s="1"/>
  <c r="Z82" i="21"/>
  <c r="N82" i="21" s="1"/>
  <c r="Y82" i="21"/>
  <c r="M82" i="21" s="1"/>
  <c r="X82" i="21"/>
  <c r="L82" i="21" s="1"/>
  <c r="W82" i="21"/>
  <c r="K82" i="21" s="1"/>
  <c r="V82" i="21"/>
  <c r="J82" i="21" s="1"/>
  <c r="U82" i="21"/>
  <c r="I82" i="21" s="1"/>
  <c r="T82" i="21"/>
  <c r="H82" i="21" s="1"/>
  <c r="AR79" i="21"/>
  <c r="AS79" i="21" s="1"/>
  <c r="AR61" i="21"/>
  <c r="AS61" i="21" s="1"/>
  <c r="BM60" i="21"/>
  <c r="BJ60" i="21"/>
  <c r="BG60" i="21"/>
  <c r="BD60" i="21"/>
  <c r="AX60" i="21"/>
  <c r="AU60" i="21" s="1"/>
  <c r="AE60" i="21"/>
  <c r="AY60" i="21" s="1"/>
  <c r="AC60" i="21"/>
  <c r="Q60" i="21" s="1"/>
  <c r="AB60" i="21"/>
  <c r="P60" i="21" s="1"/>
  <c r="AA60" i="21"/>
  <c r="O60" i="21" s="1"/>
  <c r="Z60" i="21"/>
  <c r="Y60" i="21"/>
  <c r="M60" i="21" s="1"/>
  <c r="X60" i="21"/>
  <c r="L60" i="21" s="1"/>
  <c r="W60" i="21"/>
  <c r="K60" i="21" s="1"/>
  <c r="V60" i="21"/>
  <c r="J60" i="21" s="1"/>
  <c r="U60" i="21"/>
  <c r="I60" i="21" s="1"/>
  <c r="T60" i="21"/>
  <c r="H60" i="21" s="1"/>
  <c r="BM69" i="21"/>
  <c r="BJ69" i="21"/>
  <c r="BG69" i="21"/>
  <c r="BD69" i="21"/>
  <c r="AX69" i="21"/>
  <c r="AU69" i="21" s="1"/>
  <c r="AE69" i="21"/>
  <c r="AY69" i="21" s="1"/>
  <c r="AC69" i="21"/>
  <c r="Q69" i="21" s="1"/>
  <c r="AB69" i="21"/>
  <c r="P69" i="21" s="1"/>
  <c r="AA69" i="21"/>
  <c r="O69" i="21" s="1"/>
  <c r="Z69" i="21"/>
  <c r="N69" i="21" s="1"/>
  <c r="Y69" i="21"/>
  <c r="M69" i="21" s="1"/>
  <c r="X69" i="21"/>
  <c r="L69" i="21" s="1"/>
  <c r="W69" i="21"/>
  <c r="K69" i="21" s="1"/>
  <c r="V69" i="21"/>
  <c r="U69" i="21"/>
  <c r="I69" i="21" s="1"/>
  <c r="T69" i="21"/>
  <c r="H69" i="21" s="1"/>
  <c r="AL58" i="21"/>
  <c r="BM62" i="21"/>
  <c r="BJ62" i="21"/>
  <c r="BG62" i="21"/>
  <c r="BD62" i="21"/>
  <c r="AX62" i="21"/>
  <c r="AU62" i="21" s="1"/>
  <c r="AE62" i="21"/>
  <c r="AY62" i="21" s="1"/>
  <c r="AC62" i="21"/>
  <c r="Q62" i="21" s="1"/>
  <c r="AB62" i="21"/>
  <c r="P62" i="21" s="1"/>
  <c r="AA62" i="21"/>
  <c r="O62" i="21" s="1"/>
  <c r="Z62" i="21"/>
  <c r="N62" i="21" s="1"/>
  <c r="Y62" i="21"/>
  <c r="M62" i="21" s="1"/>
  <c r="X62" i="21"/>
  <c r="L62" i="21" s="1"/>
  <c r="W62" i="21"/>
  <c r="K62" i="21" s="1"/>
  <c r="V62" i="21"/>
  <c r="J62" i="21" s="1"/>
  <c r="U62" i="21"/>
  <c r="I62" i="21" s="1"/>
  <c r="T62" i="21"/>
  <c r="H62" i="21" s="1"/>
  <c r="BM67" i="21"/>
  <c r="BJ67" i="21"/>
  <c r="BG67" i="21"/>
  <c r="BD67" i="21"/>
  <c r="AX67" i="21"/>
  <c r="AU67" i="21" s="1"/>
  <c r="AE67" i="21"/>
  <c r="AY67" i="21" s="1"/>
  <c r="AC67" i="21"/>
  <c r="Q67" i="21" s="1"/>
  <c r="AB67" i="21"/>
  <c r="P67" i="21" s="1"/>
  <c r="AA67" i="21"/>
  <c r="O67" i="21" s="1"/>
  <c r="Z67" i="21"/>
  <c r="N67" i="21" s="1"/>
  <c r="Y67" i="21"/>
  <c r="M67" i="21" s="1"/>
  <c r="X67" i="21"/>
  <c r="L67" i="21" s="1"/>
  <c r="W67" i="21"/>
  <c r="K67" i="21" s="1"/>
  <c r="V67" i="21"/>
  <c r="J67" i="21" s="1"/>
  <c r="U67" i="21"/>
  <c r="T67" i="21"/>
  <c r="H67" i="21" s="1"/>
  <c r="AR13" i="35"/>
  <c r="AS13" i="35" s="1"/>
  <c r="AU195" i="21" l="1"/>
  <c r="AU83" i="21"/>
  <c r="AU188" i="21"/>
  <c r="AU190" i="21"/>
  <c r="BI205" i="21"/>
  <c r="BU205" i="21"/>
  <c r="BC205" i="21"/>
  <c r="BO205" i="21"/>
  <c r="AZ205" i="21"/>
  <c r="BL205" i="21"/>
  <c r="BF205" i="21"/>
  <c r="BO200" i="21"/>
  <c r="BC200" i="21"/>
  <c r="BL200" i="21"/>
  <c r="AZ200" i="21"/>
  <c r="BU200" i="21"/>
  <c r="BI200" i="21"/>
  <c r="BR200" i="21"/>
  <c r="BF200" i="21"/>
  <c r="AU189" i="21"/>
  <c r="S194" i="21"/>
  <c r="BL209" i="21"/>
  <c r="AZ209" i="21"/>
  <c r="BF209" i="21"/>
  <c r="BC209" i="21"/>
  <c r="BR209" i="21"/>
  <c r="BO209" i="21"/>
  <c r="BU209" i="21"/>
  <c r="BI209" i="21"/>
  <c r="BF208" i="21"/>
  <c r="BC208" i="21"/>
  <c r="BL208" i="21"/>
  <c r="AZ208" i="21"/>
  <c r="BU208" i="21"/>
  <c r="BI208" i="21"/>
  <c r="BR208" i="21"/>
  <c r="BO208" i="21"/>
  <c r="BO199" i="21"/>
  <c r="BC199" i="21"/>
  <c r="BL199" i="21"/>
  <c r="AZ199" i="21"/>
  <c r="BI199" i="21"/>
  <c r="BU199" i="21"/>
  <c r="BR199" i="21"/>
  <c r="BF199" i="21"/>
  <c r="BR198" i="21"/>
  <c r="BF198" i="21"/>
  <c r="BU198" i="21"/>
  <c r="BO198" i="21"/>
  <c r="BC198" i="21"/>
  <c r="BL198" i="21"/>
  <c r="AZ198" i="21"/>
  <c r="BI198" i="21"/>
  <c r="AQ195" i="21"/>
  <c r="S195" i="21"/>
  <c r="AU194" i="21"/>
  <c r="J194" i="21"/>
  <c r="AQ194" i="21" s="1"/>
  <c r="AQ191" i="21"/>
  <c r="S191" i="21"/>
  <c r="AQ190" i="21"/>
  <c r="S190" i="21"/>
  <c r="AQ189" i="21"/>
  <c r="S189" i="21"/>
  <c r="S188" i="21"/>
  <c r="AQ188" i="21"/>
  <c r="S135" i="21"/>
  <c r="I135" i="21"/>
  <c r="AQ135" i="21" s="1"/>
  <c r="AU177" i="21"/>
  <c r="AU162" i="21"/>
  <c r="AQ173" i="21"/>
  <c r="BO173" i="21" s="1"/>
  <c r="S173" i="21"/>
  <c r="S177" i="21"/>
  <c r="I177" i="21"/>
  <c r="AQ177" i="21" s="1"/>
  <c r="S176" i="21"/>
  <c r="I176" i="21"/>
  <c r="AQ176" i="21" s="1"/>
  <c r="S171" i="21"/>
  <c r="AQ171" i="21"/>
  <c r="AU171" i="21"/>
  <c r="AQ170" i="21"/>
  <c r="AU170" i="21"/>
  <c r="S170" i="21"/>
  <c r="AQ162" i="21"/>
  <c r="S162" i="21"/>
  <c r="Z168" i="21"/>
  <c r="N168" i="21" s="1"/>
  <c r="AQ168" i="21" s="1"/>
  <c r="AQ167" i="21"/>
  <c r="BC167" i="21" s="1"/>
  <c r="AQ166" i="21"/>
  <c r="BL166" i="21" s="1"/>
  <c r="AU168" i="21"/>
  <c r="AU165" i="21"/>
  <c r="AQ165" i="21"/>
  <c r="S165" i="21"/>
  <c r="S167" i="21"/>
  <c r="S166" i="21"/>
  <c r="Z138" i="21"/>
  <c r="N138" i="21" s="1"/>
  <c r="AQ138" i="21" s="1"/>
  <c r="S159" i="21"/>
  <c r="M159" i="21"/>
  <c r="AQ159" i="21" s="1"/>
  <c r="AU152" i="21"/>
  <c r="S152" i="21"/>
  <c r="AQ153" i="21"/>
  <c r="S153" i="21"/>
  <c r="J152" i="21"/>
  <c r="AQ152" i="21" s="1"/>
  <c r="S147" i="21"/>
  <c r="Z146" i="21"/>
  <c r="N146" i="21" s="1"/>
  <c r="AQ146" i="21" s="1"/>
  <c r="S148" i="21"/>
  <c r="L148" i="21"/>
  <c r="AQ148" i="21" s="1"/>
  <c r="AQ147" i="21"/>
  <c r="AU142" i="21"/>
  <c r="AQ142" i="21"/>
  <c r="S142" i="21"/>
  <c r="AQ93" i="21"/>
  <c r="BU93" i="21" s="1"/>
  <c r="AY125" i="21"/>
  <c r="S108" i="21"/>
  <c r="N108" i="21"/>
  <c r="AQ108" i="21" s="1"/>
  <c r="S124" i="21"/>
  <c r="S120" i="21"/>
  <c r="AY124" i="21"/>
  <c r="AQ139" i="21"/>
  <c r="S139" i="21"/>
  <c r="AU138" i="21"/>
  <c r="AQ134" i="21"/>
  <c r="S134" i="21"/>
  <c r="S125" i="21"/>
  <c r="AU125" i="21"/>
  <c r="L125" i="21"/>
  <c r="AQ125" i="21" s="1"/>
  <c r="N124" i="21"/>
  <c r="AQ124" i="21" s="1"/>
  <c r="AQ123" i="21"/>
  <c r="S123" i="21"/>
  <c r="S119" i="21"/>
  <c r="AU120" i="21"/>
  <c r="L120" i="21"/>
  <c r="AQ120" i="21" s="1"/>
  <c r="AQ119" i="21"/>
  <c r="AU119" i="21"/>
  <c r="AQ118" i="21"/>
  <c r="S118" i="21"/>
  <c r="S116" i="21"/>
  <c r="I116" i="21"/>
  <c r="AQ116" i="21" s="1"/>
  <c r="S112" i="21"/>
  <c r="AQ113" i="21"/>
  <c r="S113" i="21"/>
  <c r="AQ112" i="21"/>
  <c r="AU112" i="21"/>
  <c r="AQ111" i="21"/>
  <c r="AU111" i="21"/>
  <c r="S111" i="21"/>
  <c r="AU93" i="21"/>
  <c r="S96" i="21"/>
  <c r="AU96" i="21"/>
  <c r="J96" i="21"/>
  <c r="AQ96" i="21" s="1"/>
  <c r="S93" i="21"/>
  <c r="AQ89" i="21"/>
  <c r="BI89" i="21" s="1"/>
  <c r="S89" i="21"/>
  <c r="S84" i="21"/>
  <c r="AU88" i="21"/>
  <c r="AQ82" i="21"/>
  <c r="BO82" i="21" s="1"/>
  <c r="AQ88" i="21"/>
  <c r="S88" i="21"/>
  <c r="S87" i="21"/>
  <c r="H87" i="21"/>
  <c r="AQ87" i="21" s="1"/>
  <c r="AU87" i="21"/>
  <c r="N84" i="21"/>
  <c r="AQ84" i="21" s="1"/>
  <c r="BL84" i="21" s="1"/>
  <c r="S83" i="21"/>
  <c r="I83" i="21"/>
  <c r="AQ83" i="21" s="1"/>
  <c r="AU82" i="21"/>
  <c r="S82" i="21"/>
  <c r="S60" i="21"/>
  <c r="N60" i="21"/>
  <c r="AQ60" i="21" s="1"/>
  <c r="S69" i="21"/>
  <c r="J69" i="21"/>
  <c r="AQ69" i="21" s="1"/>
  <c r="AQ62" i="21"/>
  <c r="S62" i="21"/>
  <c r="S67" i="21"/>
  <c r="I67" i="21"/>
  <c r="AQ67" i="21" s="1"/>
  <c r="AU8" i="35"/>
  <c r="C8" i="35"/>
  <c r="B8" i="35"/>
  <c r="AQ2" i="35"/>
  <c r="C232" i="21"/>
  <c r="B232" i="21"/>
  <c r="C220" i="21"/>
  <c r="B220" i="21"/>
  <c r="C185" i="21"/>
  <c r="B185" i="21"/>
  <c r="C77" i="21"/>
  <c r="B77" i="21"/>
  <c r="C8" i="21"/>
  <c r="B8" i="21"/>
  <c r="BR93" i="21" l="1"/>
  <c r="AZ93" i="21"/>
  <c r="BF93" i="21"/>
  <c r="BL195" i="21"/>
  <c r="AZ195" i="21"/>
  <c r="BU195" i="21"/>
  <c r="BI195" i="21"/>
  <c r="BR195" i="21"/>
  <c r="BF195" i="21"/>
  <c r="BO195" i="21"/>
  <c r="BC195" i="21"/>
  <c r="BU194" i="21"/>
  <c r="BI194" i="21"/>
  <c r="AZ194" i="21"/>
  <c r="BR194" i="21"/>
  <c r="BF194" i="21"/>
  <c r="BO194" i="21"/>
  <c r="BC194" i="21"/>
  <c r="BL194" i="21"/>
  <c r="BL191" i="21"/>
  <c r="AZ191" i="21"/>
  <c r="BU191" i="21"/>
  <c r="BI191" i="21"/>
  <c r="BR191" i="21"/>
  <c r="BF191" i="21"/>
  <c r="BO191" i="21"/>
  <c r="BC191" i="21"/>
  <c r="BR190" i="21"/>
  <c r="BC190" i="21"/>
  <c r="BL190" i="21"/>
  <c r="AZ190" i="21"/>
  <c r="BF190" i="21"/>
  <c r="BU190" i="21"/>
  <c r="BI190" i="21"/>
  <c r="BO190" i="21"/>
  <c r="BO189" i="21"/>
  <c r="BL189" i="21"/>
  <c r="AZ189" i="21"/>
  <c r="BF189" i="21"/>
  <c r="BC189" i="21"/>
  <c r="BU189" i="21"/>
  <c r="BI189" i="21"/>
  <c r="BR189" i="21"/>
  <c r="BU188" i="21"/>
  <c r="BI188" i="21"/>
  <c r="BF188" i="21"/>
  <c r="BR188" i="21"/>
  <c r="BO188" i="21"/>
  <c r="BC188" i="21"/>
  <c r="BL188" i="21"/>
  <c r="AZ188" i="21"/>
  <c r="BL135" i="21"/>
  <c r="AZ135" i="21"/>
  <c r="BC135" i="21"/>
  <c r="BU135" i="21"/>
  <c r="BI135" i="21"/>
  <c r="BR135" i="21"/>
  <c r="BF135" i="21"/>
  <c r="BO135" i="21"/>
  <c r="BF173" i="21"/>
  <c r="BR173" i="21"/>
  <c r="BI173" i="21"/>
  <c r="BU173" i="21"/>
  <c r="BC173" i="21"/>
  <c r="AZ173" i="21"/>
  <c r="BL173" i="21"/>
  <c r="BL177" i="21"/>
  <c r="AZ177" i="21"/>
  <c r="BU177" i="21"/>
  <c r="BI177" i="21"/>
  <c r="BC177" i="21"/>
  <c r="BR177" i="21"/>
  <c r="BF177" i="21"/>
  <c r="BO177" i="21"/>
  <c r="BL176" i="21"/>
  <c r="AZ176" i="21"/>
  <c r="BU176" i="21"/>
  <c r="BI176" i="21"/>
  <c r="BO176" i="21"/>
  <c r="BR176" i="21"/>
  <c r="BF176" i="21"/>
  <c r="BC176" i="21"/>
  <c r="BU171" i="21"/>
  <c r="BL171" i="21"/>
  <c r="AZ171" i="21"/>
  <c r="BI171" i="21"/>
  <c r="BR171" i="21"/>
  <c r="BF171" i="21"/>
  <c r="BO171" i="21"/>
  <c r="BC171" i="21"/>
  <c r="BL170" i="21"/>
  <c r="AZ170" i="21"/>
  <c r="BU170" i="21"/>
  <c r="BI170" i="21"/>
  <c r="BR170" i="21"/>
  <c r="BF170" i="21"/>
  <c r="BO170" i="21"/>
  <c r="BC170" i="21"/>
  <c r="BU162" i="21"/>
  <c r="BR162" i="21"/>
  <c r="BO162" i="21"/>
  <c r="BL162" i="21"/>
  <c r="AZ162" i="21"/>
  <c r="BI162" i="21"/>
  <c r="BF162" i="21"/>
  <c r="BC162" i="21"/>
  <c r="BL167" i="21"/>
  <c r="BI166" i="21"/>
  <c r="BU166" i="21"/>
  <c r="BC166" i="21"/>
  <c r="BF166" i="21"/>
  <c r="AZ166" i="21"/>
  <c r="BO166" i="21"/>
  <c r="BR166" i="21"/>
  <c r="BR167" i="21"/>
  <c r="BO167" i="21"/>
  <c r="BF167" i="21"/>
  <c r="S168" i="21"/>
  <c r="BU167" i="21"/>
  <c r="BL93" i="21"/>
  <c r="BI167" i="21"/>
  <c r="BC93" i="21"/>
  <c r="AZ167" i="21"/>
  <c r="BL165" i="21"/>
  <c r="AZ165" i="21"/>
  <c r="BI165" i="21"/>
  <c r="BR165" i="21"/>
  <c r="BU165" i="21"/>
  <c r="BF165" i="21"/>
  <c r="BO165" i="21"/>
  <c r="BC165" i="21"/>
  <c r="BL168" i="21"/>
  <c r="AZ168" i="21"/>
  <c r="BI168" i="21"/>
  <c r="BF168" i="21"/>
  <c r="BU168" i="21"/>
  <c r="BR168" i="21"/>
  <c r="BO168" i="21"/>
  <c r="BC168" i="21"/>
  <c r="S138" i="21"/>
  <c r="BL159" i="21"/>
  <c r="BI159" i="21"/>
  <c r="BR159" i="21"/>
  <c r="BO159" i="21"/>
  <c r="BC159" i="21"/>
  <c r="AZ159" i="21"/>
  <c r="BU159" i="21"/>
  <c r="BF159" i="21"/>
  <c r="BL153" i="21"/>
  <c r="AZ153" i="21"/>
  <c r="BF153" i="21"/>
  <c r="BC153" i="21"/>
  <c r="BO153" i="21"/>
  <c r="BU153" i="21"/>
  <c r="BI153" i="21"/>
  <c r="BR153" i="21"/>
  <c r="BL152" i="21"/>
  <c r="AZ152" i="21"/>
  <c r="BF152" i="21"/>
  <c r="BO152" i="21"/>
  <c r="BU152" i="21"/>
  <c r="BI152" i="21"/>
  <c r="BR152" i="21"/>
  <c r="BC152" i="21"/>
  <c r="BC146" i="21"/>
  <c r="BL146" i="21"/>
  <c r="BI146" i="21"/>
  <c r="BR146" i="21"/>
  <c r="BF146" i="21"/>
  <c r="AZ146" i="21"/>
  <c r="BU146" i="21"/>
  <c r="BO146" i="21"/>
  <c r="S146" i="21"/>
  <c r="AZ89" i="21"/>
  <c r="BI148" i="21"/>
  <c r="BF148" i="21"/>
  <c r="BC148" i="21"/>
  <c r="BL148" i="21"/>
  <c r="AZ148" i="21"/>
  <c r="BU148" i="21"/>
  <c r="BR148" i="21"/>
  <c r="BO148" i="21"/>
  <c r="BL147" i="21"/>
  <c r="BI147" i="21"/>
  <c r="BR147" i="21"/>
  <c r="BF147" i="21"/>
  <c r="BO147" i="21"/>
  <c r="BC147" i="21"/>
  <c r="AZ147" i="21"/>
  <c r="BU147" i="21"/>
  <c r="BO93" i="21"/>
  <c r="AZ142" i="21"/>
  <c r="BR142" i="21"/>
  <c r="BU142" i="21"/>
  <c r="BI142" i="21"/>
  <c r="BF142" i="21"/>
  <c r="BO142" i="21"/>
  <c r="BC142" i="21"/>
  <c r="BL142" i="21"/>
  <c r="BR124" i="21"/>
  <c r="BF124" i="21"/>
  <c r="BC124" i="21"/>
  <c r="BO124" i="21"/>
  <c r="BL124" i="21"/>
  <c r="AZ124" i="21"/>
  <c r="BI124" i="21"/>
  <c r="BL82" i="21"/>
  <c r="BO89" i="21"/>
  <c r="BI93" i="21"/>
  <c r="BU89" i="21"/>
  <c r="BL89" i="21"/>
  <c r="BC89" i="21"/>
  <c r="BC139" i="21"/>
  <c r="BL139" i="21"/>
  <c r="AZ139" i="21"/>
  <c r="BU139" i="21"/>
  <c r="BI139" i="21"/>
  <c r="BR139" i="21"/>
  <c r="BF139" i="21"/>
  <c r="BO139" i="21"/>
  <c r="BL138" i="21"/>
  <c r="AZ138" i="21"/>
  <c r="BI138" i="21"/>
  <c r="BU138" i="21"/>
  <c r="BR138" i="21"/>
  <c r="BF138" i="21"/>
  <c r="BO138" i="21"/>
  <c r="BC138" i="21"/>
  <c r="BR134" i="21"/>
  <c r="BO134" i="21"/>
  <c r="BL134" i="21"/>
  <c r="AZ134" i="21"/>
  <c r="BF134" i="21"/>
  <c r="BC134" i="21"/>
  <c r="BU134" i="21"/>
  <c r="BI134" i="21"/>
  <c r="BO125" i="21"/>
  <c r="BL125" i="21"/>
  <c r="AZ125" i="21"/>
  <c r="BU125" i="21"/>
  <c r="BI125" i="21"/>
  <c r="BC125" i="21"/>
  <c r="BR125" i="21"/>
  <c r="BF125" i="21"/>
  <c r="BU124" i="21"/>
  <c r="BU123" i="21"/>
  <c r="BI123" i="21"/>
  <c r="BR123" i="21"/>
  <c r="BF123" i="21"/>
  <c r="BO123" i="21"/>
  <c r="BC123" i="21"/>
  <c r="BL123" i="21"/>
  <c r="AZ123" i="21"/>
  <c r="BL120" i="21"/>
  <c r="AZ120" i="21"/>
  <c r="BU120" i="21"/>
  <c r="BI120" i="21"/>
  <c r="BR120" i="21"/>
  <c r="BF120" i="21"/>
  <c r="BO120" i="21"/>
  <c r="BC120" i="21"/>
  <c r="BU119" i="21"/>
  <c r="BL119" i="21"/>
  <c r="AZ119" i="21"/>
  <c r="BI119" i="21"/>
  <c r="BR119" i="21"/>
  <c r="BF119" i="21"/>
  <c r="BO119" i="21"/>
  <c r="BC119" i="21"/>
  <c r="BU118" i="21"/>
  <c r="BR118" i="21"/>
  <c r="BC118" i="21"/>
  <c r="BL118" i="21"/>
  <c r="AZ118" i="21"/>
  <c r="BI118" i="21"/>
  <c r="BF118" i="21"/>
  <c r="BO118" i="21"/>
  <c r="BL116" i="21"/>
  <c r="AZ116" i="21"/>
  <c r="BU116" i="21"/>
  <c r="BI116" i="21"/>
  <c r="BF116" i="21"/>
  <c r="BC116" i="21"/>
  <c r="BR116" i="21"/>
  <c r="BO116" i="21"/>
  <c r="BL113" i="21"/>
  <c r="AZ113" i="21"/>
  <c r="BO113" i="21"/>
  <c r="BR113" i="21"/>
  <c r="BC113" i="21"/>
  <c r="BU113" i="21"/>
  <c r="BI113" i="21"/>
  <c r="BF113" i="21"/>
  <c r="BL112" i="21"/>
  <c r="AZ112" i="21"/>
  <c r="BU112" i="21"/>
  <c r="BI112" i="21"/>
  <c r="BR112" i="21"/>
  <c r="BF112" i="21"/>
  <c r="BO112" i="21"/>
  <c r="BC112" i="21"/>
  <c r="BL111" i="21"/>
  <c r="AZ111" i="21"/>
  <c r="BU111" i="21"/>
  <c r="BI111" i="21"/>
  <c r="BR111" i="21"/>
  <c r="BF111" i="21"/>
  <c r="BO111" i="21"/>
  <c r="BC111" i="21"/>
  <c r="BL108" i="21"/>
  <c r="AZ108" i="21"/>
  <c r="BU108" i="21"/>
  <c r="BR108" i="21"/>
  <c r="BF108" i="21"/>
  <c r="BO108" i="21"/>
  <c r="BC108" i="21"/>
  <c r="BI108" i="21"/>
  <c r="BL96" i="21"/>
  <c r="AZ96" i="21"/>
  <c r="BO96" i="21"/>
  <c r="BU96" i="21"/>
  <c r="BI96" i="21"/>
  <c r="BR96" i="21"/>
  <c r="BF96" i="21"/>
  <c r="BC96" i="21"/>
  <c r="BF89" i="21"/>
  <c r="BR89" i="21"/>
  <c r="BC82" i="21"/>
  <c r="BF82" i="21"/>
  <c r="BO84" i="21"/>
  <c r="BR82" i="21"/>
  <c r="BU82" i="21"/>
  <c r="BI82" i="21"/>
  <c r="AZ82" i="21"/>
  <c r="BC84" i="21"/>
  <c r="BO88" i="21"/>
  <c r="BC88" i="21"/>
  <c r="BL88" i="21"/>
  <c r="AZ88" i="21"/>
  <c r="BU88" i="21"/>
  <c r="BF88" i="21"/>
  <c r="BI88" i="21"/>
  <c r="BR88" i="21"/>
  <c r="BO87" i="21"/>
  <c r="BC87" i="21"/>
  <c r="BI87" i="21"/>
  <c r="BL87" i="21"/>
  <c r="AZ87" i="21"/>
  <c r="BU87" i="21"/>
  <c r="BR87" i="21"/>
  <c r="BF87" i="21"/>
  <c r="BF84" i="21"/>
  <c r="BR84" i="21"/>
  <c r="BI84" i="21"/>
  <c r="BU84" i="21"/>
  <c r="AZ84" i="21"/>
  <c r="BL83" i="21"/>
  <c r="AZ83" i="21"/>
  <c r="BU83" i="21"/>
  <c r="BI83" i="21"/>
  <c r="BR83" i="21"/>
  <c r="BF83" i="21"/>
  <c r="BO83" i="21"/>
  <c r="BC83" i="21"/>
  <c r="BR60" i="21"/>
  <c r="BL60" i="21"/>
  <c r="AZ60" i="21"/>
  <c r="BU60" i="21"/>
  <c r="BF60" i="21"/>
  <c r="BO60" i="21"/>
  <c r="BC60" i="21"/>
  <c r="BI60" i="21"/>
  <c r="BC69" i="21"/>
  <c r="BL69" i="21"/>
  <c r="AZ69" i="21"/>
  <c r="BU69" i="21"/>
  <c r="BI69" i="21"/>
  <c r="BR69" i="21"/>
  <c r="BF69" i="21"/>
  <c r="BO69" i="21"/>
  <c r="BL62" i="21"/>
  <c r="AZ62" i="21"/>
  <c r="BU62" i="21"/>
  <c r="BI62" i="21"/>
  <c r="BR62" i="21"/>
  <c r="BC62" i="21"/>
  <c r="BF62" i="21"/>
  <c r="BO62" i="21"/>
  <c r="BU67" i="21"/>
  <c r="BI67" i="21"/>
  <c r="BL67" i="21"/>
  <c r="BR67" i="21"/>
  <c r="BF67" i="21"/>
  <c r="BO67" i="21"/>
  <c r="BC67" i="21"/>
  <c r="AZ67" i="21"/>
  <c r="C108" i="35" a="1"/>
  <c r="C109" i="35" a="1"/>
  <c r="C102" i="35" a="1"/>
  <c r="C104" i="35" a="1"/>
  <c r="C101" i="35" a="1"/>
  <c r="C106" i="35" a="1"/>
  <c r="C107" i="35" a="1"/>
  <c r="C110" i="35" a="1"/>
  <c r="C105" i="35" a="1"/>
  <c r="C103" i="35" a="1"/>
  <c r="C107" i="35" l="1"/>
  <c r="C108" i="35"/>
  <c r="C109" i="35"/>
  <c r="C105" i="35"/>
  <c r="C110" i="35"/>
  <c r="C106" i="35"/>
  <c r="C104" i="35"/>
  <c r="C103" i="35"/>
  <c r="C102" i="35"/>
  <c r="C101" i="35"/>
  <c r="Z58" i="21" l="1"/>
  <c r="N58" i="21" s="1"/>
  <c r="AC58" i="21"/>
  <c r="Q58" i="21" s="1"/>
  <c r="AB58" i="21"/>
  <c r="P58" i="21" s="1"/>
  <c r="AA58" i="21"/>
  <c r="O58" i="21" s="1"/>
  <c r="Y58" i="21"/>
  <c r="M58" i="21" s="1"/>
  <c r="X58" i="21"/>
  <c r="L58" i="21" s="1"/>
  <c r="W58" i="21"/>
  <c r="K58" i="21" s="1"/>
  <c r="V58" i="21"/>
  <c r="J58" i="21" s="1"/>
  <c r="U58" i="21"/>
  <c r="I58" i="21" s="1"/>
  <c r="T58" i="21"/>
  <c r="H58" i="21" s="1"/>
  <c r="BM58" i="21"/>
  <c r="BJ58" i="21"/>
  <c r="BG58" i="21"/>
  <c r="BD58" i="21"/>
  <c r="AX58" i="21"/>
  <c r="AU58" i="21" s="1"/>
  <c r="BB33" i="21"/>
  <c r="AR56" i="21"/>
  <c r="AS56" i="21" s="1"/>
  <c r="AL55" i="21"/>
  <c r="Z55" i="21" s="1"/>
  <c r="N55" i="21" s="1"/>
  <c r="AL54" i="21"/>
  <c r="AE54" i="21" s="1"/>
  <c r="AY54" i="21" s="1"/>
  <c r="AC55" i="21"/>
  <c r="Q55" i="21" s="1"/>
  <c r="AB55" i="21"/>
  <c r="P55" i="21" s="1"/>
  <c r="AA55" i="21"/>
  <c r="O55" i="21" s="1"/>
  <c r="Y55" i="21"/>
  <c r="M55" i="21" s="1"/>
  <c r="X55" i="21"/>
  <c r="L55" i="21" s="1"/>
  <c r="W55" i="21"/>
  <c r="K55" i="21" s="1"/>
  <c r="V55" i="21"/>
  <c r="J55" i="21" s="1"/>
  <c r="U55" i="21"/>
  <c r="T55" i="21"/>
  <c r="H55" i="21" s="1"/>
  <c r="BM55" i="21"/>
  <c r="BJ55" i="21"/>
  <c r="BG55" i="21"/>
  <c r="BD55" i="21"/>
  <c r="AX55" i="21"/>
  <c r="AU55" i="21" s="1"/>
  <c r="AC54" i="21"/>
  <c r="Q54" i="21" s="1"/>
  <c r="AB54" i="21"/>
  <c r="P54" i="21" s="1"/>
  <c r="AA54" i="21"/>
  <c r="O54" i="21" s="1"/>
  <c r="Y54" i="21"/>
  <c r="M54" i="21" s="1"/>
  <c r="X54" i="21"/>
  <c r="L54" i="21" s="1"/>
  <c r="W54" i="21"/>
  <c r="K54" i="21" s="1"/>
  <c r="V54" i="21"/>
  <c r="U54" i="21"/>
  <c r="I54" i="21" s="1"/>
  <c r="T54" i="21"/>
  <c r="H54" i="21" s="1"/>
  <c r="BM54" i="21"/>
  <c r="BJ54" i="21"/>
  <c r="BG54" i="21"/>
  <c r="BD54" i="21"/>
  <c r="AX54" i="21"/>
  <c r="AU54" i="21" s="1"/>
  <c r="AE51" i="21"/>
  <c r="AY51" i="21" s="1"/>
  <c r="AC51" i="21"/>
  <c r="Q51" i="21" s="1"/>
  <c r="AB51" i="21"/>
  <c r="P51" i="21" s="1"/>
  <c r="AA51" i="21"/>
  <c r="O51" i="21" s="1"/>
  <c r="Z51" i="21"/>
  <c r="N51" i="21" s="1"/>
  <c r="Y51" i="21"/>
  <c r="M51" i="21" s="1"/>
  <c r="X51" i="21"/>
  <c r="L51" i="21" s="1"/>
  <c r="W51" i="21"/>
  <c r="K51" i="21" s="1"/>
  <c r="V51" i="21"/>
  <c r="U51" i="21"/>
  <c r="I51" i="21" s="1"/>
  <c r="T51" i="21"/>
  <c r="H51" i="21" s="1"/>
  <c r="BM51" i="21"/>
  <c r="BJ51" i="21"/>
  <c r="BG51" i="21"/>
  <c r="BD51" i="21"/>
  <c r="AX51" i="21"/>
  <c r="AU51" i="21" s="1"/>
  <c r="AR47" i="21"/>
  <c r="AS47" i="21" s="1"/>
  <c r="BQ45" i="21"/>
  <c r="AE48" i="21"/>
  <c r="AY48" i="21" s="1"/>
  <c r="AC48" i="21"/>
  <c r="Q48" i="21" s="1"/>
  <c r="AB48" i="21"/>
  <c r="P48" i="21" s="1"/>
  <c r="AA48" i="21"/>
  <c r="O48" i="21" s="1"/>
  <c r="Z48" i="21"/>
  <c r="N48" i="21" s="1"/>
  <c r="Y48" i="21"/>
  <c r="M48" i="21" s="1"/>
  <c r="X48" i="21"/>
  <c r="L48" i="21" s="1"/>
  <c r="W48" i="21"/>
  <c r="K48" i="21" s="1"/>
  <c r="V48" i="21"/>
  <c r="J48" i="21" s="1"/>
  <c r="U48" i="21"/>
  <c r="T48" i="21"/>
  <c r="H48" i="21" s="1"/>
  <c r="BM48" i="21"/>
  <c r="BJ48" i="21"/>
  <c r="BG48" i="21"/>
  <c r="BD48" i="21"/>
  <c r="AX48" i="21"/>
  <c r="AU48" i="21" s="1"/>
  <c r="AE46" i="21"/>
  <c r="AY46" i="21" s="1"/>
  <c r="AC46" i="21"/>
  <c r="Q46" i="21" s="1"/>
  <c r="AB46" i="21"/>
  <c r="P46" i="21" s="1"/>
  <c r="AA46" i="21"/>
  <c r="O46" i="21" s="1"/>
  <c r="Z46" i="21"/>
  <c r="N46" i="21" s="1"/>
  <c r="Y46" i="21"/>
  <c r="M46" i="21" s="1"/>
  <c r="X46" i="21"/>
  <c r="L46" i="21" s="1"/>
  <c r="W46" i="21"/>
  <c r="K46" i="21" s="1"/>
  <c r="V46" i="21"/>
  <c r="J46" i="21" s="1"/>
  <c r="U46" i="21"/>
  <c r="I46" i="21" s="1"/>
  <c r="T46" i="21"/>
  <c r="H46" i="21" s="1"/>
  <c r="BM46" i="21"/>
  <c r="BJ46" i="21"/>
  <c r="BG46" i="21"/>
  <c r="BD46" i="21"/>
  <c r="AX46" i="21"/>
  <c r="AU46" i="21" s="1"/>
  <c r="AE45" i="21"/>
  <c r="AY45" i="21" s="1"/>
  <c r="AC45" i="21"/>
  <c r="Q45" i="21" s="1"/>
  <c r="AB45" i="21"/>
  <c r="P45" i="21" s="1"/>
  <c r="AA45" i="21"/>
  <c r="O45" i="21" s="1"/>
  <c r="Z45" i="21"/>
  <c r="N45" i="21" s="1"/>
  <c r="Y45" i="21"/>
  <c r="M45" i="21" s="1"/>
  <c r="X45" i="21"/>
  <c r="L45" i="21" s="1"/>
  <c r="W45" i="21"/>
  <c r="K45" i="21" s="1"/>
  <c r="V45" i="21"/>
  <c r="J45" i="21" s="1"/>
  <c r="U45" i="21"/>
  <c r="I45" i="21" s="1"/>
  <c r="T45" i="21"/>
  <c r="H45" i="21" s="1"/>
  <c r="BM45" i="21"/>
  <c r="BJ45" i="21"/>
  <c r="BG45" i="21"/>
  <c r="BD45" i="21"/>
  <c r="AX45" i="21"/>
  <c r="AE44" i="21"/>
  <c r="AY44" i="21" s="1"/>
  <c r="AC44" i="21"/>
  <c r="Q44" i="21" s="1"/>
  <c r="AB44" i="21"/>
  <c r="P44" i="21" s="1"/>
  <c r="AA44" i="21"/>
  <c r="O44" i="21" s="1"/>
  <c r="Z44" i="21"/>
  <c r="N44" i="21" s="1"/>
  <c r="Y44" i="21"/>
  <c r="M44" i="21" s="1"/>
  <c r="X44" i="21"/>
  <c r="L44" i="21" s="1"/>
  <c r="W44" i="21"/>
  <c r="K44" i="21" s="1"/>
  <c r="V44" i="21"/>
  <c r="J44" i="21" s="1"/>
  <c r="U44" i="21"/>
  <c r="I44" i="21" s="1"/>
  <c r="T44" i="21"/>
  <c r="H44" i="21" s="1"/>
  <c r="BM44" i="21"/>
  <c r="BJ44" i="21"/>
  <c r="BG44" i="21"/>
  <c r="BD44" i="21"/>
  <c r="AX44" i="21"/>
  <c r="AU44" i="21" s="1"/>
  <c r="AE41" i="21"/>
  <c r="AY41" i="21" s="1"/>
  <c r="AC41" i="21"/>
  <c r="Q41" i="21" s="1"/>
  <c r="AB41" i="21"/>
  <c r="P41" i="21" s="1"/>
  <c r="AA41" i="21"/>
  <c r="O41" i="21" s="1"/>
  <c r="Z41" i="21"/>
  <c r="N41" i="21" s="1"/>
  <c r="Y41" i="21"/>
  <c r="M41" i="21" s="1"/>
  <c r="X41" i="21"/>
  <c r="L41" i="21" s="1"/>
  <c r="W41" i="21"/>
  <c r="V41" i="21"/>
  <c r="J41" i="21" s="1"/>
  <c r="U41" i="21"/>
  <c r="I41" i="21" s="1"/>
  <c r="T41" i="21"/>
  <c r="H41" i="21" s="1"/>
  <c r="BM41" i="21"/>
  <c r="BJ41" i="21"/>
  <c r="BG41" i="21"/>
  <c r="BD41" i="21"/>
  <c r="AX41" i="21"/>
  <c r="AU41" i="21" s="1"/>
  <c r="AR39" i="21"/>
  <c r="AS39" i="21" s="1"/>
  <c r="AE38" i="21"/>
  <c r="AY38" i="21" s="1"/>
  <c r="BQ34" i="21"/>
  <c r="AL33" i="21"/>
  <c r="AE33" i="21" s="1"/>
  <c r="AY33" i="21" s="1"/>
  <c r="AL32" i="21"/>
  <c r="Z32" i="21" s="1"/>
  <c r="N32" i="21" s="1"/>
  <c r="AL31" i="21"/>
  <c r="Z31" i="21" s="1"/>
  <c r="N31" i="21" s="1"/>
  <c r="BQ30" i="21"/>
  <c r="AL30" i="21"/>
  <c r="AE30" i="21" s="1"/>
  <c r="AY30" i="21" s="1"/>
  <c r="AE34" i="21"/>
  <c r="AY34" i="21" s="1"/>
  <c r="AC34" i="21"/>
  <c r="Q34" i="21" s="1"/>
  <c r="AB34" i="21"/>
  <c r="P34" i="21" s="1"/>
  <c r="AA34" i="21"/>
  <c r="O34" i="21" s="1"/>
  <c r="Z34" i="21"/>
  <c r="N34" i="21" s="1"/>
  <c r="Y34" i="21"/>
  <c r="M34" i="21" s="1"/>
  <c r="X34" i="21"/>
  <c r="L34" i="21" s="1"/>
  <c r="W34" i="21"/>
  <c r="K34" i="21" s="1"/>
  <c r="V34" i="21"/>
  <c r="J34" i="21" s="1"/>
  <c r="U34" i="21"/>
  <c r="T34" i="21"/>
  <c r="H34" i="21" s="1"/>
  <c r="BM34" i="21"/>
  <c r="BJ34" i="21"/>
  <c r="BG34" i="21"/>
  <c r="BD34" i="21"/>
  <c r="AX34" i="21"/>
  <c r="AC33" i="21"/>
  <c r="Q33" i="21" s="1"/>
  <c r="AB33" i="21"/>
  <c r="P33" i="21" s="1"/>
  <c r="AA33" i="21"/>
  <c r="O33" i="21" s="1"/>
  <c r="Y33" i="21"/>
  <c r="M33" i="21" s="1"/>
  <c r="X33" i="21"/>
  <c r="L33" i="21" s="1"/>
  <c r="W33" i="21"/>
  <c r="K33" i="21" s="1"/>
  <c r="V33" i="21"/>
  <c r="J33" i="21" s="1"/>
  <c r="U33" i="21"/>
  <c r="I33" i="21" s="1"/>
  <c r="T33" i="21"/>
  <c r="BM33" i="21"/>
  <c r="BJ33" i="21"/>
  <c r="BG33" i="21"/>
  <c r="BD33" i="21"/>
  <c r="AX33" i="21"/>
  <c r="AC32" i="21"/>
  <c r="Q32" i="21" s="1"/>
  <c r="AB32" i="21"/>
  <c r="P32" i="21" s="1"/>
  <c r="AA32" i="21"/>
  <c r="O32" i="21" s="1"/>
  <c r="Y32" i="21"/>
  <c r="M32" i="21" s="1"/>
  <c r="X32" i="21"/>
  <c r="L32" i="21" s="1"/>
  <c r="W32" i="21"/>
  <c r="K32" i="21" s="1"/>
  <c r="V32" i="21"/>
  <c r="J32" i="21" s="1"/>
  <c r="U32" i="21"/>
  <c r="T32" i="21"/>
  <c r="H32" i="21" s="1"/>
  <c r="BM32" i="21"/>
  <c r="BJ32" i="21"/>
  <c r="BG32" i="21"/>
  <c r="BD32" i="21"/>
  <c r="AX32" i="21"/>
  <c r="AU32" i="21" s="1"/>
  <c r="AC31" i="21"/>
  <c r="Q31" i="21" s="1"/>
  <c r="AB31" i="21"/>
  <c r="P31" i="21" s="1"/>
  <c r="AA31" i="21"/>
  <c r="O31" i="21" s="1"/>
  <c r="Y31" i="21"/>
  <c r="M31" i="21" s="1"/>
  <c r="X31" i="21"/>
  <c r="L31" i="21" s="1"/>
  <c r="W31" i="21"/>
  <c r="K31" i="21" s="1"/>
  <c r="V31" i="21"/>
  <c r="J31" i="21" s="1"/>
  <c r="U31" i="21"/>
  <c r="I31" i="21" s="1"/>
  <c r="T31" i="21"/>
  <c r="BM31" i="21"/>
  <c r="BJ31" i="21"/>
  <c r="BG31" i="21"/>
  <c r="BD31" i="21"/>
  <c r="AX31" i="21"/>
  <c r="AU31" i="21" s="1"/>
  <c r="AC30" i="21"/>
  <c r="Q30" i="21" s="1"/>
  <c r="AB30" i="21"/>
  <c r="P30" i="21" s="1"/>
  <c r="AA30" i="21"/>
  <c r="O30" i="21" s="1"/>
  <c r="Y30" i="21"/>
  <c r="M30" i="21" s="1"/>
  <c r="X30" i="21"/>
  <c r="L30" i="21" s="1"/>
  <c r="W30" i="21"/>
  <c r="K30" i="21" s="1"/>
  <c r="V30" i="21"/>
  <c r="J30" i="21" s="1"/>
  <c r="U30" i="21"/>
  <c r="I30" i="21" s="1"/>
  <c r="T30" i="21"/>
  <c r="H30" i="21" s="1"/>
  <c r="BM30" i="21"/>
  <c r="BJ30" i="21"/>
  <c r="BG30" i="21"/>
  <c r="BD30" i="21"/>
  <c r="AX30" i="21"/>
  <c r="AR27" i="21"/>
  <c r="AS27" i="21" s="1"/>
  <c r="AC38" i="21"/>
  <c r="Q38" i="21" s="1"/>
  <c r="AB38" i="21"/>
  <c r="P38" i="21" s="1"/>
  <c r="AA38" i="21"/>
  <c r="O38" i="21" s="1"/>
  <c r="Y38" i="21"/>
  <c r="M38" i="21" s="1"/>
  <c r="X38" i="21"/>
  <c r="L38" i="21" s="1"/>
  <c r="W38" i="21"/>
  <c r="K38" i="21" s="1"/>
  <c r="V38" i="21"/>
  <c r="J38" i="21" s="1"/>
  <c r="U38" i="21"/>
  <c r="I38" i="21" s="1"/>
  <c r="T38" i="21"/>
  <c r="BM38" i="21"/>
  <c r="BJ38" i="21"/>
  <c r="BG38" i="21"/>
  <c r="BD38" i="21"/>
  <c r="AX38" i="21"/>
  <c r="AU38" i="21" s="1"/>
  <c r="AR26" i="21"/>
  <c r="AS26" i="21" s="1"/>
  <c r="AE23" i="21"/>
  <c r="AY23" i="21" s="1"/>
  <c r="AC23" i="21"/>
  <c r="Q23" i="21" s="1"/>
  <c r="AB23" i="21"/>
  <c r="P23" i="21" s="1"/>
  <c r="AA23" i="21"/>
  <c r="O23" i="21" s="1"/>
  <c r="Z23" i="21"/>
  <c r="N23" i="21" s="1"/>
  <c r="Y23" i="21"/>
  <c r="M23" i="21" s="1"/>
  <c r="X23" i="21"/>
  <c r="L23" i="21" s="1"/>
  <c r="W23" i="21"/>
  <c r="K23" i="21" s="1"/>
  <c r="V23" i="21"/>
  <c r="J23" i="21" s="1"/>
  <c r="U23" i="21"/>
  <c r="I23" i="21" s="1"/>
  <c r="T23" i="21"/>
  <c r="H23" i="21" s="1"/>
  <c r="BM23" i="21"/>
  <c r="BJ23" i="21"/>
  <c r="BG23" i="21"/>
  <c r="BD23" i="21"/>
  <c r="AX23" i="21"/>
  <c r="AU23" i="21" s="1"/>
  <c r="AE22" i="21"/>
  <c r="AY22" i="21" s="1"/>
  <c r="AC22" i="21"/>
  <c r="Q22" i="21" s="1"/>
  <c r="AB22" i="21"/>
  <c r="P22" i="21" s="1"/>
  <c r="AA22" i="21"/>
  <c r="O22" i="21" s="1"/>
  <c r="Z22" i="21"/>
  <c r="N22" i="21" s="1"/>
  <c r="Y22" i="21"/>
  <c r="M22" i="21" s="1"/>
  <c r="X22" i="21"/>
  <c r="L22" i="21" s="1"/>
  <c r="W22" i="21"/>
  <c r="K22" i="21" s="1"/>
  <c r="V22" i="21"/>
  <c r="J22" i="21" s="1"/>
  <c r="U22" i="21"/>
  <c r="T22" i="21"/>
  <c r="H22" i="21" s="1"/>
  <c r="BM22" i="21"/>
  <c r="BJ22" i="21"/>
  <c r="BG22" i="21"/>
  <c r="BD22" i="21"/>
  <c r="AX22" i="21"/>
  <c r="AU22" i="21" s="1"/>
  <c r="AR21" i="21"/>
  <c r="AS21" i="21" s="1"/>
  <c r="P100" i="35"/>
  <c r="Q100" i="35" s="1"/>
  <c r="AR158" i="21"/>
  <c r="AS158" i="21" s="1"/>
  <c r="AE20" i="21"/>
  <c r="AY20" i="21" s="1"/>
  <c r="AC20" i="21"/>
  <c r="Q20" i="21" s="1"/>
  <c r="AB20" i="21"/>
  <c r="P20" i="21" s="1"/>
  <c r="AA20" i="21"/>
  <c r="O20" i="21" s="1"/>
  <c r="Z20" i="21"/>
  <c r="N20" i="21" s="1"/>
  <c r="Y20" i="21"/>
  <c r="M20" i="21" s="1"/>
  <c r="X20" i="21"/>
  <c r="L20" i="21" s="1"/>
  <c r="W20" i="21"/>
  <c r="K20" i="21" s="1"/>
  <c r="V20" i="21"/>
  <c r="J20" i="21" s="1"/>
  <c r="U20" i="21"/>
  <c r="I20" i="21" s="1"/>
  <c r="T20" i="21"/>
  <c r="BM20" i="21"/>
  <c r="BJ20" i="21"/>
  <c r="BG20" i="21"/>
  <c r="BD20" i="21"/>
  <c r="AX20" i="21"/>
  <c r="AU20" i="21" s="1"/>
  <c r="AE13" i="21"/>
  <c r="AY13" i="21" s="1"/>
  <c r="AC13" i="21"/>
  <c r="Q13" i="21" s="1"/>
  <c r="AB13" i="21"/>
  <c r="P13" i="21" s="1"/>
  <c r="AA13" i="21"/>
  <c r="O13" i="21" s="1"/>
  <c r="Z13" i="21"/>
  <c r="N13" i="21" s="1"/>
  <c r="Y13" i="21"/>
  <c r="M13" i="21" s="1"/>
  <c r="X13" i="21"/>
  <c r="L13" i="21" s="1"/>
  <c r="W13" i="21"/>
  <c r="V13" i="21"/>
  <c r="J13" i="21" s="1"/>
  <c r="U13" i="21"/>
  <c r="I13" i="21" s="1"/>
  <c r="T13" i="21"/>
  <c r="H13" i="21" s="1"/>
  <c r="BM13" i="21"/>
  <c r="BJ13" i="21"/>
  <c r="BG13" i="21"/>
  <c r="BD13" i="21"/>
  <c r="AX13" i="21"/>
  <c r="AU13" i="21" s="1"/>
  <c r="AE17" i="21"/>
  <c r="AY17" i="21" s="1"/>
  <c r="AC17" i="21"/>
  <c r="Q17" i="21" s="1"/>
  <c r="AB17" i="21"/>
  <c r="P17" i="21" s="1"/>
  <c r="AA17" i="21"/>
  <c r="O17" i="21" s="1"/>
  <c r="Z17" i="21"/>
  <c r="N17" i="21" s="1"/>
  <c r="Y17" i="21"/>
  <c r="M17" i="21" s="1"/>
  <c r="X17" i="21"/>
  <c r="L17" i="21" s="1"/>
  <c r="W17" i="21"/>
  <c r="K17" i="21" s="1"/>
  <c r="V17" i="21"/>
  <c r="U17" i="21"/>
  <c r="I17" i="21" s="1"/>
  <c r="T17" i="21"/>
  <c r="H17" i="21" s="1"/>
  <c r="BM17" i="21"/>
  <c r="BJ17" i="21"/>
  <c r="BG17" i="21"/>
  <c r="BD17" i="21"/>
  <c r="AX17" i="21"/>
  <c r="AU17" i="21" s="1"/>
  <c r="AE14" i="21"/>
  <c r="AY14" i="21" s="1"/>
  <c r="AC14" i="21"/>
  <c r="Q14" i="21" s="1"/>
  <c r="AB14" i="21"/>
  <c r="P14" i="21" s="1"/>
  <c r="AA14" i="21"/>
  <c r="O14" i="21" s="1"/>
  <c r="Z14" i="21"/>
  <c r="N14" i="21" s="1"/>
  <c r="Y14" i="21"/>
  <c r="M14" i="21" s="1"/>
  <c r="X14" i="21"/>
  <c r="L14" i="21" s="1"/>
  <c r="W14" i="21"/>
  <c r="K14" i="21" s="1"/>
  <c r="V14" i="21"/>
  <c r="J14" i="21" s="1"/>
  <c r="U14" i="21"/>
  <c r="I14" i="21" s="1"/>
  <c r="T14" i="21"/>
  <c r="H14" i="21" s="1"/>
  <c r="BM14" i="21"/>
  <c r="BJ14" i="21"/>
  <c r="BG14" i="21"/>
  <c r="BD14" i="21"/>
  <c r="AX14" i="21"/>
  <c r="AU14" i="21" s="1"/>
  <c r="AE11" i="21"/>
  <c r="AY11" i="21" s="1"/>
  <c r="AC11" i="21"/>
  <c r="Q11" i="21" s="1"/>
  <c r="AB11" i="21"/>
  <c r="P11" i="21" s="1"/>
  <c r="AA11" i="21"/>
  <c r="O11" i="21" s="1"/>
  <c r="Z11" i="21"/>
  <c r="N11" i="21" s="1"/>
  <c r="Y11" i="21"/>
  <c r="M11" i="21" s="1"/>
  <c r="X11" i="21"/>
  <c r="L11" i="21" s="1"/>
  <c r="W11" i="21"/>
  <c r="K11" i="21" s="1"/>
  <c r="V11" i="21"/>
  <c r="J11" i="21" s="1"/>
  <c r="U11" i="21"/>
  <c r="I11" i="21" s="1"/>
  <c r="T11" i="21"/>
  <c r="H11" i="21" s="1"/>
  <c r="BM11" i="21"/>
  <c r="BJ11" i="21"/>
  <c r="BG11" i="21"/>
  <c r="BD11" i="21"/>
  <c r="AX11" i="21"/>
  <c r="AU11" i="21" s="1"/>
  <c r="AQ44" i="21" l="1"/>
  <c r="BR44" i="21" s="1"/>
  <c r="AU30" i="21"/>
  <c r="Z54" i="21"/>
  <c r="N54" i="21" s="1"/>
  <c r="AE58" i="21"/>
  <c r="AY58" i="21" s="1"/>
  <c r="S58" i="21"/>
  <c r="AQ58" i="21"/>
  <c r="Z30" i="21"/>
  <c r="N30" i="21" s="1"/>
  <c r="AQ30" i="21" s="1"/>
  <c r="Z38" i="21"/>
  <c r="N38" i="21" s="1"/>
  <c r="AE31" i="21"/>
  <c r="AY31" i="21" s="1"/>
  <c r="AE55" i="21"/>
  <c r="AY55" i="21" s="1"/>
  <c r="S41" i="21"/>
  <c r="S55" i="21"/>
  <c r="S46" i="21"/>
  <c r="I55" i="21"/>
  <c r="AQ55" i="21" s="1"/>
  <c r="J54" i="21"/>
  <c r="S51" i="21"/>
  <c r="J51" i="21"/>
  <c r="AQ51" i="21" s="1"/>
  <c r="S48" i="21"/>
  <c r="S44" i="21"/>
  <c r="AQ45" i="21"/>
  <c r="AQ46" i="21"/>
  <c r="S45" i="21"/>
  <c r="AU45" i="21"/>
  <c r="I48" i="21"/>
  <c r="AQ48" i="21" s="1"/>
  <c r="K41" i="21"/>
  <c r="AQ41" i="21" s="1"/>
  <c r="Z33" i="21"/>
  <c r="N33" i="21" s="1"/>
  <c r="AU34" i="21"/>
  <c r="AU33" i="21"/>
  <c r="S34" i="21"/>
  <c r="S32" i="21"/>
  <c r="AE32" i="21"/>
  <c r="AY32" i="21" s="1"/>
  <c r="S31" i="21"/>
  <c r="H33" i="21"/>
  <c r="I34" i="21"/>
  <c r="AQ34" i="21" s="1"/>
  <c r="H31" i="21"/>
  <c r="AQ31" i="21" s="1"/>
  <c r="I32" i="21"/>
  <c r="AQ32" i="21" s="1"/>
  <c r="S13" i="21"/>
  <c r="S23" i="21"/>
  <c r="S22" i="21"/>
  <c r="S20" i="21"/>
  <c r="H38" i="21"/>
  <c r="AQ23" i="21"/>
  <c r="I22" i="21"/>
  <c r="AQ22" i="21" s="1"/>
  <c r="H20" i="21"/>
  <c r="AQ20" i="21" s="1"/>
  <c r="S17" i="21"/>
  <c r="S14" i="21"/>
  <c r="AQ14" i="21"/>
  <c r="BI14" i="21" s="1"/>
  <c r="K13" i="21"/>
  <c r="AQ13" i="21" s="1"/>
  <c r="J17" i="21"/>
  <c r="AQ17" i="21" s="1"/>
  <c r="AQ11" i="21"/>
  <c r="S11" i="21"/>
  <c r="AQ54" i="21" l="1"/>
  <c r="BC54" i="21" s="1"/>
  <c r="S54" i="21"/>
  <c r="S30" i="21"/>
  <c r="BU44" i="21"/>
  <c r="S33" i="21"/>
  <c r="BR58" i="21"/>
  <c r="BF58" i="21"/>
  <c r="AZ58" i="21"/>
  <c r="BU58" i="21"/>
  <c r="BI58" i="21"/>
  <c r="BO58" i="21"/>
  <c r="BC58" i="21"/>
  <c r="BL58" i="21"/>
  <c r="S38" i="21"/>
  <c r="BL44" i="21"/>
  <c r="AQ38" i="21"/>
  <c r="BI38" i="21" s="1"/>
  <c r="BL14" i="21"/>
  <c r="BC44" i="21"/>
  <c r="BU14" i="21"/>
  <c r="AZ14" i="21"/>
  <c r="AZ44" i="21"/>
  <c r="AQ33" i="21"/>
  <c r="BO33" i="21" s="1"/>
  <c r="BC55" i="21"/>
  <c r="BO55" i="21"/>
  <c r="BR55" i="21"/>
  <c r="BL55" i="21"/>
  <c r="AZ55" i="21"/>
  <c r="BU55" i="21"/>
  <c r="BI55" i="21"/>
  <c r="BF55" i="21"/>
  <c r="BR51" i="21"/>
  <c r="BF51" i="21"/>
  <c r="AZ51" i="21"/>
  <c r="BU51" i="21"/>
  <c r="BO51" i="21"/>
  <c r="BC51" i="21"/>
  <c r="BL51" i="21"/>
  <c r="BI51" i="21"/>
  <c r="BO44" i="21"/>
  <c r="BI44" i="21"/>
  <c r="BF44" i="21"/>
  <c r="BL46" i="21"/>
  <c r="AZ46" i="21"/>
  <c r="BC46" i="21"/>
  <c r="BU46" i="21"/>
  <c r="BI46" i="21"/>
  <c r="BR46" i="21"/>
  <c r="BF46" i="21"/>
  <c r="BO46" i="21"/>
  <c r="BO48" i="21"/>
  <c r="BC48" i="21"/>
  <c r="BR48" i="21"/>
  <c r="BF48" i="21"/>
  <c r="BL48" i="21"/>
  <c r="AZ48" i="21"/>
  <c r="BU48" i="21"/>
  <c r="BI48" i="21"/>
  <c r="BL45" i="21"/>
  <c r="AZ45" i="21"/>
  <c r="BU45" i="21"/>
  <c r="BI45" i="21"/>
  <c r="BO45" i="21"/>
  <c r="BC45" i="21"/>
  <c r="BR45" i="21"/>
  <c r="BF45" i="21"/>
  <c r="BR41" i="21"/>
  <c r="BF41" i="21"/>
  <c r="BO41" i="21"/>
  <c r="BC41" i="21"/>
  <c r="BL41" i="21"/>
  <c r="AZ41" i="21"/>
  <c r="BU41" i="21"/>
  <c r="BI41" i="21"/>
  <c r="BO32" i="21"/>
  <c r="BR32" i="21"/>
  <c r="BC32" i="21"/>
  <c r="BF32" i="21"/>
  <c r="BL32" i="21"/>
  <c r="AZ32" i="21"/>
  <c r="BU32" i="21"/>
  <c r="BI32" i="21"/>
  <c r="BL30" i="21"/>
  <c r="AZ30" i="21"/>
  <c r="BC30" i="21"/>
  <c r="BU30" i="21"/>
  <c r="BI30" i="21"/>
  <c r="BO30" i="21"/>
  <c r="BR30" i="21"/>
  <c r="BF30" i="21"/>
  <c r="BF34" i="21"/>
  <c r="BU34" i="21"/>
  <c r="BR34" i="21"/>
  <c r="BO34" i="21"/>
  <c r="BC34" i="21"/>
  <c r="BI34" i="21"/>
  <c r="BL34" i="21"/>
  <c r="AZ34" i="21"/>
  <c r="BO31" i="21"/>
  <c r="BC31" i="21"/>
  <c r="BL31" i="21"/>
  <c r="AZ31" i="21"/>
  <c r="BF31" i="21"/>
  <c r="BU31" i="21"/>
  <c r="BI31" i="21"/>
  <c r="BR31" i="21"/>
  <c r="BR23" i="21"/>
  <c r="BF23" i="21"/>
  <c r="BO23" i="21"/>
  <c r="BL23" i="21"/>
  <c r="AZ23" i="21"/>
  <c r="BU23" i="21"/>
  <c r="BI23" i="21"/>
  <c r="BC23" i="21"/>
  <c r="BR22" i="21"/>
  <c r="BF22" i="21"/>
  <c r="BU22" i="21"/>
  <c r="BO22" i="21"/>
  <c r="BC22" i="21"/>
  <c r="BL22" i="21"/>
  <c r="AZ22" i="21"/>
  <c r="BI22" i="21"/>
  <c r="BF20" i="21"/>
  <c r="BO20" i="21"/>
  <c r="BC20" i="21"/>
  <c r="BL20" i="21"/>
  <c r="BR20" i="21"/>
  <c r="AZ20" i="21"/>
  <c r="BU20" i="21"/>
  <c r="BI20" i="21"/>
  <c r="BC14" i="21"/>
  <c r="BO14" i="21"/>
  <c r="BF14" i="21"/>
  <c r="BR14" i="21"/>
  <c r="BR13" i="21"/>
  <c r="BF13" i="21"/>
  <c r="BO13" i="21"/>
  <c r="BC13" i="21"/>
  <c r="BL13" i="21"/>
  <c r="AZ13" i="21"/>
  <c r="BU13" i="21"/>
  <c r="BI13" i="21"/>
  <c r="BR17" i="21"/>
  <c r="BF17" i="21"/>
  <c r="BL17" i="21"/>
  <c r="AZ17" i="21"/>
  <c r="BU17" i="21"/>
  <c r="BI17" i="21"/>
  <c r="BO17" i="21"/>
  <c r="BC17" i="21"/>
  <c r="BR11" i="21"/>
  <c r="BF11" i="21"/>
  <c r="BO11" i="21"/>
  <c r="BC11" i="21"/>
  <c r="BU11" i="21"/>
  <c r="BI11" i="21"/>
  <c r="BL11" i="21"/>
  <c r="AZ11" i="21"/>
  <c r="BR33" i="21" l="1"/>
  <c r="BL54" i="21"/>
  <c r="BO54" i="21"/>
  <c r="BF54" i="21"/>
  <c r="BR54" i="21"/>
  <c r="BI54" i="21"/>
  <c r="BU54" i="21"/>
  <c r="AZ54" i="21"/>
  <c r="BU38" i="21"/>
  <c r="BR38" i="21"/>
  <c r="BC38" i="21"/>
  <c r="BO38" i="21"/>
  <c r="BF38" i="21"/>
  <c r="AZ38" i="21"/>
  <c r="BL38" i="21"/>
  <c r="AZ33" i="21"/>
  <c r="BU33" i="21"/>
  <c r="BL33" i="21"/>
  <c r="BI33" i="21"/>
  <c r="BF33" i="21"/>
  <c r="BC33" i="21"/>
  <c r="AH74" i="2" l="1"/>
  <c r="AE74" i="2"/>
  <c r="AB74" i="2"/>
  <c r="Z74" i="2"/>
  <c r="Y74" i="2"/>
  <c r="W74" i="2"/>
  <c r="V74" i="2"/>
  <c r="T74" i="2"/>
  <c r="S74" i="2"/>
  <c r="Q74" i="2"/>
  <c r="P74" i="2"/>
  <c r="L74" i="2"/>
  <c r="K74" i="2"/>
  <c r="AH73" i="2"/>
  <c r="AE73" i="2"/>
  <c r="AB73" i="2"/>
  <c r="Z73" i="2"/>
  <c r="Y73" i="2"/>
  <c r="W73" i="2"/>
  <c r="V73" i="2"/>
  <c r="T73" i="2"/>
  <c r="S73" i="2"/>
  <c r="Q73" i="2"/>
  <c r="P73" i="2"/>
  <c r="L73" i="2"/>
  <c r="K73" i="2"/>
  <c r="AH72" i="2"/>
  <c r="AE72" i="2"/>
  <c r="AB72" i="2"/>
  <c r="Z72" i="2"/>
  <c r="Y72" i="2"/>
  <c r="W72" i="2"/>
  <c r="V72" i="2"/>
  <c r="T72" i="2"/>
  <c r="S72" i="2"/>
  <c r="Q72" i="2"/>
  <c r="P72" i="2"/>
  <c r="L72" i="2"/>
  <c r="K72" i="2"/>
  <c r="AH68" i="2"/>
  <c r="AD68" i="2"/>
  <c r="AE68" i="2" s="1"/>
  <c r="AB68" i="2"/>
  <c r="Z68" i="2"/>
  <c r="Y68" i="2"/>
  <c r="W68" i="2"/>
  <c r="V68" i="2"/>
  <c r="T68" i="2"/>
  <c r="S68" i="2"/>
  <c r="Q68" i="2"/>
  <c r="P68" i="2"/>
  <c r="L68" i="2"/>
  <c r="K68" i="2"/>
  <c r="AH66" i="2"/>
  <c r="AE66" i="2"/>
  <c r="AB66" i="2"/>
  <c r="Z66" i="2"/>
  <c r="Y66" i="2"/>
  <c r="W66" i="2"/>
  <c r="V66" i="2"/>
  <c r="T66" i="2"/>
  <c r="S66" i="2"/>
  <c r="Q66" i="2"/>
  <c r="P66" i="2"/>
  <c r="L66" i="2"/>
  <c r="K66" i="2"/>
  <c r="AH65" i="2"/>
  <c r="AD65" i="2"/>
  <c r="AE65" i="2" s="1"/>
  <c r="AB65" i="2"/>
  <c r="Z65" i="2"/>
  <c r="Y65" i="2"/>
  <c r="W65" i="2"/>
  <c r="V65" i="2"/>
  <c r="T65" i="2"/>
  <c r="S65" i="2"/>
  <c r="Q65" i="2"/>
  <c r="P65" i="2"/>
  <c r="L65" i="2"/>
  <c r="K65" i="2"/>
  <c r="AH60" i="2"/>
  <c r="AE60" i="2"/>
  <c r="P60" i="2"/>
  <c r="M60" i="2"/>
  <c r="AR179" i="21"/>
  <c r="AS179" i="21" s="1"/>
  <c r="AR178" i="21"/>
  <c r="AS178" i="21" s="1"/>
  <c r="M65" i="2" l="1"/>
  <c r="H73" i="2"/>
  <c r="H66" i="2"/>
  <c r="H68" i="2"/>
  <c r="H74" i="2"/>
  <c r="H65" i="2"/>
  <c r="H72" i="2"/>
  <c r="M74" i="2"/>
  <c r="M73" i="2"/>
  <c r="M72" i="2"/>
  <c r="M68" i="2"/>
  <c r="M66" i="2"/>
  <c r="B12" i="4"/>
  <c r="AU77" i="21"/>
  <c r="E235" i="21"/>
  <c r="AU232" i="21"/>
  <c r="AU260" i="21"/>
  <c r="AU264" i="21"/>
  <c r="AR255" i="21"/>
  <c r="F252" i="21"/>
  <c r="AU239" i="21"/>
  <c r="E234" i="21"/>
  <c r="AU75" i="21"/>
  <c r="G75" i="21"/>
  <c r="AU8" i="21"/>
  <c r="AU234" i="21" l="1"/>
  <c r="G183" i="21"/>
  <c r="AU183" i="21"/>
  <c r="AU235" i="21"/>
  <c r="AU185" i="21"/>
  <c r="BO264" i="21"/>
  <c r="AZ75" i="21" l="1"/>
  <c r="AZ234" i="21" s="1"/>
  <c r="BC75" i="21"/>
  <c r="BC234" i="21" s="1"/>
  <c r="BU75" i="21"/>
  <c r="BU234" i="21" s="1"/>
  <c r="BI75" i="21"/>
  <c r="BI234" i="21" s="1"/>
  <c r="BF183" i="21"/>
  <c r="BF235" i="21" s="1"/>
  <c r="BO183" i="21"/>
  <c r="BO235" i="21" s="1"/>
  <c r="BC183" i="21"/>
  <c r="BC235" i="21" s="1"/>
  <c r="BL183" i="21"/>
  <c r="BL235" i="21" s="1"/>
  <c r="BU183" i="21"/>
  <c r="BU235" i="21" s="1"/>
  <c r="BI183" i="21"/>
  <c r="BI235" i="21" s="1"/>
  <c r="BR183" i="21"/>
  <c r="BR235" i="21" s="1"/>
  <c r="BR75" i="21"/>
  <c r="BR234" i="21" s="1"/>
  <c r="BO75" i="21"/>
  <c r="BO234" i="21" s="1"/>
  <c r="BL75" i="21"/>
  <c r="BL234" i="21" s="1"/>
  <c r="BF75" i="21"/>
  <c r="BF234" i="21" s="1"/>
  <c r="AY183" i="21"/>
  <c r="AY235" i="21" s="1"/>
  <c r="G218" i="21"/>
  <c r="E236" i="21"/>
  <c r="AU218" i="21"/>
  <c r="AU220" i="21"/>
  <c r="BC264" i="21"/>
  <c r="BL264" i="21"/>
  <c r="BU264" i="21"/>
  <c r="BR264" i="21"/>
  <c r="BF264" i="21"/>
  <c r="AY264" i="21"/>
  <c r="BI264" i="21"/>
  <c r="AZ264" i="21"/>
  <c r="AY75" i="21"/>
  <c r="AY234" i="21" s="1"/>
  <c r="AU236" i="21" l="1"/>
  <c r="AZ183" i="21"/>
  <c r="AZ235" i="21" s="1"/>
  <c r="E237" i="21"/>
  <c r="AY218" i="21"/>
  <c r="AY236" i="21" s="1"/>
  <c r="AZ218" i="21"/>
  <c r="AZ236" i="21" s="1"/>
  <c r="BL218" i="21"/>
  <c r="BL236" i="21" s="1"/>
  <c r="BF218" i="21"/>
  <c r="BF236" i="21" s="1"/>
  <c r="BR218" i="21"/>
  <c r="BR236" i="21" s="1"/>
  <c r="BC218" i="21"/>
  <c r="BC236" i="21" s="1"/>
  <c r="BO218" i="21"/>
  <c r="BO236" i="21" s="1"/>
  <c r="BI218" i="21"/>
  <c r="BI236" i="21" s="1"/>
  <c r="BU218" i="21"/>
  <c r="BU236" i="21" s="1"/>
  <c r="AU230" i="21"/>
  <c r="G230" i="21"/>
  <c r="AD26" i="2"/>
  <c r="AE26" i="2" s="1"/>
  <c r="AH26" i="2"/>
  <c r="AB26" i="2"/>
  <c r="Z26" i="2"/>
  <c r="Y26" i="2"/>
  <c r="W26" i="2"/>
  <c r="V26" i="2"/>
  <c r="T26" i="2"/>
  <c r="S26" i="2"/>
  <c r="Q26" i="2"/>
  <c r="P26" i="2"/>
  <c r="L26" i="2"/>
  <c r="K26" i="2"/>
  <c r="AH34" i="2"/>
  <c r="AD34" i="2"/>
  <c r="AE34" i="2" s="1"/>
  <c r="AB34" i="2"/>
  <c r="Z34" i="2"/>
  <c r="Y34" i="2"/>
  <c r="W34" i="2"/>
  <c r="V34" i="2"/>
  <c r="T34" i="2"/>
  <c r="S34" i="2"/>
  <c r="Q34" i="2"/>
  <c r="P34" i="2"/>
  <c r="L34" i="2"/>
  <c r="K34" i="2"/>
  <c r="AH33" i="2"/>
  <c r="AD33" i="2"/>
  <c r="AE33" i="2" s="1"/>
  <c r="AB33" i="2"/>
  <c r="Z33" i="2"/>
  <c r="Y33" i="2"/>
  <c r="W33" i="2"/>
  <c r="V33" i="2"/>
  <c r="T33" i="2"/>
  <c r="S33" i="2"/>
  <c r="Q33" i="2"/>
  <c r="P33" i="2"/>
  <c r="L33" i="2"/>
  <c r="K33" i="2"/>
  <c r="AH32" i="2"/>
  <c r="AD32" i="2"/>
  <c r="AE32" i="2" s="1"/>
  <c r="AB32" i="2"/>
  <c r="Z32" i="2"/>
  <c r="Y32" i="2"/>
  <c r="W32" i="2"/>
  <c r="V32" i="2"/>
  <c r="T32" i="2"/>
  <c r="S32" i="2"/>
  <c r="Q32" i="2"/>
  <c r="P32" i="2"/>
  <c r="L32" i="2"/>
  <c r="K32" i="2"/>
  <c r="AD28" i="2"/>
  <c r="AE28" i="2" s="1"/>
  <c r="AD27" i="2"/>
  <c r="Z27" i="2"/>
  <c r="Z28" i="2"/>
  <c r="W27" i="2"/>
  <c r="W28" i="2"/>
  <c r="AH28" i="2"/>
  <c r="AB28" i="2"/>
  <c r="Y28" i="2"/>
  <c r="V28" i="2"/>
  <c r="T28" i="2"/>
  <c r="S28" i="2"/>
  <c r="Q28" i="2"/>
  <c r="P28" i="2"/>
  <c r="L28" i="2"/>
  <c r="K28" i="2"/>
  <c r="AU237" i="21" l="1"/>
  <c r="H32" i="2"/>
  <c r="H34" i="2"/>
  <c r="H33" i="2"/>
  <c r="BU230" i="21"/>
  <c r="BU237" i="21" s="1"/>
  <c r="BR230" i="21"/>
  <c r="BR237" i="21" s="1"/>
  <c r="BF230" i="21"/>
  <c r="BF237" i="21" s="1"/>
  <c r="BL230" i="21"/>
  <c r="BL237" i="21" s="1"/>
  <c r="BI230" i="21"/>
  <c r="BI237" i="21" s="1"/>
  <c r="BO230" i="21"/>
  <c r="BO237" i="21" s="1"/>
  <c r="BC230" i="21"/>
  <c r="BC237" i="21" s="1"/>
  <c r="M33" i="2"/>
  <c r="H26" i="2"/>
  <c r="M26" i="2"/>
  <c r="M34" i="2"/>
  <c r="M32" i="2"/>
  <c r="H28" i="2"/>
  <c r="M28" i="2"/>
  <c r="AY230" i="21" l="1"/>
  <c r="AY237" i="21" s="1"/>
  <c r="AZ230" i="21"/>
  <c r="AZ237" i="21" s="1"/>
  <c r="AY239" i="21" l="1"/>
  <c r="BO239" i="21"/>
  <c r="BF239" i="21"/>
  <c r="BR239" i="21"/>
  <c r="BU239" i="21"/>
  <c r="BL239" i="21"/>
  <c r="BC239" i="21"/>
  <c r="BI239" i="21"/>
  <c r="AZ239" i="21" l="1"/>
  <c r="AH44" i="2" l="1"/>
  <c r="AE44" i="2"/>
  <c r="AB44" i="2"/>
  <c r="Z44" i="2"/>
  <c r="Y44" i="2"/>
  <c r="W44" i="2"/>
  <c r="V44" i="2"/>
  <c r="T44" i="2"/>
  <c r="S44" i="2"/>
  <c r="Q44" i="2"/>
  <c r="P44" i="2"/>
  <c r="L44" i="2"/>
  <c r="K44" i="2"/>
  <c r="M44" i="2" l="1"/>
  <c r="H44" i="2"/>
  <c r="K27" i="2"/>
  <c r="AH38" i="2"/>
  <c r="AF57" i="2" s="1"/>
  <c r="AH21" i="2"/>
  <c r="AH6" i="2"/>
  <c r="T27" i="2"/>
  <c r="Q27" i="2"/>
  <c r="K12" i="2"/>
  <c r="Z12" i="2"/>
  <c r="W12" i="2"/>
  <c r="T12" i="2"/>
  <c r="Q12" i="2"/>
  <c r="AH27" i="2"/>
  <c r="AE27" i="2"/>
  <c r="AB27" i="2"/>
  <c r="Y27" i="2"/>
  <c r="V27" i="2"/>
  <c r="S27" i="2"/>
  <c r="P27" i="2"/>
  <c r="L27" i="2"/>
  <c r="P21" i="2"/>
  <c r="M21" i="2"/>
  <c r="AH12" i="2"/>
  <c r="AE12" i="2"/>
  <c r="AB12" i="2"/>
  <c r="Y12" i="2"/>
  <c r="V12" i="2"/>
  <c r="S12" i="2"/>
  <c r="P12" i="2"/>
  <c r="L12" i="2"/>
  <c r="P6" i="2"/>
  <c r="M6" i="2"/>
  <c r="Z43" i="2"/>
  <c r="W43" i="2"/>
  <c r="T43" i="2"/>
  <c r="Q43" i="2"/>
  <c r="P38" i="2"/>
  <c r="N57" i="2" s="1"/>
  <c r="M38" i="2"/>
  <c r="I57" i="2" s="1"/>
  <c r="I82" i="2" l="1"/>
  <c r="I80" i="2"/>
  <c r="I81" i="2"/>
  <c r="N80" i="2"/>
  <c r="N81" i="2"/>
  <c r="N82" i="2"/>
  <c r="AF82" i="2"/>
  <c r="AF81" i="2"/>
  <c r="AF80" i="2"/>
  <c r="M27" i="2"/>
  <c r="H12" i="2"/>
  <c r="I56" i="2"/>
  <c r="I55" i="2"/>
  <c r="I53" i="2"/>
  <c r="I54" i="2"/>
  <c r="N54" i="2"/>
  <c r="N53" i="2"/>
  <c r="N55" i="2"/>
  <c r="N56" i="2"/>
  <c r="AF53" i="2"/>
  <c r="AF56" i="2"/>
  <c r="AF55" i="2"/>
  <c r="AF54" i="2"/>
  <c r="N16" i="2"/>
  <c r="N17" i="2"/>
  <c r="I17" i="2"/>
  <c r="I16" i="2"/>
  <c r="AF17" i="2"/>
  <c r="AF16" i="2"/>
  <c r="I49" i="2"/>
  <c r="I48" i="2"/>
  <c r="N48" i="2"/>
  <c r="N49" i="2"/>
  <c r="AF49" i="2"/>
  <c r="AF48" i="2"/>
  <c r="AV11" i="35"/>
  <c r="AV103" i="21"/>
  <c r="AV105" i="21"/>
  <c r="AV104" i="21"/>
  <c r="AV94" i="21"/>
  <c r="AV102" i="21"/>
  <c r="AV101" i="21"/>
  <c r="AV100" i="21"/>
  <c r="AV110" i="21"/>
  <c r="AV109" i="21"/>
  <c r="AV117" i="21"/>
  <c r="AV52" i="21"/>
  <c r="BS11" i="35"/>
  <c r="BS103" i="21"/>
  <c r="BS105" i="21"/>
  <c r="BS104" i="21"/>
  <c r="BS94" i="21"/>
  <c r="BS102" i="21"/>
  <c r="BS110" i="21"/>
  <c r="BS100" i="21"/>
  <c r="BS117" i="21"/>
  <c r="BS109" i="21"/>
  <c r="BS101" i="21"/>
  <c r="BS52" i="21"/>
  <c r="BA11" i="35"/>
  <c r="BA105" i="21"/>
  <c r="BA100" i="21"/>
  <c r="BA110" i="21"/>
  <c r="BA117" i="21"/>
  <c r="BA94" i="21"/>
  <c r="BA109" i="21"/>
  <c r="BA103" i="21"/>
  <c r="BA101" i="21"/>
  <c r="BA102" i="21"/>
  <c r="BA104" i="21"/>
  <c r="BA52" i="21"/>
  <c r="BA215" i="21"/>
  <c r="BA228" i="21"/>
  <c r="BA212" i="21"/>
  <c r="BA209" i="21"/>
  <c r="BA199" i="21"/>
  <c r="BA208" i="21"/>
  <c r="BA198" i="21"/>
  <c r="BA205" i="21"/>
  <c r="BA200" i="21"/>
  <c r="BA188" i="21"/>
  <c r="BA173" i="21"/>
  <c r="BA167" i="21"/>
  <c r="BA96" i="21"/>
  <c r="BA176" i="21"/>
  <c r="BA60" i="21"/>
  <c r="BA93" i="21"/>
  <c r="BA171" i="21"/>
  <c r="BA190" i="21"/>
  <c r="BA165" i="21"/>
  <c r="BA120" i="21"/>
  <c r="BA118" i="21"/>
  <c r="BA113" i="21"/>
  <c r="BA111" i="21"/>
  <c r="BA67" i="21"/>
  <c r="BA195" i="21"/>
  <c r="BA191" i="21"/>
  <c r="BA138" i="21"/>
  <c r="BA124" i="21"/>
  <c r="BA125" i="21"/>
  <c r="BA89" i="21"/>
  <c r="BA83" i="21"/>
  <c r="BA82" i="21"/>
  <c r="BA170" i="21"/>
  <c r="BA153" i="21"/>
  <c r="BA194" i="21"/>
  <c r="BA139" i="21"/>
  <c r="BA168" i="21"/>
  <c r="BA142" i="21"/>
  <c r="BA69" i="21"/>
  <c r="BA189" i="21"/>
  <c r="BA159" i="21"/>
  <c r="BA148" i="21"/>
  <c r="BA146" i="21"/>
  <c r="BA134" i="21"/>
  <c r="BA123" i="21"/>
  <c r="BA119" i="21"/>
  <c r="BA116" i="21"/>
  <c r="BA112" i="21"/>
  <c r="BA108" i="21"/>
  <c r="BA87" i="21"/>
  <c r="BA62" i="21"/>
  <c r="BA135" i="21"/>
  <c r="BA166" i="21"/>
  <c r="BA84" i="21"/>
  <c r="BA177" i="21"/>
  <c r="BA162" i="21"/>
  <c r="BA152" i="21"/>
  <c r="BA147" i="21"/>
  <c r="BA88" i="21"/>
  <c r="BS215" i="21"/>
  <c r="BS228" i="21"/>
  <c r="BS212" i="21"/>
  <c r="BS199" i="21"/>
  <c r="BS208" i="21"/>
  <c r="BS198" i="21"/>
  <c r="BS209" i="21"/>
  <c r="BS205" i="21"/>
  <c r="BS200" i="21"/>
  <c r="BS177" i="21"/>
  <c r="BS171" i="21"/>
  <c r="BS162" i="21"/>
  <c r="BS168" i="21"/>
  <c r="BS152" i="21"/>
  <c r="BS142" i="21"/>
  <c r="BS69" i="21"/>
  <c r="BS167" i="21"/>
  <c r="BS159" i="21"/>
  <c r="BS148" i="21"/>
  <c r="BS146" i="21"/>
  <c r="BS87" i="21"/>
  <c r="BS135" i="21"/>
  <c r="BS124" i="21"/>
  <c r="BS93" i="21"/>
  <c r="BS84" i="21"/>
  <c r="BS190" i="21"/>
  <c r="BS165" i="21"/>
  <c r="BS147" i="21"/>
  <c r="BS120" i="21"/>
  <c r="BS118" i="21"/>
  <c r="BS113" i="21"/>
  <c r="BS111" i="21"/>
  <c r="BS88" i="21"/>
  <c r="BS67" i="21"/>
  <c r="BS188" i="21"/>
  <c r="BS173" i="21"/>
  <c r="BS96" i="21"/>
  <c r="BS189" i="21"/>
  <c r="BS134" i="21"/>
  <c r="BS116" i="21"/>
  <c r="BS166" i="21"/>
  <c r="BS195" i="21"/>
  <c r="BS191" i="21"/>
  <c r="BS138" i="21"/>
  <c r="BS125" i="21"/>
  <c r="BS89" i="21"/>
  <c r="BS83" i="21"/>
  <c r="BS82" i="21"/>
  <c r="BS176" i="21"/>
  <c r="BS170" i="21"/>
  <c r="BS153" i="21"/>
  <c r="BS60" i="21"/>
  <c r="BS123" i="21"/>
  <c r="BS119" i="21"/>
  <c r="BS112" i="21"/>
  <c r="BS108" i="21"/>
  <c r="BS62" i="21"/>
  <c r="BS194" i="21"/>
  <c r="BS139" i="21"/>
  <c r="AV215" i="21"/>
  <c r="AV228" i="21"/>
  <c r="AV212" i="21"/>
  <c r="AV199" i="21"/>
  <c r="AV208" i="21"/>
  <c r="AV198" i="21"/>
  <c r="AV209" i="21"/>
  <c r="AV205" i="21"/>
  <c r="AV200" i="21"/>
  <c r="AV177" i="21"/>
  <c r="AV171" i="21"/>
  <c r="AV162" i="21"/>
  <c r="AV168" i="21"/>
  <c r="AV152" i="21"/>
  <c r="AV142" i="21"/>
  <c r="AV69" i="21"/>
  <c r="AV60" i="21"/>
  <c r="AV148" i="21"/>
  <c r="AV146" i="21"/>
  <c r="AV135" i="21"/>
  <c r="AV166" i="21"/>
  <c r="AV139" i="21"/>
  <c r="AV84" i="21"/>
  <c r="AV190" i="21"/>
  <c r="AV165" i="21"/>
  <c r="AV147" i="21"/>
  <c r="AV124" i="21"/>
  <c r="AV120" i="21"/>
  <c r="AV118" i="21"/>
  <c r="AV113" i="21"/>
  <c r="AV111" i="21"/>
  <c r="AV88" i="21"/>
  <c r="AV67" i="21"/>
  <c r="AV188" i="21"/>
  <c r="AV173" i="21"/>
  <c r="AV167" i="21"/>
  <c r="AV96" i="21"/>
  <c r="AV189" i="21"/>
  <c r="AV159" i="21"/>
  <c r="AV87" i="21"/>
  <c r="AV62" i="21"/>
  <c r="AV195" i="21"/>
  <c r="AV191" i="21"/>
  <c r="AV138" i="21"/>
  <c r="AV125" i="21"/>
  <c r="AV89" i="21"/>
  <c r="AV83" i="21"/>
  <c r="AV82" i="21"/>
  <c r="AV176" i="21"/>
  <c r="AV170" i="21"/>
  <c r="AV153" i="21"/>
  <c r="AV134" i="21"/>
  <c r="AV123" i="21"/>
  <c r="AV119" i="21"/>
  <c r="AV116" i="21"/>
  <c r="AV112" i="21"/>
  <c r="AV108" i="21"/>
  <c r="AV194" i="21"/>
  <c r="AV93" i="21"/>
  <c r="BA48" i="21"/>
  <c r="BA45" i="21"/>
  <c r="BA41" i="21"/>
  <c r="BA23" i="21"/>
  <c r="BA17" i="21"/>
  <c r="BA11" i="21"/>
  <c r="BA55" i="21"/>
  <c r="BA54" i="21"/>
  <c r="BA58" i="21"/>
  <c r="BA32" i="21"/>
  <c r="BA38" i="21"/>
  <c r="BA13" i="21"/>
  <c r="BA20" i="21"/>
  <c r="BA33" i="21"/>
  <c r="BA51" i="21"/>
  <c r="BA31" i="21"/>
  <c r="BA46" i="21"/>
  <c r="BA44" i="21"/>
  <c r="BA34" i="21"/>
  <c r="BA30" i="21"/>
  <c r="BA22" i="21"/>
  <c r="BA14" i="21"/>
  <c r="BS54" i="21"/>
  <c r="BS14" i="21"/>
  <c r="BS32" i="21"/>
  <c r="BS30" i="21"/>
  <c r="BS22" i="21"/>
  <c r="BS33" i="21"/>
  <c r="BS58" i="21"/>
  <c r="BS46" i="21"/>
  <c r="BS48" i="21"/>
  <c r="BS45" i="21"/>
  <c r="BS41" i="21"/>
  <c r="BS23" i="21"/>
  <c r="BS38" i="21"/>
  <c r="BS13" i="21"/>
  <c r="BS44" i="21"/>
  <c r="BS34" i="21"/>
  <c r="BS51" i="21"/>
  <c r="BS17" i="21"/>
  <c r="BS11" i="21"/>
  <c r="BS55" i="21"/>
  <c r="BS31" i="21"/>
  <c r="BS20" i="21"/>
  <c r="AV54" i="21"/>
  <c r="AV14" i="21"/>
  <c r="AV58" i="21"/>
  <c r="AV13" i="21"/>
  <c r="AV34" i="21"/>
  <c r="AV30" i="21"/>
  <c r="AV33" i="21"/>
  <c r="AV48" i="21"/>
  <c r="AV45" i="21"/>
  <c r="AV41" i="21"/>
  <c r="AV23" i="21"/>
  <c r="AV32" i="21"/>
  <c r="AV38" i="21"/>
  <c r="AV51" i="21"/>
  <c r="AV17" i="21"/>
  <c r="AV11" i="21"/>
  <c r="AV55" i="21"/>
  <c r="AV31" i="21"/>
  <c r="AV46" i="21"/>
  <c r="AV44" i="21"/>
  <c r="AV22" i="21"/>
  <c r="AV20" i="21"/>
  <c r="I26" i="2"/>
  <c r="I73" i="2"/>
  <c r="I65" i="2"/>
  <c r="I72" i="2"/>
  <c r="I68" i="2"/>
  <c r="I66" i="2"/>
  <c r="I74" i="2"/>
  <c r="N26" i="2"/>
  <c r="N66" i="2"/>
  <c r="N74" i="2"/>
  <c r="N73" i="2"/>
  <c r="N65" i="2"/>
  <c r="N72" i="2"/>
  <c r="N68" i="2"/>
  <c r="AF26" i="2"/>
  <c r="AF66" i="2"/>
  <c r="AF72" i="2"/>
  <c r="AF68" i="2"/>
  <c r="AF74" i="2"/>
  <c r="AF73" i="2"/>
  <c r="AF65" i="2"/>
  <c r="I34" i="2"/>
  <c r="I33" i="2"/>
  <c r="I32" i="2"/>
  <c r="N33" i="2"/>
  <c r="N32" i="2"/>
  <c r="N34" i="2"/>
  <c r="AF34" i="2"/>
  <c r="AF32" i="2"/>
  <c r="AF33" i="2"/>
  <c r="N28" i="2"/>
  <c r="AF28" i="2"/>
  <c r="I28" i="2"/>
  <c r="I27" i="2"/>
  <c r="N27" i="2"/>
  <c r="AF27" i="2"/>
  <c r="AF44" i="2"/>
  <c r="I44" i="2"/>
  <c r="N43" i="2"/>
  <c r="N44" i="2"/>
  <c r="AF12" i="2"/>
  <c r="I12" i="2"/>
  <c r="N12" i="2"/>
  <c r="H27" i="2"/>
  <c r="M12" i="2"/>
  <c r="I43" i="2"/>
  <c r="G15" i="4"/>
  <c r="G43" i="4" l="1"/>
  <c r="B43" i="4"/>
  <c r="B42" i="4"/>
  <c r="B20" i="4"/>
  <c r="K43" i="2"/>
  <c r="H43" i="2" l="1"/>
  <c r="E32" i="4"/>
  <c r="B32" i="4"/>
  <c r="E31" i="4"/>
  <c r="E30" i="4"/>
  <c r="G29" i="4"/>
  <c r="B31" i="4" l="1"/>
  <c r="B15" i="4"/>
  <c r="E2" i="35" l="1"/>
  <c r="AU2" i="35" s="1"/>
  <c r="E2" i="21"/>
  <c r="AU2" i="21" s="1"/>
  <c r="B30" i="4"/>
  <c r="B29" i="4"/>
  <c r="B23" i="4"/>
  <c r="B22" i="4"/>
  <c r="G44" i="4" l="1"/>
  <c r="AH43" i="2"/>
  <c r="AE43" i="2"/>
  <c r="AB43" i="2"/>
  <c r="Y43" i="2"/>
  <c r="V43" i="2"/>
  <c r="S43" i="2"/>
  <c r="P43" i="2"/>
  <c r="L43" i="2"/>
  <c r="M43" i="2"/>
  <c r="AE21" i="2" l="1"/>
  <c r="AE38" i="2"/>
  <c r="AC57" i="2" s="1"/>
  <c r="AI57" i="2" s="1"/>
  <c r="AE6" i="2"/>
  <c r="AC82" i="2" l="1"/>
  <c r="AI82" i="2" s="1"/>
  <c r="AC81" i="2"/>
  <c r="AI81" i="2" s="1"/>
  <c r="AC80" i="2"/>
  <c r="AI80" i="2" s="1"/>
  <c r="AJ57" i="2"/>
  <c r="G57" i="2"/>
  <c r="AC54" i="2"/>
  <c r="AI54" i="2" s="1"/>
  <c r="AC53" i="2"/>
  <c r="AI53" i="2" s="1"/>
  <c r="AC56" i="2"/>
  <c r="AI56" i="2" s="1"/>
  <c r="AC55" i="2"/>
  <c r="AI55" i="2" s="1"/>
  <c r="AC17" i="2"/>
  <c r="AI17" i="2" s="1"/>
  <c r="AC16" i="2"/>
  <c r="AI16" i="2" s="1"/>
  <c r="AC49" i="2"/>
  <c r="AI49" i="2" s="1"/>
  <c r="AC48" i="2"/>
  <c r="AI48" i="2" s="1"/>
  <c r="BP11" i="35"/>
  <c r="BV11" i="35" s="1"/>
  <c r="BW11" i="35" s="1"/>
  <c r="BP103" i="21"/>
  <c r="BV103" i="21" s="1"/>
  <c r="BP105" i="21"/>
  <c r="BV105" i="21" s="1"/>
  <c r="BP104" i="21"/>
  <c r="BV104" i="21" s="1"/>
  <c r="BP94" i="21"/>
  <c r="BV94" i="21" s="1"/>
  <c r="BP102" i="21"/>
  <c r="BV102" i="21" s="1"/>
  <c r="BP100" i="21"/>
  <c r="BV100" i="21" s="1"/>
  <c r="BP117" i="21"/>
  <c r="BV117" i="21" s="1"/>
  <c r="BP101" i="21"/>
  <c r="BV101" i="21" s="1"/>
  <c r="BP110" i="21"/>
  <c r="BV110" i="21" s="1"/>
  <c r="BP109" i="21"/>
  <c r="BV109" i="21" s="1"/>
  <c r="BP52" i="21"/>
  <c r="BV52" i="21" s="1"/>
  <c r="BP228" i="21"/>
  <c r="BV228" i="21" s="1"/>
  <c r="BP215" i="21"/>
  <c r="BV215" i="21" s="1"/>
  <c r="BP212" i="21"/>
  <c r="BV212" i="21" s="1"/>
  <c r="BP200" i="21"/>
  <c r="BV200" i="21" s="1"/>
  <c r="BP199" i="21"/>
  <c r="BV199" i="21" s="1"/>
  <c r="BP208" i="21"/>
  <c r="BV208" i="21" s="1"/>
  <c r="BP198" i="21"/>
  <c r="BV198" i="21" s="1"/>
  <c r="BP209" i="21"/>
  <c r="BV209" i="21" s="1"/>
  <c r="BP205" i="21"/>
  <c r="BV205" i="21" s="1"/>
  <c r="BP194" i="21"/>
  <c r="BV194" i="21" s="1"/>
  <c r="BP139" i="21"/>
  <c r="BV139" i="21" s="1"/>
  <c r="BP124" i="21"/>
  <c r="BV124" i="21" s="1"/>
  <c r="BP93" i="21"/>
  <c r="BV93" i="21" s="1"/>
  <c r="BP84" i="21"/>
  <c r="BV84" i="21" s="1"/>
  <c r="BP165" i="21"/>
  <c r="BV165" i="21" s="1"/>
  <c r="BP147" i="21"/>
  <c r="BV147" i="21" s="1"/>
  <c r="BP120" i="21"/>
  <c r="BV120" i="21" s="1"/>
  <c r="BP111" i="21"/>
  <c r="BV111" i="21" s="1"/>
  <c r="BP83" i="21"/>
  <c r="BV83" i="21" s="1"/>
  <c r="BP82" i="21"/>
  <c r="BV82" i="21" s="1"/>
  <c r="BP176" i="21"/>
  <c r="BV176" i="21" s="1"/>
  <c r="BP60" i="21"/>
  <c r="BV60" i="21" s="1"/>
  <c r="BP189" i="21"/>
  <c r="BV189" i="21" s="1"/>
  <c r="BP148" i="21"/>
  <c r="BV148" i="21" s="1"/>
  <c r="BP119" i="21"/>
  <c r="BV119" i="21" s="1"/>
  <c r="BP112" i="21"/>
  <c r="BV112" i="21" s="1"/>
  <c r="BP108" i="21"/>
  <c r="BV108" i="21" s="1"/>
  <c r="BP166" i="21"/>
  <c r="BV166" i="21" s="1"/>
  <c r="BP177" i="21"/>
  <c r="BV177" i="21" s="1"/>
  <c r="BP171" i="21"/>
  <c r="BV171" i="21" s="1"/>
  <c r="BP162" i="21"/>
  <c r="BV162" i="21" s="1"/>
  <c r="BP168" i="21"/>
  <c r="BV168" i="21" s="1"/>
  <c r="BP152" i="21"/>
  <c r="BV152" i="21" s="1"/>
  <c r="BP142" i="21"/>
  <c r="BV142" i="21" s="1"/>
  <c r="BP69" i="21"/>
  <c r="BV69" i="21" s="1"/>
  <c r="BP190" i="21"/>
  <c r="BV190" i="21" s="1"/>
  <c r="BP118" i="21"/>
  <c r="BV118" i="21" s="1"/>
  <c r="BP113" i="21"/>
  <c r="BV113" i="21" s="1"/>
  <c r="BP88" i="21"/>
  <c r="BV88" i="21" s="1"/>
  <c r="BP67" i="21"/>
  <c r="BV67" i="21" s="1"/>
  <c r="BP159" i="21"/>
  <c r="BV159" i="21" s="1"/>
  <c r="BP62" i="21"/>
  <c r="BV62" i="21" s="1"/>
  <c r="BP188" i="21"/>
  <c r="BV188" i="21" s="1"/>
  <c r="BP173" i="21"/>
  <c r="BV173" i="21" s="1"/>
  <c r="BP167" i="21"/>
  <c r="BV167" i="21" s="1"/>
  <c r="BP96" i="21"/>
  <c r="BV96" i="21" s="1"/>
  <c r="BP195" i="21"/>
  <c r="BV195" i="21" s="1"/>
  <c r="BP191" i="21"/>
  <c r="BV191" i="21" s="1"/>
  <c r="BP138" i="21"/>
  <c r="BV138" i="21" s="1"/>
  <c r="BP125" i="21"/>
  <c r="BV125" i="21" s="1"/>
  <c r="BP89" i="21"/>
  <c r="BV89" i="21" s="1"/>
  <c r="BP170" i="21"/>
  <c r="BV170" i="21" s="1"/>
  <c r="BP153" i="21"/>
  <c r="BV153" i="21" s="1"/>
  <c r="BP146" i="21"/>
  <c r="BV146" i="21" s="1"/>
  <c r="BP134" i="21"/>
  <c r="BV134" i="21" s="1"/>
  <c r="BP123" i="21"/>
  <c r="BV123" i="21" s="1"/>
  <c r="BP116" i="21"/>
  <c r="BV116" i="21" s="1"/>
  <c r="BP87" i="21"/>
  <c r="BV87" i="21" s="1"/>
  <c r="BP135" i="21"/>
  <c r="BV135" i="21" s="1"/>
  <c r="BP34" i="21"/>
  <c r="BV34" i="21" s="1"/>
  <c r="BP30" i="21"/>
  <c r="BV30" i="21" s="1"/>
  <c r="BP22" i="21"/>
  <c r="BV22" i="21" s="1"/>
  <c r="BP20" i="21"/>
  <c r="BV20" i="21" s="1"/>
  <c r="BP45" i="21"/>
  <c r="BV45" i="21" s="1"/>
  <c r="BP55" i="21"/>
  <c r="BV55" i="21" s="1"/>
  <c r="BP54" i="21"/>
  <c r="BV54" i="21" s="1"/>
  <c r="BP14" i="21"/>
  <c r="BV14" i="21" s="1"/>
  <c r="BP17" i="21"/>
  <c r="BV17" i="21" s="1"/>
  <c r="BP11" i="21"/>
  <c r="BV11" i="21" s="1"/>
  <c r="BP33" i="21"/>
  <c r="BV33" i="21" s="1"/>
  <c r="BP48" i="21"/>
  <c r="BV48" i="21" s="1"/>
  <c r="BP41" i="21"/>
  <c r="BV41" i="21" s="1"/>
  <c r="BP23" i="21"/>
  <c r="BV23" i="21" s="1"/>
  <c r="BP46" i="21"/>
  <c r="BV46" i="21" s="1"/>
  <c r="BP44" i="21"/>
  <c r="BV44" i="21" s="1"/>
  <c r="BP58" i="21"/>
  <c r="BV58" i="21" s="1"/>
  <c r="BP32" i="21"/>
  <c r="BV32" i="21" s="1"/>
  <c r="BP38" i="21"/>
  <c r="BV38" i="21" s="1"/>
  <c r="BP13" i="21"/>
  <c r="BV13" i="21" s="1"/>
  <c r="BP51" i="21"/>
  <c r="BV51" i="21" s="1"/>
  <c r="BP31" i="21"/>
  <c r="BV31" i="21" s="1"/>
  <c r="AC26" i="2"/>
  <c r="AC68" i="2"/>
  <c r="AI68" i="2" s="1"/>
  <c r="AC66" i="2"/>
  <c r="AI66" i="2" s="1"/>
  <c r="AC74" i="2"/>
  <c r="AI74" i="2" s="1"/>
  <c r="AC73" i="2"/>
  <c r="AI73" i="2" s="1"/>
  <c r="AC65" i="2"/>
  <c r="AI65" i="2" s="1"/>
  <c r="AC72" i="2"/>
  <c r="AI72" i="2" s="1"/>
  <c r="AC32" i="2"/>
  <c r="AC34" i="2"/>
  <c r="AC33" i="2"/>
  <c r="AC28" i="2"/>
  <c r="AC27" i="2"/>
  <c r="AC44" i="2"/>
  <c r="AC12" i="2"/>
  <c r="AF43" i="2"/>
  <c r="AC43" i="2"/>
  <c r="AI43" i="2" s="1"/>
  <c r="AJ80" i="2" l="1"/>
  <c r="G80" i="2"/>
  <c r="G81" i="2"/>
  <c r="AJ81" i="2"/>
  <c r="G82" i="2"/>
  <c r="AJ82" i="2"/>
  <c r="AI26" i="2"/>
  <c r="G26" i="2" s="1"/>
  <c r="AI12" i="2"/>
  <c r="AJ12" i="2" s="1"/>
  <c r="AI32" i="2"/>
  <c r="AJ32" i="2" s="1"/>
  <c r="AI27" i="2"/>
  <c r="AJ27" i="2" s="1"/>
  <c r="AI44" i="2"/>
  <c r="G44" i="2" s="1"/>
  <c r="AI28" i="2"/>
  <c r="AJ28" i="2" s="1"/>
  <c r="AI34" i="2"/>
  <c r="G34" i="2" s="1"/>
  <c r="AI33" i="2"/>
  <c r="G33" i="2" s="1"/>
  <c r="G55" i="2"/>
  <c r="AJ55" i="2"/>
  <c r="AJ56" i="2"/>
  <c r="G56" i="2"/>
  <c r="AJ53" i="2"/>
  <c r="G53" i="2"/>
  <c r="AJ54" i="2"/>
  <c r="G54" i="2"/>
  <c r="AJ16" i="2"/>
  <c r="G16" i="2"/>
  <c r="AJ17" i="2"/>
  <c r="G17" i="2"/>
  <c r="AJ48" i="2"/>
  <c r="G48" i="2"/>
  <c r="AJ49" i="2"/>
  <c r="G49" i="2"/>
  <c r="AR11" i="35"/>
  <c r="AS11" i="35" s="1"/>
  <c r="BX11" i="35" s="1"/>
  <c r="BW102" i="21"/>
  <c r="AR102" i="21"/>
  <c r="AS102" i="21" s="1"/>
  <c r="AR94" i="21"/>
  <c r="AS94" i="21" s="1"/>
  <c r="BW94" i="21"/>
  <c r="AR103" i="21"/>
  <c r="AS103" i="21" s="1"/>
  <c r="BW103" i="21"/>
  <c r="AR117" i="21"/>
  <c r="AS117" i="21" s="1"/>
  <c r="BW117" i="21"/>
  <c r="AR100" i="21"/>
  <c r="AS100" i="21" s="1"/>
  <c r="BW100" i="21"/>
  <c r="AR110" i="21"/>
  <c r="AS110" i="21" s="1"/>
  <c r="BW110" i="21"/>
  <c r="AR52" i="21"/>
  <c r="AS52" i="21" s="1"/>
  <c r="BW52" i="21"/>
  <c r="BW104" i="21"/>
  <c r="AR104" i="21"/>
  <c r="AS104" i="21" s="1"/>
  <c r="AR109" i="21"/>
  <c r="AS109" i="21" s="1"/>
  <c r="BW109" i="21"/>
  <c r="BW105" i="21"/>
  <c r="AR105" i="21"/>
  <c r="AS105" i="21" s="1"/>
  <c r="BW101" i="21"/>
  <c r="AR101" i="21"/>
  <c r="AS101" i="21" s="1"/>
  <c r="BW87" i="21"/>
  <c r="AR87" i="21"/>
  <c r="AS87" i="21" s="1"/>
  <c r="BW142" i="21"/>
  <c r="AR142" i="21"/>
  <c r="AS142" i="21" s="1"/>
  <c r="BW124" i="21"/>
  <c r="AR124" i="21"/>
  <c r="AS124" i="21" s="1"/>
  <c r="BW138" i="21"/>
  <c r="AR138" i="21"/>
  <c r="AS138" i="21" s="1"/>
  <c r="BW112" i="21"/>
  <c r="AR112" i="21"/>
  <c r="AS112" i="21" s="1"/>
  <c r="BW212" i="21"/>
  <c r="AR212" i="21"/>
  <c r="AS212" i="21" s="1"/>
  <c r="AR123" i="21"/>
  <c r="AS123" i="21" s="1"/>
  <c r="BW123" i="21"/>
  <c r="AR191" i="21"/>
  <c r="AS191" i="21" s="1"/>
  <c r="BW191" i="21"/>
  <c r="BW67" i="21"/>
  <c r="AR67" i="21"/>
  <c r="AS67" i="21" s="1"/>
  <c r="AR168" i="21"/>
  <c r="AS168" i="21" s="1"/>
  <c r="BW168" i="21"/>
  <c r="BW119" i="21"/>
  <c r="AR119" i="21"/>
  <c r="AS119" i="21" s="1"/>
  <c r="BW111" i="21"/>
  <c r="AR111" i="21"/>
  <c r="AS111" i="21" s="1"/>
  <c r="BW194" i="21"/>
  <c r="AR194" i="21"/>
  <c r="AS194" i="21" s="1"/>
  <c r="AR215" i="21"/>
  <c r="AS215" i="21" s="1"/>
  <c r="BW215" i="21"/>
  <c r="AR134" i="21"/>
  <c r="AS134" i="21" s="1"/>
  <c r="BW134" i="21"/>
  <c r="AR195" i="21"/>
  <c r="AS195" i="21" s="1"/>
  <c r="BW195" i="21"/>
  <c r="BW88" i="21"/>
  <c r="AR88" i="21"/>
  <c r="AS88" i="21" s="1"/>
  <c r="AR162" i="21"/>
  <c r="AS162" i="21" s="1"/>
  <c r="BW162" i="21"/>
  <c r="AR148" i="21"/>
  <c r="AS148" i="21" s="1"/>
  <c r="BW148" i="21"/>
  <c r="BW120" i="21"/>
  <c r="AR120" i="21"/>
  <c r="AS120" i="21" s="1"/>
  <c r="BW205" i="21"/>
  <c r="AR205" i="21"/>
  <c r="AS205" i="21" s="1"/>
  <c r="BW228" i="21"/>
  <c r="AR228" i="21"/>
  <c r="AS228" i="21" s="1"/>
  <c r="BW125" i="21"/>
  <c r="AR125" i="21"/>
  <c r="AS125" i="21" s="1"/>
  <c r="BW108" i="21"/>
  <c r="AR108" i="21"/>
  <c r="AS108" i="21" s="1"/>
  <c r="BW200" i="21"/>
  <c r="AR200" i="21"/>
  <c r="AS200" i="21" s="1"/>
  <c r="BW159" i="21"/>
  <c r="AR159" i="21"/>
  <c r="AS159" i="21" s="1"/>
  <c r="BW96" i="21"/>
  <c r="AR96" i="21"/>
  <c r="AS96" i="21" s="1"/>
  <c r="BW171" i="21"/>
  <c r="AR171" i="21"/>
  <c r="AS171" i="21" s="1"/>
  <c r="BW147" i="21"/>
  <c r="AR147" i="21"/>
  <c r="AS147" i="21" s="1"/>
  <c r="AR167" i="21"/>
  <c r="AS167" i="21" s="1"/>
  <c r="BW167" i="21"/>
  <c r="BW177" i="21"/>
  <c r="AR177" i="21"/>
  <c r="AS177" i="21" s="1"/>
  <c r="BW165" i="21"/>
  <c r="AR165" i="21"/>
  <c r="AS165" i="21" s="1"/>
  <c r="BW170" i="21"/>
  <c r="AR170" i="21"/>
  <c r="AS170" i="21" s="1"/>
  <c r="BW173" i="21"/>
  <c r="AR173" i="21"/>
  <c r="AS173" i="21" s="1"/>
  <c r="AR190" i="21"/>
  <c r="AS190" i="21" s="1"/>
  <c r="BW190" i="21"/>
  <c r="AR166" i="21"/>
  <c r="AS166" i="21" s="1"/>
  <c r="BW166" i="21"/>
  <c r="BW176" i="21"/>
  <c r="AR176" i="21"/>
  <c r="AS176" i="21" s="1"/>
  <c r="BW84" i="21"/>
  <c r="AR84" i="21"/>
  <c r="AS84" i="21" s="1"/>
  <c r="AR208" i="21"/>
  <c r="AS208" i="21" s="1"/>
  <c r="BW208" i="21"/>
  <c r="AR62" i="21"/>
  <c r="AS62" i="21" s="1"/>
  <c r="BW62" i="21"/>
  <c r="AR83" i="21"/>
  <c r="AS83" i="21" s="1"/>
  <c r="BW83" i="21"/>
  <c r="AR116" i="21"/>
  <c r="AS116" i="21" s="1"/>
  <c r="BW116" i="21"/>
  <c r="BW152" i="21"/>
  <c r="AR152" i="21"/>
  <c r="AS152" i="21" s="1"/>
  <c r="AR139" i="21"/>
  <c r="AS139" i="21" s="1"/>
  <c r="BW139" i="21"/>
  <c r="BW146" i="21"/>
  <c r="AR146" i="21"/>
  <c r="AS146" i="21" s="1"/>
  <c r="AR113" i="21"/>
  <c r="AS113" i="21" s="1"/>
  <c r="BW113" i="21"/>
  <c r="BW189" i="21"/>
  <c r="AR189" i="21"/>
  <c r="AS189" i="21" s="1"/>
  <c r="AR209" i="21"/>
  <c r="AS209" i="21" s="1"/>
  <c r="BW209" i="21"/>
  <c r="BW153" i="21"/>
  <c r="AR153" i="21"/>
  <c r="AS153" i="21" s="1"/>
  <c r="AR118" i="21"/>
  <c r="AS118" i="21" s="1"/>
  <c r="BW118" i="21"/>
  <c r="BW60" i="21"/>
  <c r="AR60" i="21"/>
  <c r="AS60" i="21" s="1"/>
  <c r="BW198" i="21"/>
  <c r="AR198" i="21"/>
  <c r="AS198" i="21" s="1"/>
  <c r="BW135" i="21"/>
  <c r="AR135" i="21"/>
  <c r="AS135" i="21" s="1"/>
  <c r="BW89" i="21"/>
  <c r="AR89" i="21"/>
  <c r="AS89" i="21" s="1"/>
  <c r="BW188" i="21"/>
  <c r="AR188" i="21"/>
  <c r="AS188" i="21" s="1"/>
  <c r="AR69" i="21"/>
  <c r="AS69" i="21" s="1"/>
  <c r="BW69" i="21"/>
  <c r="BW82" i="21"/>
  <c r="AR82" i="21"/>
  <c r="AS82" i="21" s="1"/>
  <c r="BW93" i="21"/>
  <c r="AR93" i="21"/>
  <c r="AS93" i="21" s="1"/>
  <c r="BW199" i="21"/>
  <c r="AR199" i="21"/>
  <c r="AS199" i="21" s="1"/>
  <c r="BW41" i="21"/>
  <c r="AR41" i="21"/>
  <c r="AS41" i="21" s="1"/>
  <c r="BW32" i="21"/>
  <c r="AR32" i="21"/>
  <c r="AS32" i="21" s="1"/>
  <c r="BW22" i="21"/>
  <c r="AR22" i="21"/>
  <c r="AS22" i="21" s="1"/>
  <c r="BW58" i="21"/>
  <c r="AR58" i="21"/>
  <c r="AS58" i="21" s="1"/>
  <c r="BW17" i="21"/>
  <c r="AR17" i="21"/>
  <c r="AS17" i="21" s="1"/>
  <c r="BW30" i="21"/>
  <c r="AR30" i="21"/>
  <c r="AS30" i="21" s="1"/>
  <c r="BW51" i="21"/>
  <c r="AR51" i="21"/>
  <c r="AS51" i="21" s="1"/>
  <c r="BW11" i="21"/>
  <c r="AR11" i="21"/>
  <c r="AS11" i="21" s="1"/>
  <c r="BW44" i="21"/>
  <c r="AR44" i="21"/>
  <c r="AS44" i="21" s="1"/>
  <c r="BW14" i="21"/>
  <c r="AR14" i="21"/>
  <c r="AS14" i="21" s="1"/>
  <c r="BW34" i="21"/>
  <c r="AR34" i="21"/>
  <c r="AS34" i="21" s="1"/>
  <c r="AR31" i="21"/>
  <c r="AS31" i="21" s="1"/>
  <c r="BW31" i="21"/>
  <c r="BW23" i="21"/>
  <c r="AR23" i="21"/>
  <c r="AS23" i="21" s="1"/>
  <c r="BW54" i="21"/>
  <c r="AR54" i="21"/>
  <c r="AS54" i="21" s="1"/>
  <c r="BW46" i="21"/>
  <c r="AR46" i="21"/>
  <c r="AS46" i="21" s="1"/>
  <c r="AR55" i="21"/>
  <c r="AS55" i="21" s="1"/>
  <c r="BW55" i="21"/>
  <c r="AJ26" i="2"/>
  <c r="BW13" i="21"/>
  <c r="AR13" i="21"/>
  <c r="AS13" i="21" s="1"/>
  <c r="BW48" i="21"/>
  <c r="AR48" i="21"/>
  <c r="AS48" i="21" s="1"/>
  <c r="BW45" i="21"/>
  <c r="AR45" i="21"/>
  <c r="AS45" i="21" s="1"/>
  <c r="BW38" i="21"/>
  <c r="AR38" i="21"/>
  <c r="AS38" i="21" s="1"/>
  <c r="BW33" i="21"/>
  <c r="AR33" i="21"/>
  <c r="AS33" i="21" s="1"/>
  <c r="BW20" i="21"/>
  <c r="AR20" i="21"/>
  <c r="AS20" i="21" s="1"/>
  <c r="BW264" i="21"/>
  <c r="AJ44" i="2"/>
  <c r="G74" i="2"/>
  <c r="AJ74" i="2"/>
  <c r="AJ66" i="2"/>
  <c r="G66" i="2"/>
  <c r="AJ68" i="2"/>
  <c r="G68" i="2"/>
  <c r="G32" i="2"/>
  <c r="G72" i="2"/>
  <c r="AJ72" i="2"/>
  <c r="G65" i="2"/>
  <c r="AJ65" i="2"/>
  <c r="G73" i="2"/>
  <c r="AJ73" i="2"/>
  <c r="G43" i="2"/>
  <c r="G12" i="2"/>
  <c r="AJ34" i="2" l="1"/>
  <c r="G28" i="2"/>
  <c r="AJ33" i="2"/>
  <c r="G27" i="2"/>
  <c r="BX104" i="21"/>
  <c r="BX108" i="21"/>
  <c r="BX111" i="21"/>
  <c r="BX101" i="21"/>
  <c r="BX165" i="21"/>
  <c r="BX171" i="21"/>
  <c r="BX120" i="21"/>
  <c r="BX138" i="21"/>
  <c r="BX102" i="21"/>
  <c r="BX110" i="21"/>
  <c r="BX94" i="21"/>
  <c r="BX103" i="21"/>
  <c r="BX105" i="21"/>
  <c r="BX52" i="21"/>
  <c r="BX117" i="21"/>
  <c r="BX109" i="21"/>
  <c r="BX100" i="21"/>
  <c r="BX200" i="21"/>
  <c r="BX205" i="21"/>
  <c r="BX112" i="21"/>
  <c r="BX189" i="21"/>
  <c r="BX152" i="21"/>
  <c r="BX177" i="21"/>
  <c r="BX96" i="21"/>
  <c r="BX88" i="21"/>
  <c r="AU28" i="21"/>
  <c r="AU91" i="21"/>
  <c r="BX194" i="21"/>
  <c r="BX67" i="21"/>
  <c r="BX135" i="21"/>
  <c r="BX153" i="21"/>
  <c r="BX87" i="21"/>
  <c r="BX146" i="21"/>
  <c r="BX176" i="21"/>
  <c r="BX170" i="21"/>
  <c r="BX147" i="21"/>
  <c r="BX159" i="21"/>
  <c r="BX228" i="21"/>
  <c r="BX212" i="21"/>
  <c r="BX142" i="21"/>
  <c r="BX82" i="21"/>
  <c r="BX89" i="21"/>
  <c r="BX199" i="21"/>
  <c r="BX198" i="21"/>
  <c r="BX84" i="21"/>
  <c r="BX173" i="21"/>
  <c r="BX125" i="21"/>
  <c r="BX119" i="21"/>
  <c r="BX124" i="21"/>
  <c r="BX93" i="21"/>
  <c r="BX188" i="21"/>
  <c r="BX60" i="21"/>
  <c r="BX118" i="21"/>
  <c r="BX83" i="21"/>
  <c r="BX166" i="21"/>
  <c r="BX195" i="21"/>
  <c r="BX215" i="21"/>
  <c r="BX168" i="21"/>
  <c r="AS183" i="21"/>
  <c r="AS235" i="21" s="1"/>
  <c r="BX69" i="21"/>
  <c r="BX113" i="21"/>
  <c r="BX139" i="21"/>
  <c r="BX62" i="21"/>
  <c r="BX208" i="21"/>
  <c r="BX190" i="21"/>
  <c r="BX167" i="21"/>
  <c r="BX148" i="21"/>
  <c r="BX134" i="21"/>
  <c r="BX162" i="21"/>
  <c r="BX191" i="21"/>
  <c r="BX209" i="21"/>
  <c r="BX116" i="21"/>
  <c r="BX123" i="21"/>
  <c r="BX34" i="21"/>
  <c r="BX51" i="21"/>
  <c r="BX22" i="21"/>
  <c r="BX20" i="21"/>
  <c r="BX45" i="21"/>
  <c r="BX54" i="21"/>
  <c r="BX23" i="21"/>
  <c r="BX14" i="21"/>
  <c r="BX30" i="21"/>
  <c r="BX32" i="21"/>
  <c r="BX11" i="21"/>
  <c r="BX46" i="21"/>
  <c r="BX44" i="21"/>
  <c r="BX58" i="21"/>
  <c r="BX17" i="21"/>
  <c r="BX41" i="21"/>
  <c r="BX38" i="21"/>
  <c r="BX13" i="21"/>
  <c r="BX55" i="21"/>
  <c r="BX33" i="21"/>
  <c r="BX48" i="21"/>
  <c r="BX31" i="21"/>
  <c r="AS218" i="21"/>
  <c r="AS236" i="21" s="1"/>
  <c r="AS230" i="21"/>
  <c r="AS237" i="21" s="1"/>
  <c r="AJ43" i="2"/>
  <c r="BW218" i="21"/>
  <c r="BW236" i="21" s="1"/>
  <c r="BW183" i="21"/>
  <c r="BW235" i="21" s="1"/>
  <c r="AS75" i="21"/>
  <c r="AS234" i="21" s="1"/>
  <c r="BW75" i="21"/>
  <c r="BW234" i="21" s="1"/>
  <c r="BW230" i="21"/>
  <c r="BX183" i="21" l="1"/>
  <c r="BX235" i="21" s="1"/>
  <c r="BX218" i="21"/>
  <c r="BX236" i="21" s="1"/>
  <c r="BX75" i="21"/>
  <c r="BX234" i="21" s="1"/>
  <c r="AS239" i="21"/>
  <c r="AS255" i="21" s="1"/>
  <c r="BX230" i="21"/>
  <c r="BX237" i="21" s="1"/>
  <c r="BW237" i="21"/>
  <c r="BW239" i="21" s="1"/>
  <c r="AS256" i="21" l="1"/>
  <c r="AS257" i="21" s="1"/>
  <c r="AU1" i="21"/>
  <c r="BX239" i="21"/>
  <c r="BW255" i="21" s="1"/>
  <c r="BW256" i="21" s="1"/>
  <c r="BW257" i="21" s="1"/>
</calcChain>
</file>

<file path=xl/sharedStrings.xml><?xml version="1.0" encoding="utf-8"?>
<sst xmlns="http://schemas.openxmlformats.org/spreadsheetml/2006/main" count="1094" uniqueCount="480">
  <si>
    <t>Coef mod.</t>
  </si>
  <si>
    <t xml:space="preserve">Coef MO (base): </t>
  </si>
  <si>
    <t xml:space="preserve">Coef Four. 1 (base): </t>
  </si>
  <si>
    <t xml:space="preserve">Coef Four. 2 (base): </t>
  </si>
  <si>
    <t xml:space="preserve">Coef Four. 3 (base): </t>
  </si>
  <si>
    <t xml:space="preserve">Coef MTL. LOC.  (base): </t>
  </si>
  <si>
    <t xml:space="preserve">Coef MTL. AMR.  (base): </t>
  </si>
  <si>
    <t xml:space="preserve">Coef ST1.   (base): </t>
  </si>
  <si>
    <t xml:space="preserve">Coef ST2.   (base): </t>
  </si>
  <si>
    <t>Marge détachée par ouvrage</t>
  </si>
  <si>
    <t>Type d'ouvrage</t>
  </si>
  <si>
    <t>Libéllé de l'ouvrage</t>
  </si>
  <si>
    <t>Prix de vente</t>
  </si>
  <si>
    <t>Prix de revient</t>
  </si>
  <si>
    <t>Main d'Œuvre interne</t>
  </si>
  <si>
    <t>unitaire</t>
  </si>
  <si>
    <t>Temps moyen</t>
  </si>
  <si>
    <t>P.Unitaire M-O</t>
  </si>
  <si>
    <t>Temps total</t>
  </si>
  <si>
    <t>P. Total M-O</t>
  </si>
  <si>
    <t>P. unitaire</t>
  </si>
  <si>
    <t>P. total</t>
  </si>
  <si>
    <t>M.unitaire</t>
  </si>
  <si>
    <t>M.total</t>
  </si>
  <si>
    <t>Fouille en tranchée et trou pour fondations</t>
  </si>
  <si>
    <t>unité</t>
  </si>
  <si>
    <t>m3</t>
  </si>
  <si>
    <t>Quant</t>
  </si>
  <si>
    <t xml:space="preserve"> </t>
  </si>
  <si>
    <t>Maitre d'ouvrage</t>
  </si>
  <si>
    <t>Récapitulation</t>
  </si>
  <si>
    <t>N°</t>
  </si>
  <si>
    <t>Désignation</t>
  </si>
  <si>
    <t>U</t>
  </si>
  <si>
    <t>PU</t>
  </si>
  <si>
    <t>Totaux</t>
  </si>
  <si>
    <t>m2</t>
  </si>
  <si>
    <t>Maitre d'œuvre</t>
  </si>
  <si>
    <t>A</t>
  </si>
  <si>
    <t>PARIS</t>
  </si>
  <si>
    <t>Coef</t>
  </si>
  <si>
    <t>Prix de revient unitaire</t>
  </si>
  <si>
    <t xml:space="preserve">Fourniture 1 : </t>
  </si>
  <si>
    <t xml:space="preserve">Fourniture 2 : </t>
  </si>
  <si>
    <t xml:space="preserve">Fourniture 3 : </t>
  </si>
  <si>
    <t xml:space="preserve">Matériel loc. : </t>
  </si>
  <si>
    <t xml:space="preserve">Matériel Amort. : </t>
  </si>
  <si>
    <t xml:space="preserve">Sous traitant 1 : </t>
  </si>
  <si>
    <t xml:space="preserve">Sous traitant 2 : </t>
  </si>
  <si>
    <t xml:space="preserve">Marge : </t>
  </si>
  <si>
    <t xml:space="preserve">Heures : </t>
  </si>
  <si>
    <t xml:space="preserve">Fournitures 1 : </t>
  </si>
  <si>
    <t xml:space="preserve">Fournitures 3 : </t>
  </si>
  <si>
    <t xml:space="preserve">Fournitures 2 : </t>
  </si>
  <si>
    <t>Montant €</t>
  </si>
  <si>
    <t>Nbre d'heure</t>
  </si>
  <si>
    <t xml:space="preserve">                                                           TVA : 20,0% .........................................................</t>
  </si>
  <si>
    <t xml:space="preserve">                                                           TOTAL en Euro HT …………….................................</t>
  </si>
  <si>
    <t xml:space="preserve">                                                           TOTAL en Euro TTC .............................................</t>
  </si>
  <si>
    <t>Quant. Global réelles</t>
  </si>
  <si>
    <t>Zone 8 :       ??</t>
  </si>
  <si>
    <t xml:space="preserve">Indice : </t>
  </si>
  <si>
    <t xml:space="preserve">Date : </t>
  </si>
  <si>
    <t>Taux de TVA :</t>
  </si>
  <si>
    <t>Date valeur :</t>
  </si>
  <si>
    <t>Quant. Global vendues</t>
  </si>
  <si>
    <t>Zone 9 :       ??</t>
  </si>
  <si>
    <t>Précisions, travaux et / ou prestations non comprises</t>
  </si>
  <si>
    <t xml:space="preserve">Lot </t>
  </si>
  <si>
    <t>Libéllé</t>
  </si>
  <si>
    <t>Septembre 2016</t>
  </si>
  <si>
    <t xml:space="preserve">Arrondi PU : </t>
  </si>
  <si>
    <t xml:space="preserve">Arrondi QT : </t>
  </si>
  <si>
    <t>Zone ?</t>
  </si>
  <si>
    <t>DEVIS QUANTITATIF ESTIMATIF</t>
  </si>
  <si>
    <t xml:space="preserve">                                           TOTAL en Euro TTC ......................................................................................................</t>
  </si>
  <si>
    <t xml:space="preserve">  RÉCAPITULATION</t>
  </si>
  <si>
    <t>Actualisable :</t>
  </si>
  <si>
    <t>Révisable :</t>
  </si>
  <si>
    <t xml:space="preserve">Chantier : </t>
  </si>
  <si>
    <t xml:space="preserve">En date du  : </t>
  </si>
  <si>
    <t>SUR LA MAIN D'ŒUVRE</t>
  </si>
  <si>
    <t xml:space="preserve">Main d'œuvre interne : </t>
  </si>
  <si>
    <t xml:space="preserve">COEFFICIENTS DE BASE : </t>
  </si>
  <si>
    <t>BIBLIOTHEQUE DE PRIX</t>
  </si>
  <si>
    <t>SUR LES FOURNITURES</t>
  </si>
  <si>
    <t>SUR LE MATERIEL</t>
  </si>
  <si>
    <t xml:space="preserve">Location : </t>
  </si>
  <si>
    <t xml:space="preserve">Ammortissement : </t>
  </si>
  <si>
    <t>Fournitures principales</t>
  </si>
  <si>
    <t>Marge perte sur fourniture</t>
  </si>
  <si>
    <t>Accessoires et protections</t>
  </si>
  <si>
    <t>Matériel en location</t>
  </si>
  <si>
    <t>Matériel en amortissement</t>
  </si>
  <si>
    <t>SUR LES SOUS TRAITANTS</t>
  </si>
  <si>
    <t>MARGE OBTENUE</t>
  </si>
  <si>
    <t>Estimation / test</t>
  </si>
  <si>
    <t xml:space="preserve">Sous traitants 1 (pure) : </t>
  </si>
  <si>
    <t>Sous traitant 1 (pure)</t>
  </si>
  <si>
    <t>Sous traitant 2 (autres)</t>
  </si>
  <si>
    <t xml:space="preserve">Sous traitants 2 (autres) : </t>
  </si>
  <si>
    <t xml:space="preserve">Taux horaire lot install.: </t>
  </si>
  <si>
    <t>Remblais en terre du site</t>
  </si>
  <si>
    <t>Décapage</t>
  </si>
  <si>
    <t>Sans objet</t>
  </si>
  <si>
    <t>ens</t>
  </si>
  <si>
    <t>OPTION</t>
  </si>
  <si>
    <t>ml</t>
  </si>
  <si>
    <t>m²</t>
  </si>
  <si>
    <t xml:space="preserve">Annexes, consommables, petit matériel... : </t>
  </si>
  <si>
    <t>Marges pour variation du prix et perte... :</t>
  </si>
  <si>
    <t xml:space="preserve">Fournitures principales complètes : </t>
  </si>
  <si>
    <t>Annexes, consommables, petit matériel…</t>
  </si>
  <si>
    <t>0080</t>
  </si>
  <si>
    <t>Rue de l'Hautil</t>
  </si>
  <si>
    <t xml:space="preserve">  - Décapage de terre végétale sur 25cm et mise en dépôt sur site </t>
  </si>
  <si>
    <t xml:space="preserve">  - Débrousaillage et nettoyage cis évacuation en ISDI classe 3</t>
  </si>
  <si>
    <t xml:space="preserve">  - Décapage de terre végétale sur 25cm cis évacuation en ISDI classe 3</t>
  </si>
  <si>
    <t>oui</t>
  </si>
  <si>
    <t>RDC</t>
  </si>
  <si>
    <t>RdJ B</t>
  </si>
  <si>
    <t>RdJ H</t>
  </si>
  <si>
    <t>R+1</t>
  </si>
  <si>
    <t>R+2</t>
  </si>
  <si>
    <t>Terrasses</t>
  </si>
  <si>
    <t>Ext</t>
  </si>
  <si>
    <t>Autres</t>
  </si>
  <si>
    <t xml:space="preserve">Coef QT 3 : </t>
  </si>
  <si>
    <t xml:space="preserve">Coef QT 2 : </t>
  </si>
  <si>
    <t xml:space="preserve">Coef QT 1 : </t>
  </si>
  <si>
    <t>LOCALISATION</t>
  </si>
  <si>
    <t>Quant. Total</t>
  </si>
  <si>
    <t>Tableau des quantités vendues</t>
  </si>
  <si>
    <t>Tableau de saisie des quantités réelles</t>
  </si>
  <si>
    <t>Lots :</t>
  </si>
  <si>
    <t>Tous corps d'états (hors lot ascenseurs)</t>
  </si>
  <si>
    <t>LOT 01</t>
  </si>
  <si>
    <t xml:space="preserve">TERRASSEMENT - VRD - CLOTURES </t>
  </si>
  <si>
    <t>TERRASSEMENT</t>
  </si>
  <si>
    <t xml:space="preserve">2A.1 </t>
  </si>
  <si>
    <t>PIQUETAGE</t>
  </si>
  <si>
    <t xml:space="preserve">2A.2 </t>
  </si>
  <si>
    <t xml:space="preserve">2A.2.1 </t>
  </si>
  <si>
    <t xml:space="preserve">2A.2.2A </t>
  </si>
  <si>
    <t>SO</t>
  </si>
  <si>
    <t xml:space="preserve">2A.2.2B </t>
  </si>
  <si>
    <t xml:space="preserve">2A.2.3 </t>
  </si>
  <si>
    <t xml:space="preserve">2A.2.4 </t>
  </si>
  <si>
    <t xml:space="preserve">2A.2.4.1 </t>
  </si>
  <si>
    <t xml:space="preserve">2A.2.4.2 </t>
  </si>
  <si>
    <t xml:space="preserve">2A.3 </t>
  </si>
  <si>
    <t>DÉCAPAGE ET STOCKAGE DE TERRE VÉGÉTALE</t>
  </si>
  <si>
    <t xml:space="preserve">2A.3.1 </t>
  </si>
  <si>
    <t xml:space="preserve">2A.3.2 </t>
  </si>
  <si>
    <t xml:space="preserve">2A.4 </t>
  </si>
  <si>
    <t>DÉCAPAGE VOIRIE EXISTANTE</t>
  </si>
  <si>
    <t xml:space="preserve">2A.5 </t>
  </si>
  <si>
    <t>PLATEFORME DES VOIRIES</t>
  </si>
  <si>
    <t xml:space="preserve">2A.5.1 </t>
  </si>
  <si>
    <t xml:space="preserve">2A.5.2 </t>
  </si>
  <si>
    <t xml:space="preserve">2A.5.3 </t>
  </si>
  <si>
    <t xml:space="preserve">2A.5.4 </t>
  </si>
  <si>
    <t xml:space="preserve">2A.5.5 </t>
  </si>
  <si>
    <t xml:space="preserve">2A.6 </t>
  </si>
  <si>
    <t>PLATEFORMES DES BATIMENTS</t>
  </si>
  <si>
    <t xml:space="preserve">2A.6.1 </t>
  </si>
  <si>
    <t xml:space="preserve">2A.6.2 </t>
  </si>
  <si>
    <t xml:space="preserve">2A.6.3 </t>
  </si>
  <si>
    <t xml:space="preserve">2A.6.4 </t>
  </si>
  <si>
    <t xml:space="preserve">2A.6.5 </t>
  </si>
  <si>
    <t xml:space="preserve">2A.6.6 </t>
  </si>
  <si>
    <t xml:space="preserve">2A.7 </t>
  </si>
  <si>
    <t>DALLAGE OUVRAGES DIVERS</t>
  </si>
  <si>
    <t xml:space="preserve">2A.7.1 </t>
  </si>
  <si>
    <t xml:space="preserve">2A.8 </t>
  </si>
  <si>
    <t xml:space="preserve">2A.9 </t>
  </si>
  <si>
    <t xml:space="preserve">  - Vidange curage et démolition du bassin d’eau</t>
  </si>
  <si>
    <t xml:space="preserve">  - Niveau de livraison du fond de forme par rapport aux nus finis</t>
  </si>
  <si>
    <t xml:space="preserve">  - Essais à la plaque </t>
  </si>
  <si>
    <t xml:space="preserve">  - Niveau de livraison par rapport aux nus finis</t>
  </si>
  <si>
    <t>BASSIN, NOUE, PUITS D'INFILTRATION DES EAUX DE PLUIE</t>
  </si>
  <si>
    <t>NETTOYAGE DU TERRAIN</t>
  </si>
  <si>
    <t>B</t>
  </si>
  <si>
    <t>VRD</t>
  </si>
  <si>
    <t xml:space="preserve">2B.1 </t>
  </si>
  <si>
    <t>DIMENSIONNEMENT DES RÉSEAUX</t>
  </si>
  <si>
    <t xml:space="preserve">2B.2 </t>
  </si>
  <si>
    <t>RESEAUX TELEPHONE</t>
  </si>
  <si>
    <t xml:space="preserve">2B.2.1 </t>
  </si>
  <si>
    <t xml:space="preserve">2B.2.2 </t>
  </si>
  <si>
    <t xml:space="preserve">2B.3 </t>
  </si>
  <si>
    <t xml:space="preserve">2B.4 </t>
  </si>
  <si>
    <t>RESEAUX EAUX PLUVIALES</t>
  </si>
  <si>
    <t xml:space="preserve">2B.4.1 </t>
  </si>
  <si>
    <t xml:space="preserve">2B.4.2 </t>
  </si>
  <si>
    <t xml:space="preserve">2B.4.3 </t>
  </si>
  <si>
    <t xml:space="preserve">2B.4.4 </t>
  </si>
  <si>
    <t xml:space="preserve">2B.4.5 </t>
  </si>
  <si>
    <t xml:space="preserve">2B.4.6 </t>
  </si>
  <si>
    <t xml:space="preserve">2B.4.7 </t>
  </si>
  <si>
    <t xml:space="preserve">2B.4.8 </t>
  </si>
  <si>
    <t xml:space="preserve">2B.5 </t>
  </si>
  <si>
    <t>RESEAUX EAUX USEES</t>
  </si>
  <si>
    <t xml:space="preserve">2B.5.1 </t>
  </si>
  <si>
    <t xml:space="preserve">2B.5.2 </t>
  </si>
  <si>
    <t xml:space="preserve">2B.5.3 </t>
  </si>
  <si>
    <t xml:space="preserve">2B.5.4 </t>
  </si>
  <si>
    <t xml:space="preserve">2B.6 </t>
  </si>
  <si>
    <t xml:space="preserve">EMPIERREMENTS </t>
  </si>
  <si>
    <t xml:space="preserve">2B.6.1 </t>
  </si>
  <si>
    <t xml:space="preserve">2B.6.2 </t>
  </si>
  <si>
    <t xml:space="preserve">2B.6.3 </t>
  </si>
  <si>
    <t xml:space="preserve">2B.7 </t>
  </si>
  <si>
    <t xml:space="preserve">VOIRIES </t>
  </si>
  <si>
    <t xml:space="preserve">C </t>
  </si>
  <si>
    <t>D</t>
  </si>
  <si>
    <t>E</t>
  </si>
  <si>
    <t>F</t>
  </si>
  <si>
    <t>G</t>
  </si>
  <si>
    <t xml:space="preserve">2B.7.1 </t>
  </si>
  <si>
    <t xml:space="preserve">2B.7.3 </t>
  </si>
  <si>
    <t>Compactages</t>
  </si>
  <si>
    <t xml:space="preserve">2B.7.4 </t>
  </si>
  <si>
    <t>Enrobage des canalisations sous chaussées</t>
  </si>
  <si>
    <t xml:space="preserve">2B.8 </t>
  </si>
  <si>
    <t>REPRISE D’ENROBE</t>
  </si>
  <si>
    <t xml:space="preserve">2B.9 </t>
  </si>
  <si>
    <t xml:space="preserve">2B.10 </t>
  </si>
  <si>
    <t>BORDURES</t>
  </si>
  <si>
    <t xml:space="preserve">2B.11 </t>
  </si>
  <si>
    <t xml:space="preserve">BANDE DE GUIDAGE AU SOL </t>
  </si>
  <si>
    <t xml:space="preserve">2B.12 </t>
  </si>
  <si>
    <t>ENTREES CHARRETIERES</t>
  </si>
  <si>
    <t xml:space="preserve">2B.13 </t>
  </si>
  <si>
    <t>SIGNALISATION</t>
  </si>
  <si>
    <t xml:space="preserve">2B.14 </t>
  </si>
  <si>
    <t xml:space="preserve">2B.15 </t>
  </si>
  <si>
    <t>MARQUAGE AU SOL</t>
  </si>
  <si>
    <t>C</t>
  </si>
  <si>
    <t xml:space="preserve">  - Raccordements des réseaux et des drains </t>
  </si>
  <si>
    <t xml:space="preserve">  - Essais</t>
  </si>
  <si>
    <t xml:space="preserve">  - Séparateur récupérateur à hydrocarbure </t>
  </si>
  <si>
    <t xml:space="preserve">  - Finition stéril</t>
  </si>
  <si>
    <t xml:space="preserve">  - Finition enrobé dépigmenté (beige)</t>
  </si>
  <si>
    <t xml:space="preserve">  - Sol stabilisé</t>
  </si>
  <si>
    <t xml:space="preserve">  - voierie légère</t>
  </si>
  <si>
    <t xml:space="preserve">  - voierie lourde</t>
  </si>
  <si>
    <t>CLOTURES</t>
  </si>
  <si>
    <t xml:space="preserve">2C.1 </t>
  </si>
  <si>
    <t>CLOTURES GRILLAGEES</t>
  </si>
  <si>
    <t xml:space="preserve">2C.1.1 </t>
  </si>
  <si>
    <t xml:space="preserve">2C.1.2 </t>
  </si>
  <si>
    <t xml:space="preserve">2C.1.3 </t>
  </si>
  <si>
    <t xml:space="preserve">2C.1.4 </t>
  </si>
  <si>
    <t xml:space="preserve">2C.1.5 </t>
  </si>
  <si>
    <t xml:space="preserve">2C.2  </t>
  </si>
  <si>
    <t xml:space="preserve">2C2.1 </t>
  </si>
  <si>
    <t xml:space="preserve">2C2.2 </t>
  </si>
  <si>
    <t xml:space="preserve">2C.3 </t>
  </si>
  <si>
    <t>ENCLOS</t>
  </si>
  <si>
    <t xml:space="preserve">2C3.1 </t>
  </si>
  <si>
    <t xml:space="preserve">2.C.4 </t>
  </si>
  <si>
    <t xml:space="preserve">  - Bande blanche</t>
  </si>
  <si>
    <t xml:space="preserve">  - Numérotation des places – Indications particulières</t>
  </si>
  <si>
    <t xml:space="preserve">  - Marquage de sécurité</t>
  </si>
  <si>
    <t xml:space="preserve">  - Révision clôture grillagée (chemin de la grande rue)</t>
  </si>
  <si>
    <t xml:space="preserve">  - Portillon accès enclos poubelles L 100XH200</t>
  </si>
  <si>
    <t>DIVERS</t>
  </si>
  <si>
    <t>NETTOYAGE</t>
  </si>
  <si>
    <t>Ecart / marge sur quantités</t>
  </si>
  <si>
    <t xml:space="preserve">Taux horaire lot : </t>
  </si>
  <si>
    <t>LOT 02</t>
  </si>
  <si>
    <t xml:space="preserve">GROS ŒUVRE - DÉMOLITIONS </t>
  </si>
  <si>
    <t>LOT 03</t>
  </si>
  <si>
    <t>ÉTANCHÉITÉ</t>
  </si>
  <si>
    <t>LOT 04</t>
  </si>
  <si>
    <t>MENUISERIES EXTÉRIEURES</t>
  </si>
  <si>
    <t>LOT 05</t>
  </si>
  <si>
    <t>LOT 06</t>
  </si>
  <si>
    <t>MENUISERIES INTÉRIEURES BOIS - AGENCEMENT</t>
  </si>
  <si>
    <t>CLOISONS - SÈCHES DOUBLAGES - PLÂTRERIE</t>
  </si>
  <si>
    <t>MÉTALERIE - SÉRURRERIE</t>
  </si>
  <si>
    <t>LOT 07</t>
  </si>
  <si>
    <t xml:space="preserve">PEINTURE - REVÊTEMENTS MURAUX </t>
  </si>
  <si>
    <t>LOT 08</t>
  </si>
  <si>
    <t>REVÊTEMENTS DE SOLS SOUPLES</t>
  </si>
  <si>
    <t>LOT 09</t>
  </si>
  <si>
    <t xml:space="preserve">CARRELAGE - FAÏENCE </t>
  </si>
  <si>
    <t>LOT 10</t>
  </si>
  <si>
    <t>FAUX PLAFONDS</t>
  </si>
  <si>
    <t>LOT 11</t>
  </si>
  <si>
    <t>LOT 12</t>
  </si>
  <si>
    <t>ASCENSEURS</t>
  </si>
  <si>
    <t>LOT 15</t>
  </si>
  <si>
    <t>LOT 16</t>
  </si>
  <si>
    <t>ESPACES VERTS</t>
  </si>
  <si>
    <t>LOT 13A</t>
  </si>
  <si>
    <t>LOT 14A</t>
  </si>
  <si>
    <t>LOT 14B</t>
  </si>
  <si>
    <t xml:space="preserve">ÉLECTRICITÉ : </t>
  </si>
  <si>
    <t>TRAVAUX PREPARATOIRES</t>
  </si>
  <si>
    <t xml:space="preserve">  - Démarches administratives / DICT</t>
  </si>
  <si>
    <t xml:space="preserve">  - Frais BET</t>
  </si>
  <si>
    <t xml:space="preserve">  - DOE</t>
  </si>
  <si>
    <t xml:space="preserve">  - Frais de géomètre</t>
  </si>
  <si>
    <t>à définir</t>
  </si>
  <si>
    <t>compris</t>
  </si>
  <si>
    <r>
      <t xml:space="preserve">  - Puits d’infiltration </t>
    </r>
    <r>
      <rPr>
        <sz val="10"/>
        <color rgb="FFFF0000"/>
        <rFont val="Calibri"/>
        <family val="2"/>
        <scheme val="minor"/>
      </rPr>
      <t>(volume non précisé)</t>
    </r>
  </si>
  <si>
    <t>Option</t>
  </si>
  <si>
    <r>
      <t xml:space="preserve">  - Bassin de rétention et d'infiltration </t>
    </r>
    <r>
      <rPr>
        <sz val="10"/>
        <color rgb="FFFF0000"/>
        <rFont val="Calibri"/>
        <family val="2"/>
        <scheme val="minor"/>
      </rPr>
      <t>(volume non précisé)</t>
    </r>
  </si>
  <si>
    <r>
      <t>Bassin ou noue d’infiltration</t>
    </r>
    <r>
      <rPr>
        <sz val="10"/>
        <color rgb="FFFF0000"/>
        <rFont val="Calibri"/>
        <family val="2"/>
        <scheme val="minor"/>
      </rPr>
      <t xml:space="preserve"> (volume estimé selon plan)</t>
    </r>
  </si>
  <si>
    <t xml:space="preserve">  - Terrassement compris façon de talutage selon plan</t>
  </si>
  <si>
    <t xml:space="preserve">  - Evacuation des terres en classe 3 ISDI (hors pollution)</t>
  </si>
  <si>
    <t xml:space="preserve">  - Fourniture et mise en place de galets Ø 100, sur une épaisseur de 50cm</t>
  </si>
  <si>
    <t xml:space="preserve">  - Fourniture et mise en place d’un
géotextile non tissé en matériau imputrescible</t>
  </si>
  <si>
    <t>T</t>
  </si>
  <si>
    <t xml:space="preserve">  - Tranchées, canalisations de raccordement, percement, scellement des canalisations. Remblais, déblais et toutes
suggestion comprises.</t>
  </si>
  <si>
    <t xml:space="preserve">  - Stockage des terres végétales pour réemploi</t>
  </si>
  <si>
    <t xml:space="preserve">  - Contrôle du compactage (essais à la plaque)</t>
  </si>
  <si>
    <t>Pm</t>
  </si>
  <si>
    <t xml:space="preserve">  - Sujétions particulières : Epuisement des eaux</t>
  </si>
  <si>
    <t xml:space="preserve">  - Terrassement en pleine masse y compris évacuation des terres en classe 3 ISDI (hors pollution)</t>
  </si>
  <si>
    <t xml:space="preserve">  - Curage et affouillement</t>
  </si>
  <si>
    <t xml:space="preserve">  - Comblement en grave d'apport compactée</t>
  </si>
  <si>
    <t>Comblement du bassin</t>
  </si>
  <si>
    <r>
      <t xml:space="preserve">  - Drain en épis </t>
    </r>
    <r>
      <rPr>
        <sz val="10"/>
        <color rgb="FFFF0000"/>
        <rFont val="Calibri"/>
        <family val="2"/>
        <scheme val="minor"/>
      </rPr>
      <t>(non préconisé dans le rapport de sol)</t>
    </r>
    <r>
      <rPr>
        <sz val="10"/>
        <color indexed="8"/>
        <rFont val="Calibri"/>
        <family val="2"/>
        <scheme val="minor"/>
      </rPr>
      <t xml:space="preserve"> </t>
    </r>
  </si>
  <si>
    <t>Non prévu</t>
  </si>
  <si>
    <t>Nota</t>
  </si>
  <si>
    <t>Epaisseur demandée au CCTP (58cm) non prise en compte</t>
  </si>
  <si>
    <t>Couche de forme ép 40cm (sous emprise batiments et terrasses)</t>
  </si>
  <si>
    <t>Liste sans vides</t>
  </si>
  <si>
    <t>Listes pour chiffrage</t>
  </si>
  <si>
    <t>Corps d'état</t>
  </si>
  <si>
    <t>Ouvrages</t>
  </si>
  <si>
    <t>Gamme d'ouvrage</t>
  </si>
  <si>
    <t xml:space="preserve">  - Couche de forme compactée en grave GNT 0/31,5 ép 40cm</t>
  </si>
  <si>
    <t>2A.10</t>
  </si>
  <si>
    <t>Evacuation des déblais en classe 3 ISDI (hors pollution)</t>
  </si>
  <si>
    <t>Plateformes des espaces verts (Fouille pour déblais / remblais)</t>
  </si>
  <si>
    <t xml:space="preserve">  - Fourreaux FT</t>
  </si>
  <si>
    <t>RESEAU ELECTRIQUE</t>
  </si>
  <si>
    <t xml:space="preserve">  - Regard de tirage  (chambre L2T)</t>
  </si>
  <si>
    <t xml:space="preserve">2B.3.1 </t>
  </si>
  <si>
    <t xml:space="preserve">  - Tranchée pour réseau électrique</t>
  </si>
  <si>
    <t xml:space="preserve">  - Fourreaux  Ø 63, Ø 70, Ø 90, Ø 110, Ø 160.</t>
  </si>
  <si>
    <t xml:space="preserve">  - Fourreaux (3 unités selon plan) Ø 63</t>
  </si>
  <si>
    <t xml:space="preserve">  - Regards à tampon (regards de branchement)</t>
  </si>
  <si>
    <t xml:space="preserve">  - Réseaux d'évacuation en PVC CR8 Ø 160 cis toutes sujétions</t>
  </si>
  <si>
    <t xml:space="preserve">  - Dessouchage d’arbres </t>
  </si>
  <si>
    <t xml:space="preserve">  - Abattage d’arbre avec dessouchage, arbustes, haies</t>
  </si>
  <si>
    <t xml:space="preserve">  - Protection d’arbre </t>
  </si>
  <si>
    <t xml:space="preserve">  - Empierrement (pour piste de chantier et zones d'accès...)</t>
  </si>
  <si>
    <t xml:space="preserve">  - Entretien des empierrements et évacuation en fin de chantier</t>
  </si>
  <si>
    <t>Implatation des voiries, circulations piétonnes</t>
  </si>
  <si>
    <t>Reprofilage, réglage et cylindrage de fond de forme</t>
  </si>
  <si>
    <t xml:space="preserve">  - Voirie finition pavés autobloquant</t>
  </si>
  <si>
    <t xml:space="preserve">Revêtement de sol en dalles </t>
  </si>
  <si>
    <t>Dalles sur lit sable 40x40 existantes dans jardin arrière : terrasse partiellement et cheminements non conservés.</t>
  </si>
  <si>
    <t xml:space="preserve">  - Dépose et évacuation des dalles dans les zones non conservées (chemins + terrasse partiellement) remaniment des dalles existantes au droit des nouvelles limites selon plan.</t>
  </si>
  <si>
    <t>Finition par revêtement drainant de type W. DRAIN ou DRAINOSOL ou équivalent</t>
  </si>
  <si>
    <t xml:space="preserve">  - Dépose, évacuation de la dalle béton existante, reprise du fond de forme et remplacement par des dalles béton 40x40 en gravillons lavés - Localisation : sous encorbellement facade sud (accès cuisine / chaufferie et chambre) y compris création des deux rampes en raccordement de niveaux de la voirie.</t>
  </si>
  <si>
    <t xml:space="preserve">  -  Protection et conservation du auvent, dépose soignée et évacuation des dalles béton existantes, reprise du fond de forme et remplacement par des dalles béton 40x40 en gravillons lavés - Localisation : au droit la rampe accès d'entrée de l'établissement</t>
  </si>
  <si>
    <t xml:space="preserve">  - Nivellement et réalisation du fond de forme, fourniture et pose de dalles béton 40x40 en gravillons lavés - Localisation :  A l'angle Sud Est du BAT C : Patio sud, terrasse et le long du bâtiment dans le jardin déambulatoire.</t>
  </si>
  <si>
    <t xml:space="preserve">  - Béton désactivé avec bandes de pavés décoratives</t>
  </si>
  <si>
    <t>Voirie finition enrobés (noir)</t>
  </si>
  <si>
    <t>Bordures béton P1</t>
  </si>
  <si>
    <t xml:space="preserve">  - En limite séparative enrobé léger et enrobé lourd.</t>
  </si>
  <si>
    <t xml:space="preserve">  - En limite séparative evergreen et espaces vert.</t>
  </si>
  <si>
    <t xml:space="preserve">  - En limite séparative enrobé et espaces vert</t>
  </si>
  <si>
    <t xml:space="preserve">  - En limite séparative enrobé lourd / evergreen</t>
  </si>
  <si>
    <t>REPRISE DES TROTTOIRS</t>
  </si>
  <si>
    <t xml:space="preserve">  - Places handicapés (panneau + logo PMR + bandes bleu)</t>
  </si>
  <si>
    <t>Hors traitement de terre polluée et / ou sulfatée</t>
  </si>
  <si>
    <t>Hors découverte d'ouvrage entérrés et utilisation du BRH</t>
  </si>
  <si>
    <t>Hors mission géotechnique complémentaire</t>
  </si>
  <si>
    <t xml:space="preserve">  - Treillis soudés plastifiés Ht 2.00m coloris vert </t>
  </si>
  <si>
    <t xml:space="preserve">  - Treillis soudés plastifiés Ht 2.00m coloris vert sur mur bahut (y compris création du muret bahut hauteur 50cm avec chaperon béton et enduit minéral au deux faces sur la longeur du jardin déambulatoire uniquement (au droit de la limite de propriété sur rue)</t>
  </si>
  <si>
    <t xml:space="preserve">  - Portails 2 vantaux L180XH200 coloris vert motorisable, cadres en tube carré 40x40mm, remplissage en treillis soudés, mailles rectangulaire 200x50, fils galvanisés et plastifiés, Poteaux de part et d'autre en tube carré 80 x 80mm à sceller de ø 75mm. Compris tous accessoires hors appareillage et raccordements au lot électricité.</t>
  </si>
  <si>
    <t>u</t>
  </si>
  <si>
    <t>Clôture avec un grillage soudé , plastifié vert losange compris portillon d'accès</t>
  </si>
  <si>
    <t xml:space="preserve">  - Clôture avec un grillage soudé, plastifié vert losange 50X50</t>
  </si>
  <si>
    <t xml:space="preserve">  - Clôture Ganivelle (sur terrasse R+1 du PASA) en bois de châtaignier hauteur 1,80m</t>
  </si>
  <si>
    <t xml:space="preserve">  - Portillon (sur terrasse R+1 du PASA) Largeur 0,90m type Bekaert Bekafort Colfort ou équivalent, cadres en tubes carrés 40mm, lattes d'occultation dito clôture bois de châtaignier espacés de 4cm, serrure à cylindre, ferme porte de rappel intégré, hauteur 1,80m, compris tous accessoires, carré extérieur de décondamnation, poteaux de part et d'autre habillés de piquets de châtaignier,  fixation à l'ossature métallique, fixation latérale, verrouillage par digicode au lot électricité, support du digicode à la charge du présent lot.</t>
  </si>
  <si>
    <t xml:space="preserve">  - Clôture Ganivelle (A RDC au droit de l'enrochement) en bois de châtaignier hauteur 1,20m</t>
  </si>
  <si>
    <t xml:space="preserve">  - Portillon remplis en grillage soudé vert dito clôture ci avant avec serrure à clé et système de ferme porte largeur 0,90m.</t>
  </si>
  <si>
    <t xml:space="preserve">  - Bordures bois butte-roues de 2m en diam 120mm</t>
  </si>
  <si>
    <t xml:space="preserve">  - Enclos poubelles : Structure en tubes d'acier galvanisé à chaud section 80 x 80, fixation sur dalle béton balayé, par platines à fourreaux en acier galvanisé à chaud, structures secondaires assurant une parfaite stabilité, parement en tasseaux de bois à clairevoie section 30 x 30 traités autoclave classe IV, hauteur de l'Enclos : 2,00m avec 2 portes 1 vantail, ossature acier galvanisé à chaud 4 paumelles par vantail.</t>
  </si>
  <si>
    <t>PORTAIL BARREAUDÉ 2 VANTAUX  L400XH200</t>
  </si>
  <si>
    <t>Cloture jardin pasa en terrasse R+1, à RdC au droit du jardin thérapeutique et au droit de l'enrochement selon plan</t>
  </si>
  <si>
    <t xml:space="preserve">  - Clôture Ganivelle (A RDC au droit du jardin thérapeutique) en bois de châtaignier hauteur 1,20m</t>
  </si>
  <si>
    <t xml:space="preserve">  - Portail voie pompiers (entrée angle Sud‐Est de la propriété), type portail métallique 2 vanteaux coloris vert compris motorisation, armoire électrique et accessoires selon CCTP sauf dispositifs de commande, appareillage et raccordements au lot électricité. </t>
  </si>
  <si>
    <t>ARTICLE SUPPLÉMENTAIRE</t>
  </si>
  <si>
    <t xml:space="preserve">  - Clôture 2,80m et portillon gamme OBAMBOO 180xH1,20 (jardin thérapeutique)</t>
  </si>
  <si>
    <t>2D.1 ‐ COORDINATION SPS</t>
  </si>
  <si>
    <t>2D.1</t>
  </si>
  <si>
    <t>2D.2</t>
  </si>
  <si>
    <t xml:space="preserve">  - L'évacuation des végétaux issus des nettoyages</t>
  </si>
  <si>
    <t xml:space="preserve">  - L'évacuation des matériaux impropres au réemploi issus des terrassements,</t>
  </si>
  <si>
    <t xml:space="preserve">  - Nettoyage des trottoirs et chaussées aux abords du chantier</t>
  </si>
  <si>
    <t xml:space="preserve">  - L'évacuation des gravois issus des démolitions</t>
  </si>
  <si>
    <t xml:space="preserve">  - Amenée et repli du matériel / Installation (par phases)</t>
  </si>
  <si>
    <t>Compris</t>
  </si>
  <si>
    <t xml:space="preserve">                                                           TOTAL en Euro TTC .........................................................</t>
  </si>
  <si>
    <t>Béton de propreté</t>
  </si>
  <si>
    <t xml:space="preserve">  - Terrassement en déblai et /ou remblai compris évacuation en classe 3 ISDI (hors pollution)</t>
  </si>
  <si>
    <t xml:space="preserve">  - Décapage des terres végétales et voirie en gravier compris évacuation en classe 3 ISDI (hors pollution)</t>
  </si>
  <si>
    <t xml:space="preserve">  - Terrassement en pleine masse et mise en dépôt pour réemploi en remblais par le lot GO</t>
  </si>
  <si>
    <t xml:space="preserve">  - Dallage en béton balayé enclos poubelles y compris siphon et canalisation vers réseau EP</t>
  </si>
  <si>
    <t>Sous réserve de la vérification de la perméabilité du sol et sur le retour de l'étude hydraulique du site.</t>
  </si>
  <si>
    <t>Remblais contre les ouvrages (en terre du site) contre patio RDJ BAS sur ouvrage du GO et reprofilage du talus dans la zone enrochement.</t>
  </si>
  <si>
    <t xml:space="preserve">  - Regard de tirage  (chambre L1T)</t>
  </si>
  <si>
    <t>Hors puits d'infiltration non inclus (dimensionnement, localisation ?)</t>
  </si>
  <si>
    <t xml:space="preserve">  - Raccordements du réseau EU sur domaine public</t>
  </si>
  <si>
    <t>Avaloirs à grille</t>
  </si>
  <si>
    <t xml:space="preserve">  - Avaloirs EP voirie</t>
  </si>
  <si>
    <t xml:space="preserve">  - Avaloirs EP Chemins piétons</t>
  </si>
  <si>
    <t>Regards de visite</t>
  </si>
  <si>
    <t xml:space="preserve">  - Regards de visite EP voirie tampon fonte</t>
  </si>
  <si>
    <t xml:space="preserve">  - Regards EP en pied de chute extension tampon béton</t>
  </si>
  <si>
    <t xml:space="preserve">  - Regards de visite EP extension tampon fonte</t>
  </si>
  <si>
    <t xml:space="preserve">  - Regards EP de branchement extension tampon béton</t>
  </si>
  <si>
    <t xml:space="preserve">  - Regards de branchement EP (reprise existant) tampon béton</t>
  </si>
  <si>
    <t>Caniveaux</t>
  </si>
  <si>
    <t>Grilles caniveaux</t>
  </si>
  <si>
    <t>Réseaux d'évacuation en PVC</t>
  </si>
  <si>
    <t xml:space="preserve">  - EP extension en PVC CR8 Ø 160 a 200 cis toutes sujétions</t>
  </si>
  <si>
    <t xml:space="preserve">  - EP voirie en PVC CR8 Ø 250 à 315 cis toutes sujétions</t>
  </si>
  <si>
    <t xml:space="preserve">  - Regards de visite EU extension tampon fonte</t>
  </si>
  <si>
    <t xml:space="preserve">  - Enrochement </t>
  </si>
  <si>
    <t>Notre chiffrage ne prend pas en compte la reprise des réseaux EP et EU du batiment existant en l'absence de plan ou de reconaissance poussée</t>
  </si>
  <si>
    <t>Quantités et types de revêtement établies suivant plan de sol</t>
  </si>
  <si>
    <t>Tout ouvrage non chiffré et/ou non décrit dans le CCTP ou sur les plans est réputé non inclus dans ce DQE</t>
  </si>
  <si>
    <t xml:space="preserve">  - Regards de visite EP (J. Thérapeutique) tampon fonte</t>
  </si>
  <si>
    <t xml:space="preserve">  - EP Divers en PVC CR8 Ø 250 à 315 cis toutes sujétions</t>
  </si>
  <si>
    <t>Cis § 2B.15</t>
  </si>
  <si>
    <t>STATIONNEMENT VEGETALISE (type EVERGREEN)</t>
  </si>
  <si>
    <t>Résidence de Comiksou</t>
  </si>
  <si>
    <t>Création d'un laboratoire pour fichier EXCEL !</t>
  </si>
  <si>
    <t>COMIKSOU</t>
  </si>
  <si>
    <t>1 allée de l'Apprenti</t>
  </si>
  <si>
    <t>MFERRAN</t>
  </si>
  <si>
    <t>46 quai de la Mer</t>
  </si>
  <si>
    <t>LA REUNION</t>
  </si>
  <si>
    <t>00.XX.XX.XX.XX</t>
  </si>
  <si>
    <t>CE_2_GROS_ŒUVRE</t>
  </si>
  <si>
    <t>CE_0_INSTALLATION_DE_CHANTIER</t>
  </si>
  <si>
    <t>CE_1_TERRASSEMENTS_VCT</t>
  </si>
  <si>
    <t>CE_16_VRD</t>
  </si>
  <si>
    <t>Terrassements_complémentaires</t>
  </si>
  <si>
    <t>Fouille en tranchée pour canalisation</t>
  </si>
  <si>
    <t xml:space="preserve">  - Fouille en pleine masse compris évacuation</t>
  </si>
  <si>
    <t xml:space="preserve">  - Fouille en pleine masse compris mise en dépôt</t>
  </si>
  <si>
    <t xml:space="preserve">  - PV pour utilisation du BRH</t>
  </si>
  <si>
    <t>Hr</t>
  </si>
  <si>
    <t>Remblais en terre d'apport</t>
  </si>
  <si>
    <t>Canalisations PVC EU</t>
  </si>
  <si>
    <t>Canalisations PVC EP</t>
  </si>
  <si>
    <t>Fouille_pleine_masse</t>
  </si>
  <si>
    <t>Canalisations_enterrées</t>
  </si>
  <si>
    <t>Béton de voile</t>
  </si>
  <si>
    <t>Béton</t>
  </si>
  <si>
    <t>Béton de semelle</t>
  </si>
  <si>
    <t>Béton de longrine</t>
  </si>
  <si>
    <t>Béton de plancher</t>
  </si>
  <si>
    <t>Réseau_EU</t>
  </si>
  <si>
    <t>Réseau_EP</t>
  </si>
  <si>
    <t>Canalisations PVC CR8 Ø 160mm  - EP</t>
  </si>
  <si>
    <t>Canalisations PVC CR8 Ø 200mm - EP</t>
  </si>
  <si>
    <t>Canalisations PVC CR8 Ø 250mm - EP</t>
  </si>
  <si>
    <t>Canalisations PVC CR8 Ø 160mm - EU</t>
  </si>
  <si>
    <t>Canalisations PVC CR8 Ø 200mm - EU</t>
  </si>
  <si>
    <t>Canalisations PVC CR8 Ø 250mm - EU</t>
  </si>
  <si>
    <t>Grue_à_tour</t>
  </si>
  <si>
    <t>Base_vie</t>
  </si>
  <si>
    <t xml:space="preserve">Protection d’arbre </t>
  </si>
  <si>
    <t xml:space="preserve">Dessouchage d’arbres </t>
  </si>
  <si>
    <t>Vidange curage et démolition du bassin d’eau</t>
  </si>
  <si>
    <t>Abattage d’arbre avec dessouchage</t>
  </si>
  <si>
    <t>Travaux_préalables</t>
  </si>
  <si>
    <t>PARIS - Rue d'Excel - COMIKSOU</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</si>
</sst>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3" formatCode="_-* #,##0.00\ _€_-;\-* #,##0.00\ _€_-;_-* &quot;-&quot;??\ _€_-;_-@_-"/>
    <numFmt numFmtId="164" formatCode="00000"/>
    <numFmt numFmtId="165" formatCode="#,##0.000"/>
    <numFmt numFmtId="166" formatCode="[$-40C]General"/>
    <numFmt numFmtId="167" formatCode="#,##0.00&quot; &quot;[$€-40C];[Red]&quot;-&quot;#,##0.00&quot; &quot;[$€-40C]"/>
    <numFmt numFmtId="168" formatCode="0.00000%"/>
  </numFmts>
  <fonts count="58">
    <font>
      <sz val="11"/>
      <color theme="1"/>
      <name val="Calibri"/>
      <family val="2"/>
      <scheme val="minor"/>
    </font>
    <font>
      <sz val="11"/>
      <color indexed="8"/>
      <name val="Calibri"/>
      <family val="2"/>
    </font>
    <font>
      <sz val="10"/>
      <color indexed="8"/>
      <name val="Arial"/>
      <family val="2"/>
    </font>
    <font>
      <sz val="11"/>
      <color indexed="8"/>
      <name val="Arial"/>
      <family val="2"/>
    </font>
    <font>
      <sz val="10"/>
      <name val="Arial"/>
      <family val="2"/>
    </font>
    <font>
      <b/>
      <i/>
      <u/>
      <sz val="12"/>
      <color indexed="8"/>
      <name val="Calibri"/>
      <family val="2"/>
    </font>
    <font>
      <b/>
      <i/>
      <sz val="12"/>
      <color indexed="8"/>
      <name val="Calibri"/>
      <family val="2"/>
    </font>
    <font>
      <b/>
      <sz val="12"/>
      <color indexed="8"/>
      <name val="Calibri"/>
      <family val="2"/>
    </font>
    <font>
      <i/>
      <sz val="11"/>
      <color indexed="8"/>
      <name val="Calibri"/>
      <family val="2"/>
    </font>
    <font>
      <b/>
      <sz val="11"/>
      <color theme="1"/>
      <name val="Calibri"/>
      <family val="2"/>
      <scheme val="minor"/>
    </font>
    <font>
      <sz val="10"/>
      <color indexed="8"/>
      <name val="Calibri"/>
      <family val="2"/>
      <scheme val="minor"/>
    </font>
    <font>
      <sz val="10"/>
      <color indexed="8"/>
      <name val="Calibri Light"/>
      <family val="2"/>
      <scheme val="major"/>
    </font>
    <font>
      <sz val="9"/>
      <color indexed="8"/>
      <name val="Calibri"/>
      <family val="2"/>
      <scheme val="minor"/>
    </font>
    <font>
      <sz val="10"/>
      <color indexed="8"/>
      <name val="Calibri"/>
      <family val="2"/>
    </font>
    <font>
      <sz val="10"/>
      <color rgb="FF0070C0"/>
      <name val="Calibri"/>
      <family val="2"/>
    </font>
    <font>
      <sz val="7"/>
      <color indexed="8"/>
      <name val="Calibri Light"/>
      <family val="2"/>
      <scheme val="major"/>
    </font>
    <font>
      <b/>
      <sz val="11"/>
      <color indexed="8"/>
      <name val="Calibri"/>
      <family val="2"/>
      <scheme val="minor"/>
    </font>
    <font>
      <sz val="11"/>
      <color indexed="8"/>
      <name val="Calibri"/>
      <family val="2"/>
      <scheme val="minor"/>
    </font>
    <font>
      <b/>
      <sz val="10"/>
      <color indexed="8"/>
      <name val="Calibri"/>
      <family val="2"/>
      <scheme val="minor"/>
    </font>
    <font>
      <b/>
      <sz val="9"/>
      <color indexed="8"/>
      <name val="Calibri"/>
      <family val="2"/>
      <scheme val="minor"/>
    </font>
    <font>
      <sz val="13"/>
      <color theme="1"/>
      <name val="Calibri"/>
      <family val="2"/>
      <scheme val="minor"/>
    </font>
    <font>
      <b/>
      <i/>
      <sz val="12"/>
      <color indexed="8"/>
      <name val="Calibri"/>
      <family val="2"/>
      <scheme val="minor"/>
    </font>
    <font>
      <b/>
      <i/>
      <sz val="11"/>
      <color indexed="8"/>
      <name val="Calibri"/>
      <family val="2"/>
      <scheme val="minor"/>
    </font>
    <font>
      <b/>
      <i/>
      <u/>
      <sz val="12"/>
      <color indexed="8"/>
      <name val="Calibri"/>
      <family val="2"/>
      <scheme val="minor"/>
    </font>
    <font>
      <b/>
      <sz val="12"/>
      <color indexed="8"/>
      <name val="Calibri"/>
      <family val="2"/>
      <scheme val="minor"/>
    </font>
    <font>
      <sz val="11"/>
      <color rgb="FF0070C0"/>
      <name val="Calibri"/>
      <family val="2"/>
      <scheme val="minor"/>
    </font>
    <font>
      <sz val="12"/>
      <color indexed="8"/>
      <name val="Calibri"/>
      <family val="2"/>
      <scheme val="minor"/>
    </font>
    <font>
      <i/>
      <sz val="11"/>
      <color indexed="8"/>
      <name val="Calibri"/>
      <family val="2"/>
      <scheme val="minor"/>
    </font>
    <font>
      <b/>
      <sz val="14"/>
      <color indexed="8"/>
      <name val="Calibri"/>
      <family val="2"/>
      <scheme val="minor"/>
    </font>
    <font>
      <i/>
      <sz val="12"/>
      <color indexed="8"/>
      <name val="Calibri"/>
      <family val="2"/>
      <scheme val="minor"/>
    </font>
    <font>
      <sz val="12"/>
      <color theme="1"/>
      <name val="Calibri"/>
      <family val="2"/>
      <scheme val="minor"/>
    </font>
    <font>
      <b/>
      <sz val="12"/>
      <color theme="1"/>
      <name val="Calibri"/>
      <family val="2"/>
      <scheme val="minor"/>
    </font>
    <font>
      <b/>
      <sz val="10"/>
      <color theme="1"/>
      <name val="Calibri"/>
      <family val="2"/>
      <scheme val="minor"/>
    </font>
    <font>
      <sz val="11"/>
      <color theme="1"/>
      <name val="Calibri"/>
      <family val="2"/>
      <scheme val="minor"/>
    </font>
    <font>
      <sz val="10"/>
      <color rgb="FF0070C0"/>
      <name val="Arial"/>
      <family val="2"/>
    </font>
    <font>
      <sz val="10"/>
      <name val="Times New Roman"/>
      <family val="1"/>
    </font>
    <font>
      <sz val="7"/>
      <color theme="1"/>
      <name val="Calibri"/>
      <family val="2"/>
      <scheme val="minor"/>
    </font>
    <font>
      <sz val="6"/>
      <color indexed="8"/>
      <name val="Calibri"/>
      <family val="2"/>
      <scheme val="minor"/>
    </font>
    <font>
      <sz val="7"/>
      <color indexed="8"/>
      <name val="Calibri"/>
      <family val="2"/>
      <scheme val="minor"/>
    </font>
    <font>
      <sz val="10"/>
      <color rgb="FF0070C0"/>
      <name val="Calibri"/>
      <family val="2"/>
      <scheme val="minor"/>
    </font>
    <font>
      <b/>
      <sz val="20"/>
      <color indexed="8"/>
      <name val="Calibri"/>
      <family val="2"/>
      <scheme val="minor"/>
    </font>
    <font>
      <b/>
      <sz val="15"/>
      <color indexed="8"/>
      <name val="Calibri"/>
      <family val="2"/>
      <scheme val="minor"/>
    </font>
    <font>
      <b/>
      <sz val="13"/>
      <color rgb="FF0070C0"/>
      <name val="Calibri"/>
      <family val="2"/>
      <scheme val="minor"/>
    </font>
    <font>
      <b/>
      <sz val="8"/>
      <color indexed="8"/>
      <name val="Calibri"/>
      <family val="2"/>
      <scheme val="minor"/>
    </font>
    <font>
      <b/>
      <sz val="11"/>
      <color rgb="FF0070C0"/>
      <name val="Calibri"/>
      <family val="2"/>
      <scheme val="minor"/>
    </font>
    <font>
      <sz val="10"/>
      <name val="Calibri"/>
      <family val="2"/>
      <scheme val="minor"/>
    </font>
    <font>
      <sz val="10"/>
      <color theme="1"/>
      <name val="Calibri"/>
      <family val="2"/>
      <scheme val="minor"/>
    </font>
    <font>
      <sz val="8"/>
      <color indexed="8"/>
      <name val="Calibri"/>
      <family val="2"/>
      <scheme val="minor"/>
    </font>
    <font>
      <b/>
      <i/>
      <sz val="11"/>
      <name val="Calibri"/>
      <family val="2"/>
      <scheme val="minor"/>
    </font>
    <font>
      <sz val="9"/>
      <color rgb="FF0070C0"/>
      <name val="Calibri"/>
      <family val="2"/>
      <scheme val="minor"/>
    </font>
    <font>
      <sz val="11"/>
      <color rgb="FF000000"/>
      <name val="Arial"/>
      <family val="2"/>
    </font>
    <font>
      <sz val="10"/>
      <color rgb="FF000000"/>
      <name val="Arial1"/>
    </font>
    <font>
      <b/>
      <i/>
      <sz val="16"/>
      <color rgb="FF000000"/>
      <name val="Arial"/>
      <family val="2"/>
    </font>
    <font>
      <u/>
      <sz val="11"/>
      <color rgb="FF0000FF"/>
      <name val="Arial"/>
      <family val="2"/>
    </font>
    <font>
      <b/>
      <i/>
      <u/>
      <sz val="11"/>
      <color rgb="FF000000"/>
      <name val="Arial"/>
      <family val="2"/>
    </font>
    <font>
      <sz val="10"/>
      <color rgb="FFFF0000"/>
      <name val="Calibri"/>
      <family val="2"/>
      <scheme val="minor"/>
    </font>
    <font>
      <i/>
      <sz val="10"/>
      <color rgb="FFFF0000"/>
      <name val="Calibri"/>
      <family val="2"/>
      <scheme val="minor"/>
    </font>
    <font>
      <sz val="7"/>
      <color rgb="FFFF0000"/>
      <name val="Calibri"/>
      <family val="2"/>
      <scheme val="minor"/>
    </font>
  </fonts>
  <fills count="9">
    <fill>
      <patternFill patternType="none"/>
    </fill>
    <fill>
      <patternFill patternType="gray125"/>
    </fill>
    <fill>
      <patternFill patternType="solid">
        <fgColor theme="0" tint="-4.9989318521683403E-2"/>
        <bgColor indexed="64"/>
      </patternFill>
    </fill>
    <fill>
      <patternFill patternType="solid">
        <fgColor rgb="FFDDD9C4"/>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theme="0"/>
        <bgColor indexed="64"/>
      </patternFill>
    </fill>
    <fill>
      <patternFill patternType="solid">
        <fgColor theme="5" tint="0.59999389629810485"/>
        <bgColor indexed="64"/>
      </patternFill>
    </fill>
  </fills>
  <borders count="54">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right style="thin">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bottom/>
      <diagonal/>
    </border>
    <border>
      <left/>
      <right style="thin">
        <color indexed="64"/>
      </right>
      <top/>
      <bottom style="medium">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top style="thin">
        <color indexed="64"/>
      </top>
      <bottom/>
      <diagonal/>
    </border>
    <border>
      <left style="medium">
        <color indexed="64"/>
      </left>
      <right/>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diagonal/>
    </border>
    <border>
      <left style="thin">
        <color indexed="64"/>
      </left>
      <right style="medium">
        <color indexed="64"/>
      </right>
      <top style="thin">
        <color indexed="64"/>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bottom style="medium">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diagonal/>
    </border>
  </borders>
  <cellStyleXfs count="12">
    <xf numFmtId="0" fontId="0" fillId="0" borderId="0"/>
    <xf numFmtId="0" fontId="1" fillId="0" borderId="0"/>
    <xf numFmtId="9" fontId="33" fillId="0" borderId="0" applyFont="0" applyFill="0" applyBorder="0" applyAlignment="0" applyProtection="0"/>
    <xf numFmtId="0" fontId="35" fillId="0" borderId="0"/>
    <xf numFmtId="0" fontId="50" fillId="0" borderId="0"/>
    <xf numFmtId="166" fontId="51" fillId="0" borderId="0" applyBorder="0" applyProtection="0"/>
    <xf numFmtId="0" fontId="50" fillId="0" borderId="0" applyNumberFormat="0" applyFont="0" applyFill="0" applyBorder="0" applyAlignment="0" applyProtection="0"/>
    <xf numFmtId="0" fontId="52" fillId="0" borderId="0" applyNumberFormat="0" applyBorder="0" applyProtection="0">
      <alignment horizontal="center"/>
    </xf>
    <xf numFmtId="0" fontId="52" fillId="0" borderId="0" applyNumberFormat="0" applyBorder="0" applyProtection="0">
      <alignment horizontal="center" textRotation="90"/>
    </xf>
    <xf numFmtId="0" fontId="53" fillId="0" borderId="0" applyNumberFormat="0" applyFill="0" applyBorder="0" applyAlignment="0" applyProtection="0"/>
    <xf numFmtId="0" fontId="54" fillId="0" borderId="0" applyNumberFormat="0" applyBorder="0" applyProtection="0"/>
    <xf numFmtId="167" fontId="54" fillId="0" borderId="0" applyBorder="0" applyProtection="0"/>
  </cellStyleXfs>
  <cellXfs count="632">
    <xf numFmtId="0" fontId="0" fillId="0" borderId="0" xfId="0"/>
    <xf numFmtId="0" fontId="1" fillId="0" borderId="12" xfId="1" applyFont="1" applyBorder="1" applyAlignment="1">
      <alignment horizontal="left"/>
    </xf>
    <xf numFmtId="164" fontId="0" fillId="0" borderId="0" xfId="0" applyNumberFormat="1" applyFont="1"/>
    <xf numFmtId="164" fontId="0" fillId="0" borderId="0" xfId="0" applyNumberFormat="1" applyFont="1" applyBorder="1" applyProtection="1"/>
    <xf numFmtId="164" fontId="0" fillId="0" borderId="20" xfId="0" applyNumberFormat="1" applyFont="1" applyBorder="1" applyProtection="1"/>
    <xf numFmtId="164" fontId="0" fillId="0" borderId="21" xfId="0" applyNumberFormat="1" applyFont="1" applyBorder="1" applyProtection="1"/>
    <xf numFmtId="164" fontId="0" fillId="0" borderId="22" xfId="0" applyNumberFormat="1" applyFont="1" applyBorder="1" applyProtection="1"/>
    <xf numFmtId="164" fontId="0" fillId="0" borderId="0" xfId="0" applyNumberFormat="1" applyFont="1" applyProtection="1"/>
    <xf numFmtId="2" fontId="4" fillId="0" borderId="0" xfId="0" applyNumberFormat="1" applyFont="1" applyBorder="1" applyProtection="1"/>
    <xf numFmtId="0" fontId="0" fillId="0" borderId="0" xfId="0" applyAlignment="1" applyProtection="1">
      <alignment vertical="top"/>
      <protection locked="0"/>
    </xf>
    <xf numFmtId="164" fontId="5" fillId="0" borderId="0" xfId="0" applyNumberFormat="1" applyFont="1" applyBorder="1" applyAlignment="1" applyProtection="1">
      <alignment horizontal="center"/>
    </xf>
    <xf numFmtId="164" fontId="6" fillId="0" borderId="0" xfId="0" applyNumberFormat="1" applyFont="1" applyBorder="1" applyAlignment="1" applyProtection="1">
      <alignment horizontal="center"/>
    </xf>
    <xf numFmtId="164" fontId="7" fillId="0" borderId="0" xfId="0" applyNumberFormat="1" applyFont="1" applyBorder="1" applyAlignment="1" applyProtection="1">
      <alignment horizontal="center"/>
    </xf>
    <xf numFmtId="164" fontId="7" fillId="0" borderId="0" xfId="0" applyNumberFormat="1" applyFont="1" applyProtection="1"/>
    <xf numFmtId="164" fontId="8" fillId="0" borderId="0" xfId="0" applyNumberFormat="1" applyFont="1" applyProtection="1"/>
    <xf numFmtId="164" fontId="1" fillId="0" borderId="0" xfId="0" applyNumberFormat="1" applyFont="1" applyProtection="1"/>
    <xf numFmtId="43" fontId="11" fillId="0" borderId="12" xfId="0" applyNumberFormat="1" applyFont="1" applyFill="1" applyBorder="1" applyAlignment="1">
      <alignment horizontal="right" vertical="center" wrapText="1"/>
    </xf>
    <xf numFmtId="0" fontId="12" fillId="0" borderId="12" xfId="0" applyFont="1" applyBorder="1" applyAlignment="1">
      <alignment horizontal="center" vertical="center"/>
    </xf>
    <xf numFmtId="0" fontId="0" fillId="0" borderId="13" xfId="0" applyBorder="1"/>
    <xf numFmtId="0" fontId="3" fillId="0" borderId="10" xfId="0" applyFont="1" applyBorder="1" applyAlignment="1">
      <alignment vertical="center" wrapText="1"/>
    </xf>
    <xf numFmtId="0" fontId="2" fillId="0" borderId="10" xfId="0" applyFont="1" applyBorder="1" applyAlignment="1">
      <alignment horizontal="center" vertical="center"/>
    </xf>
    <xf numFmtId="4" fontId="11" fillId="0" borderId="12" xfId="0" applyNumberFormat="1" applyFont="1" applyBorder="1" applyAlignment="1">
      <alignment horizontal="right" vertical="center" wrapText="1"/>
    </xf>
    <xf numFmtId="0" fontId="15" fillId="0" borderId="12" xfId="0" applyNumberFormat="1" applyFont="1" applyBorder="1" applyAlignment="1">
      <alignment horizontal="center" vertical="center"/>
    </xf>
    <xf numFmtId="0" fontId="0" fillId="0" borderId="4" xfId="0" applyBorder="1"/>
    <xf numFmtId="0" fontId="17" fillId="2" borderId="10" xfId="0" applyFont="1" applyFill="1" applyBorder="1" applyAlignment="1">
      <alignment vertical="center"/>
    </xf>
    <xf numFmtId="4" fontId="17" fillId="2" borderId="3" xfId="0" applyNumberFormat="1" applyFont="1" applyFill="1" applyBorder="1" applyAlignment="1">
      <alignment vertical="center"/>
    </xf>
    <xf numFmtId="0" fontId="18" fillId="2" borderId="12" xfId="0" applyFont="1" applyFill="1" applyBorder="1" applyAlignment="1">
      <alignment horizontal="center" vertical="center"/>
    </xf>
    <xf numFmtId="4" fontId="18" fillId="2" borderId="12" xfId="0" applyNumberFormat="1" applyFont="1" applyFill="1" applyBorder="1" applyAlignment="1">
      <alignment horizontal="center" vertical="center"/>
    </xf>
    <xf numFmtId="0" fontId="10" fillId="2" borderId="13" xfId="0" applyFont="1" applyFill="1" applyBorder="1" applyAlignment="1">
      <alignment vertical="center"/>
    </xf>
    <xf numFmtId="4" fontId="10" fillId="2" borderId="13" xfId="0" applyNumberFormat="1" applyFont="1" applyFill="1" applyBorder="1" applyAlignment="1">
      <alignment vertical="center"/>
    </xf>
    <xf numFmtId="0" fontId="10" fillId="0" borderId="7" xfId="0" applyFont="1" applyBorder="1" applyAlignment="1">
      <alignment vertical="center"/>
    </xf>
    <xf numFmtId="0" fontId="10" fillId="0" borderId="2" xfId="0" applyFont="1" applyBorder="1" applyAlignment="1">
      <alignment vertical="center"/>
    </xf>
    <xf numFmtId="3" fontId="10" fillId="0" borderId="2" xfId="0" applyNumberFormat="1" applyFont="1" applyBorder="1" applyAlignment="1">
      <alignment vertical="center"/>
    </xf>
    <xf numFmtId="0" fontId="10" fillId="0" borderId="2" xfId="0" applyFont="1" applyBorder="1" applyAlignment="1">
      <alignment horizontal="right" vertical="center"/>
    </xf>
    <xf numFmtId="4" fontId="10" fillId="0" borderId="9" xfId="0" applyNumberFormat="1" applyFont="1" applyBorder="1" applyAlignment="1">
      <alignment horizontal="right" vertical="center"/>
    </xf>
    <xf numFmtId="0" fontId="19" fillId="2" borderId="7" xfId="0" applyNumberFormat="1" applyFont="1" applyFill="1" applyBorder="1" applyAlignment="1">
      <alignment horizontal="center" vertical="center"/>
    </xf>
    <xf numFmtId="0" fontId="10" fillId="2" borderId="8" xfId="0" applyFont="1" applyFill="1" applyBorder="1" applyAlignment="1">
      <alignment vertical="center"/>
    </xf>
    <xf numFmtId="3" fontId="10" fillId="2" borderId="8" xfId="0" applyNumberFormat="1" applyFont="1" applyFill="1" applyBorder="1" applyAlignment="1">
      <alignment vertical="center"/>
    </xf>
    <xf numFmtId="0" fontId="10" fillId="2" borderId="8" xfId="0" applyFont="1" applyFill="1" applyBorder="1" applyAlignment="1">
      <alignment horizontal="right" vertical="center"/>
    </xf>
    <xf numFmtId="4" fontId="10" fillId="2" borderId="9" xfId="0" applyNumberFormat="1" applyFont="1" applyFill="1" applyBorder="1" applyAlignment="1">
      <alignment horizontal="right" vertical="center"/>
    </xf>
    <xf numFmtId="0" fontId="18" fillId="2" borderId="8" xfId="0" quotePrefix="1" applyFont="1" applyFill="1" applyBorder="1" applyAlignment="1">
      <alignment horizontal="left" vertical="center"/>
    </xf>
    <xf numFmtId="0" fontId="18" fillId="2" borderId="8" xfId="0" applyFont="1" applyFill="1" applyBorder="1" applyAlignment="1">
      <alignment horizontal="left" vertical="center"/>
    </xf>
    <xf numFmtId="164" fontId="17" fillId="0" borderId="0" xfId="0" applyNumberFormat="1" applyFont="1" applyProtection="1"/>
    <xf numFmtId="164" fontId="16" fillId="0" borderId="0" xfId="0" applyNumberFormat="1" applyFont="1" applyProtection="1"/>
    <xf numFmtId="164" fontId="21" fillId="0" borderId="0" xfId="0" applyNumberFormat="1" applyFont="1" applyProtection="1"/>
    <xf numFmtId="164" fontId="22" fillId="0" borderId="0" xfId="0" applyNumberFormat="1" applyFont="1" applyProtection="1"/>
    <xf numFmtId="164" fontId="17" fillId="0" borderId="0" xfId="0" applyNumberFormat="1" applyFont="1" applyBorder="1" applyAlignment="1" applyProtection="1">
      <alignment horizontal="center"/>
    </xf>
    <xf numFmtId="164" fontId="17" fillId="0" borderId="0" xfId="0" applyNumberFormat="1" applyFont="1" applyBorder="1" applyProtection="1"/>
    <xf numFmtId="164" fontId="17" fillId="0" borderId="15" xfId="0" applyNumberFormat="1" applyFont="1" applyBorder="1" applyProtection="1"/>
    <xf numFmtId="164" fontId="17" fillId="0" borderId="16" xfId="0" applyNumberFormat="1" applyFont="1" applyBorder="1" applyProtection="1"/>
    <xf numFmtId="164" fontId="17" fillId="0" borderId="17" xfId="0" applyNumberFormat="1" applyFont="1" applyBorder="1" applyProtection="1"/>
    <xf numFmtId="164" fontId="17" fillId="0" borderId="20" xfId="0" applyNumberFormat="1" applyFont="1" applyBorder="1" applyProtection="1"/>
    <xf numFmtId="164" fontId="17" fillId="0" borderId="21" xfId="0" applyNumberFormat="1" applyFont="1" applyBorder="1" applyProtection="1"/>
    <xf numFmtId="164" fontId="17" fillId="0" borderId="22" xfId="0" applyNumberFormat="1" applyFont="1" applyBorder="1" applyProtection="1"/>
    <xf numFmtId="164" fontId="24" fillId="0" borderId="0" xfId="0" applyNumberFormat="1" applyFont="1" applyProtection="1"/>
    <xf numFmtId="164" fontId="27" fillId="0" borderId="0" xfId="0" applyNumberFormat="1" applyFont="1" applyProtection="1"/>
    <xf numFmtId="164" fontId="27" fillId="0" borderId="0" xfId="0" applyNumberFormat="1" applyFont="1" applyAlignment="1" applyProtection="1"/>
    <xf numFmtId="164" fontId="27" fillId="0" borderId="0" xfId="0" applyNumberFormat="1" applyFont="1" applyAlignment="1" applyProtection="1">
      <alignment horizontal="right"/>
    </xf>
    <xf numFmtId="164" fontId="17" fillId="0" borderId="0" xfId="0" applyNumberFormat="1" applyFont="1" applyAlignment="1" applyProtection="1">
      <alignment horizontal="left"/>
    </xf>
    <xf numFmtId="164" fontId="17" fillId="0" borderId="0" xfId="0" applyNumberFormat="1" applyFont="1" applyAlignment="1" applyProtection="1">
      <alignment horizontal="right"/>
    </xf>
    <xf numFmtId="164" fontId="24" fillId="0" borderId="18" xfId="0" applyNumberFormat="1" applyFont="1" applyBorder="1" applyProtection="1"/>
    <xf numFmtId="164" fontId="24" fillId="0" borderId="0" xfId="0" applyNumberFormat="1" applyFont="1" applyBorder="1" applyProtection="1"/>
    <xf numFmtId="164" fontId="28" fillId="0" borderId="19" xfId="0" applyNumberFormat="1" applyFont="1" applyBorder="1" applyProtection="1"/>
    <xf numFmtId="164" fontId="29" fillId="0" borderId="18" xfId="0" applyNumberFormat="1" applyFont="1" applyBorder="1" applyProtection="1"/>
    <xf numFmtId="4" fontId="17" fillId="0" borderId="19" xfId="0" applyNumberFormat="1" applyFont="1" applyBorder="1" applyProtection="1"/>
    <xf numFmtId="164" fontId="16" fillId="0" borderId="18" xfId="0" applyNumberFormat="1" applyFont="1" applyBorder="1" applyProtection="1"/>
    <xf numFmtId="4" fontId="16" fillId="0" borderId="19" xfId="0" applyNumberFormat="1" applyFont="1" applyBorder="1" applyProtection="1"/>
    <xf numFmtId="0" fontId="0" fillId="0" borderId="0" xfId="0" applyFont="1"/>
    <xf numFmtId="0" fontId="17" fillId="0" borderId="0" xfId="0" applyFont="1" applyBorder="1" applyAlignment="1">
      <alignment vertical="center"/>
    </xf>
    <xf numFmtId="0" fontId="16" fillId="0" borderId="0" xfId="0" applyFont="1" applyBorder="1" applyAlignment="1">
      <alignment vertical="center"/>
    </xf>
    <xf numFmtId="0" fontId="0" fillId="0" borderId="0" xfId="0" applyFont="1" applyBorder="1"/>
    <xf numFmtId="3" fontId="10" fillId="0" borderId="10" xfId="0" applyNumberFormat="1" applyFont="1" applyBorder="1" applyAlignment="1">
      <alignment vertical="center"/>
    </xf>
    <xf numFmtId="3" fontId="10" fillId="2" borderId="14" xfId="0" applyNumberFormat="1" applyFont="1" applyFill="1" applyBorder="1" applyAlignment="1">
      <alignment vertical="center"/>
    </xf>
    <xf numFmtId="0" fontId="0" fillId="0" borderId="0" xfId="0" applyBorder="1" applyAlignment="1" applyProtection="1">
      <alignment vertical="top"/>
      <protection locked="0"/>
    </xf>
    <xf numFmtId="4" fontId="13" fillId="0" borderId="12" xfId="1" applyNumberFormat="1" applyFont="1" applyFill="1" applyBorder="1"/>
    <xf numFmtId="0" fontId="0" fillId="4" borderId="15" xfId="0" applyFill="1" applyBorder="1" applyAlignment="1" applyProtection="1">
      <alignment vertical="top"/>
      <protection locked="0"/>
    </xf>
    <xf numFmtId="0" fontId="0" fillId="4" borderId="16" xfId="0" applyFill="1" applyBorder="1" applyAlignment="1" applyProtection="1">
      <alignment vertical="top"/>
      <protection locked="0"/>
    </xf>
    <xf numFmtId="49" fontId="4" fillId="4" borderId="16" xfId="0" applyNumberFormat="1" applyFont="1" applyFill="1" applyBorder="1" applyAlignment="1" applyProtection="1">
      <alignment horizontal="center"/>
    </xf>
    <xf numFmtId="2" fontId="4" fillId="4" borderId="16" xfId="0" applyNumberFormat="1" applyFont="1" applyFill="1" applyBorder="1" applyProtection="1"/>
    <xf numFmtId="2" fontId="4" fillId="4" borderId="16" xfId="0" applyNumberFormat="1" applyFont="1" applyFill="1" applyBorder="1" applyAlignment="1" applyProtection="1">
      <alignment horizontal="center"/>
    </xf>
    <xf numFmtId="0" fontId="0" fillId="4" borderId="18" xfId="0" applyFill="1" applyBorder="1" applyAlignment="1" applyProtection="1">
      <alignment vertical="top"/>
      <protection locked="0"/>
    </xf>
    <xf numFmtId="0" fontId="0" fillId="4" borderId="0" xfId="0" applyFill="1" applyBorder="1" applyAlignment="1" applyProtection="1">
      <alignment vertical="top"/>
      <protection locked="0"/>
    </xf>
    <xf numFmtId="2" fontId="4" fillId="4" borderId="0" xfId="0" applyNumberFormat="1" applyFont="1" applyFill="1" applyBorder="1" applyProtection="1"/>
    <xf numFmtId="2" fontId="4" fillId="4" borderId="0" xfId="0" applyNumberFormat="1" applyFont="1" applyFill="1" applyBorder="1" applyAlignment="1" applyProtection="1">
      <alignment horizontal="center"/>
    </xf>
    <xf numFmtId="164" fontId="0" fillId="4" borderId="0" xfId="0" applyNumberFormat="1" applyFill="1" applyBorder="1" applyProtection="1"/>
    <xf numFmtId="164" fontId="0" fillId="4" borderId="0" xfId="0" applyNumberFormat="1" applyFont="1" applyFill="1" applyBorder="1" applyProtection="1"/>
    <xf numFmtId="0" fontId="0" fillId="4" borderId="20" xfId="0" applyFill="1" applyBorder="1" applyAlignment="1" applyProtection="1">
      <alignment vertical="top"/>
      <protection locked="0"/>
    </xf>
    <xf numFmtId="0" fontId="0" fillId="4" borderId="21" xfId="0" applyFill="1" applyBorder="1" applyAlignment="1" applyProtection="1">
      <alignment vertical="top"/>
      <protection locked="0"/>
    </xf>
    <xf numFmtId="0" fontId="0" fillId="4" borderId="14" xfId="0" applyFill="1" applyBorder="1" applyAlignment="1" applyProtection="1">
      <alignment horizontal="right" vertical="top"/>
      <protection locked="0"/>
    </xf>
    <xf numFmtId="0" fontId="0" fillId="4" borderId="0" xfId="0" applyFill="1" applyBorder="1" applyAlignment="1" applyProtection="1">
      <alignment horizontal="right" vertical="top"/>
      <protection locked="0"/>
    </xf>
    <xf numFmtId="0" fontId="0" fillId="4" borderId="13" xfId="0" applyFill="1" applyBorder="1" applyAlignment="1" applyProtection="1">
      <alignment horizontal="right" vertical="top"/>
      <protection locked="0"/>
    </xf>
    <xf numFmtId="9" fontId="25" fillId="4" borderId="14" xfId="2" applyFont="1" applyFill="1" applyBorder="1" applyAlignment="1" applyProtection="1">
      <alignment vertical="top"/>
      <protection locked="0"/>
    </xf>
    <xf numFmtId="49" fontId="25" fillId="4" borderId="14" xfId="0" applyNumberFormat="1" applyFont="1" applyFill="1" applyBorder="1" applyAlignment="1" applyProtection="1">
      <alignment vertical="top"/>
      <protection locked="0"/>
    </xf>
    <xf numFmtId="0" fontId="25" fillId="4" borderId="14" xfId="0" applyFont="1" applyFill="1" applyBorder="1" applyAlignment="1" applyProtection="1">
      <alignment vertical="top"/>
      <protection locked="0"/>
    </xf>
    <xf numFmtId="49" fontId="34" fillId="4" borderId="14" xfId="0" applyNumberFormat="1" applyFont="1" applyFill="1" applyBorder="1" applyAlignment="1" applyProtection="1">
      <alignment horizontal="center"/>
    </xf>
    <xf numFmtId="14" fontId="25" fillId="4" borderId="14" xfId="0" applyNumberFormat="1" applyFont="1" applyFill="1" applyBorder="1" applyProtection="1"/>
    <xf numFmtId="0" fontId="0" fillId="4" borderId="7" xfId="0" applyFill="1" applyBorder="1" applyAlignment="1" applyProtection="1">
      <alignment horizontal="center" vertical="top"/>
      <protection locked="0"/>
    </xf>
    <xf numFmtId="0" fontId="0" fillId="4" borderId="9" xfId="0" applyFill="1" applyBorder="1" applyAlignment="1" applyProtection="1">
      <alignment horizontal="center"/>
      <protection locked="0"/>
    </xf>
    <xf numFmtId="0" fontId="25" fillId="4" borderId="7" xfId="0" applyFont="1" applyFill="1" applyBorder="1" applyAlignment="1" applyProtection="1">
      <alignment vertical="top"/>
      <protection locked="0"/>
    </xf>
    <xf numFmtId="0" fontId="25" fillId="4" borderId="9" xfId="0" applyFont="1" applyFill="1" applyBorder="1" applyAlignment="1" applyProtection="1">
      <alignment vertical="top"/>
      <protection locked="0"/>
    </xf>
    <xf numFmtId="164" fontId="21" fillId="0" borderId="15" xfId="0" applyNumberFormat="1" applyFont="1" applyBorder="1" applyAlignment="1" applyProtection="1"/>
    <xf numFmtId="49" fontId="25" fillId="4" borderId="14" xfId="0" applyNumberFormat="1" applyFont="1" applyFill="1" applyBorder="1" applyAlignment="1" applyProtection="1">
      <alignment horizontal="center" vertical="top"/>
      <protection locked="0"/>
    </xf>
    <xf numFmtId="2" fontId="4" fillId="4" borderId="17" xfId="0" applyNumberFormat="1" applyFont="1" applyFill="1" applyBorder="1" applyProtection="1"/>
    <xf numFmtId="164" fontId="0" fillId="4" borderId="19" xfId="0" applyNumberFormat="1" applyFont="1" applyFill="1" applyBorder="1" applyProtection="1"/>
    <xf numFmtId="2" fontId="4" fillId="4" borderId="19" xfId="0" applyNumberFormat="1" applyFont="1" applyFill="1" applyBorder="1" applyProtection="1"/>
    <xf numFmtId="0" fontId="0" fillId="4" borderId="19" xfId="0" applyFill="1" applyBorder="1" applyAlignment="1" applyProtection="1">
      <alignment vertical="top"/>
      <protection locked="0"/>
    </xf>
    <xf numFmtId="0" fontId="0" fillId="4" borderId="22" xfId="0" applyFill="1" applyBorder="1" applyAlignment="1" applyProtection="1">
      <alignment vertical="top"/>
      <protection locked="0"/>
    </xf>
    <xf numFmtId="164" fontId="21" fillId="0" borderId="0" xfId="0" applyNumberFormat="1" applyFont="1" applyAlignment="1" applyProtection="1">
      <alignment horizontal="right"/>
    </xf>
    <xf numFmtId="14" fontId="21" fillId="0" borderId="0" xfId="0" applyNumberFormat="1" applyFont="1" applyAlignment="1" applyProtection="1">
      <alignment horizontal="left"/>
    </xf>
    <xf numFmtId="0" fontId="0" fillId="0" borderId="0" xfId="0" quotePrefix="1"/>
    <xf numFmtId="0" fontId="36" fillId="0" borderId="11" xfId="0" quotePrefix="1" applyFont="1" applyBorder="1" applyAlignment="1">
      <alignment horizontal="center"/>
    </xf>
    <xf numFmtId="0" fontId="0" fillId="0" borderId="0" xfId="0" quotePrefix="1" applyAlignment="1">
      <alignment horizontal="center"/>
    </xf>
    <xf numFmtId="43" fontId="10" fillId="0" borderId="12" xfId="0" applyNumberFormat="1" applyFont="1" applyFill="1" applyBorder="1" applyAlignment="1">
      <alignment horizontal="right" vertical="center" wrapText="1"/>
    </xf>
    <xf numFmtId="4" fontId="10" fillId="0" borderId="12" xfId="0" applyNumberFormat="1" applyFont="1" applyBorder="1" applyAlignment="1">
      <alignment horizontal="right" vertical="center" wrapText="1"/>
    </xf>
    <xf numFmtId="43" fontId="10" fillId="0" borderId="10" xfId="0" applyNumberFormat="1" applyFont="1" applyFill="1" applyBorder="1" applyAlignment="1">
      <alignment horizontal="right" vertical="center" wrapText="1"/>
    </xf>
    <xf numFmtId="4" fontId="10" fillId="0" borderId="10" xfId="0" applyNumberFormat="1" applyFont="1" applyBorder="1" applyAlignment="1">
      <alignment horizontal="right" vertical="center" wrapText="1"/>
    </xf>
    <xf numFmtId="43" fontId="10" fillId="0" borderId="12" xfId="0" applyNumberFormat="1" applyFont="1" applyFill="1" applyBorder="1" applyAlignment="1">
      <alignment horizontal="center" vertical="center" wrapText="1"/>
    </xf>
    <xf numFmtId="4" fontId="10" fillId="0" borderId="12" xfId="0" applyNumberFormat="1" applyFont="1" applyBorder="1" applyAlignment="1">
      <alignment horizontal="center" vertical="center" wrapText="1"/>
    </xf>
    <xf numFmtId="0" fontId="10" fillId="2" borderId="9" xfId="1" applyFont="1" applyFill="1" applyBorder="1" applyAlignment="1">
      <alignment horizontal="center" vertical="center"/>
    </xf>
    <xf numFmtId="0" fontId="10" fillId="2" borderId="14" xfId="1" applyFont="1" applyFill="1" applyBorder="1" applyAlignment="1">
      <alignment horizontal="center" vertical="center"/>
    </xf>
    <xf numFmtId="0" fontId="10" fillId="2" borderId="7" xfId="1" applyFont="1" applyFill="1" applyBorder="1" applyAlignment="1">
      <alignment horizontal="center" vertical="center"/>
    </xf>
    <xf numFmtId="0" fontId="19" fillId="2" borderId="7" xfId="0" applyNumberFormat="1" applyFont="1" applyFill="1" applyBorder="1" applyAlignment="1">
      <alignment horizontal="left" vertical="center"/>
    </xf>
    <xf numFmtId="0" fontId="18" fillId="2" borderId="8" xfId="0" applyFont="1" applyFill="1" applyBorder="1" applyAlignment="1">
      <alignment vertical="center"/>
    </xf>
    <xf numFmtId="0" fontId="0" fillId="2" borderId="8" xfId="0" applyFont="1" applyFill="1" applyBorder="1"/>
    <xf numFmtId="0" fontId="0" fillId="2" borderId="9" xfId="0" applyFont="1" applyFill="1" applyBorder="1"/>
    <xf numFmtId="0" fontId="38" fillId="0" borderId="12" xfId="0" applyNumberFormat="1" applyFont="1" applyBorder="1" applyAlignment="1">
      <alignment horizontal="center" vertical="center"/>
    </xf>
    <xf numFmtId="4" fontId="10" fillId="0" borderId="12" xfId="1" applyNumberFormat="1" applyFont="1" applyBorder="1"/>
    <xf numFmtId="0" fontId="10" fillId="0" borderId="11" xfId="1" quotePrefix="1" applyFont="1" applyBorder="1" applyAlignment="1">
      <alignment horizontal="left"/>
    </xf>
    <xf numFmtId="4" fontId="10" fillId="0" borderId="12" xfId="1" applyNumberFormat="1" applyFont="1" applyFill="1" applyBorder="1"/>
    <xf numFmtId="43" fontId="39" fillId="0" borderId="12" xfId="0" applyNumberFormat="1" applyFont="1" applyFill="1" applyBorder="1" applyAlignment="1">
      <alignment horizontal="right" vertical="center" wrapText="1"/>
    </xf>
    <xf numFmtId="4" fontId="10" fillId="0" borderId="12" xfId="1" applyNumberFormat="1" applyFont="1" applyFill="1" applyBorder="1" applyAlignment="1">
      <alignment horizontal="right" vertical="center"/>
    </xf>
    <xf numFmtId="0" fontId="17" fillId="0" borderId="12" xfId="1" applyFont="1" applyBorder="1" applyAlignment="1">
      <alignment horizontal="left"/>
    </xf>
    <xf numFmtId="0" fontId="0" fillId="0" borderId="13" xfId="0" applyFont="1" applyBorder="1"/>
    <xf numFmtId="0" fontId="0" fillId="0" borderId="4" xfId="0" applyFont="1" applyBorder="1"/>
    <xf numFmtId="0" fontId="0" fillId="0" borderId="8" xfId="0" applyFont="1" applyBorder="1"/>
    <xf numFmtId="0" fontId="0" fillId="0" borderId="9" xfId="0" applyFont="1" applyBorder="1"/>
    <xf numFmtId="0" fontId="0" fillId="2" borderId="14" xfId="0" applyFont="1" applyFill="1" applyBorder="1" applyAlignment="1">
      <alignment horizontal="center"/>
    </xf>
    <xf numFmtId="0" fontId="0" fillId="2" borderId="14" xfId="0" applyFont="1" applyFill="1" applyBorder="1"/>
    <xf numFmtId="0" fontId="0" fillId="0" borderId="11" xfId="0" applyFont="1" applyBorder="1"/>
    <xf numFmtId="4" fontId="0" fillId="0" borderId="23" xfId="0" applyNumberFormat="1" applyFont="1" applyBorder="1"/>
    <xf numFmtId="0" fontId="0" fillId="0" borderId="0" xfId="0" applyFont="1" applyFill="1"/>
    <xf numFmtId="0" fontId="17" fillId="5" borderId="0" xfId="1" applyFont="1" applyFill="1"/>
    <xf numFmtId="0" fontId="17" fillId="0" borderId="0" xfId="1" applyFont="1"/>
    <xf numFmtId="2" fontId="42" fillId="2" borderId="26" xfId="1" applyNumberFormat="1" applyFont="1" applyFill="1" applyBorder="1" applyAlignment="1">
      <alignment horizontal="center" vertical="center" shrinkToFit="1"/>
    </xf>
    <xf numFmtId="0" fontId="10" fillId="4" borderId="1" xfId="1" applyFont="1" applyFill="1" applyBorder="1" applyAlignment="1">
      <alignment horizontal="center" vertical="center"/>
    </xf>
    <xf numFmtId="0" fontId="10" fillId="4" borderId="43" xfId="1" applyFont="1" applyFill="1" applyBorder="1" applyAlignment="1">
      <alignment horizontal="center" vertical="center"/>
    </xf>
    <xf numFmtId="0" fontId="18" fillId="4" borderId="30" xfId="1" applyFont="1" applyFill="1" applyBorder="1" applyAlignment="1">
      <alignment horizontal="right" vertical="top" wrapText="1" shrinkToFit="1"/>
    </xf>
    <xf numFmtId="2" fontId="44" fillId="4" borderId="37" xfId="1" applyNumberFormat="1" applyFont="1" applyFill="1" applyBorder="1" applyAlignment="1">
      <alignment horizontal="center" vertical="center" shrinkToFit="1"/>
    </xf>
    <xf numFmtId="0" fontId="18" fillId="4" borderId="38" xfId="1" applyFont="1" applyFill="1" applyBorder="1" applyAlignment="1">
      <alignment horizontal="right" vertical="top" wrapText="1" shrinkToFit="1"/>
    </xf>
    <xf numFmtId="2" fontId="44" fillId="4" borderId="30" xfId="1" applyNumberFormat="1" applyFont="1" applyFill="1" applyBorder="1" applyAlignment="1">
      <alignment horizontal="center" vertical="center" shrinkToFit="1"/>
    </xf>
    <xf numFmtId="2" fontId="44" fillId="4" borderId="49" xfId="1" applyNumberFormat="1" applyFont="1" applyFill="1" applyBorder="1" applyAlignment="1">
      <alignment horizontal="center" vertical="center" shrinkToFit="1"/>
    </xf>
    <xf numFmtId="0" fontId="10" fillId="4" borderId="4" xfId="1" applyFont="1" applyFill="1" applyBorder="1" applyAlignment="1">
      <alignment horizontal="center" vertical="center"/>
    </xf>
    <xf numFmtId="0" fontId="10" fillId="4" borderId="52" xfId="1" applyFont="1" applyFill="1" applyBorder="1" applyAlignment="1">
      <alignment horizontal="center" vertical="center"/>
    </xf>
    <xf numFmtId="0" fontId="10" fillId="4" borderId="9" xfId="1" applyFont="1" applyFill="1" applyBorder="1" applyAlignment="1">
      <alignment horizontal="center" vertical="center"/>
    </xf>
    <xf numFmtId="0" fontId="10" fillId="4" borderId="14" xfId="1" applyFont="1" applyFill="1" applyBorder="1" applyAlignment="1">
      <alignment horizontal="center" vertical="center"/>
    </xf>
    <xf numFmtId="0" fontId="10" fillId="4" borderId="7" xfId="1" applyFont="1" applyFill="1" applyBorder="1" applyAlignment="1">
      <alignment horizontal="center" vertical="center"/>
    </xf>
    <xf numFmtId="0" fontId="10" fillId="4" borderId="41" xfId="1" applyFont="1" applyFill="1" applyBorder="1" applyAlignment="1">
      <alignment horizontal="center" vertical="center"/>
    </xf>
    <xf numFmtId="0" fontId="10" fillId="4" borderId="8" xfId="1" applyFont="1" applyFill="1" applyBorder="1" applyAlignment="1">
      <alignment horizontal="center" vertical="center"/>
    </xf>
    <xf numFmtId="0" fontId="16" fillId="4" borderId="42" xfId="1" applyFont="1" applyFill="1" applyBorder="1" applyAlignment="1">
      <alignment vertical="top" textRotation="255" shrinkToFit="1"/>
    </xf>
    <xf numFmtId="0" fontId="16" fillId="0" borderId="10" xfId="1" applyFont="1" applyBorder="1" applyAlignment="1">
      <alignment horizontal="center"/>
    </xf>
    <xf numFmtId="0" fontId="16" fillId="0" borderId="7" xfId="1" applyFont="1" applyBorder="1" applyAlignment="1">
      <alignment horizontal="center"/>
    </xf>
    <xf numFmtId="0" fontId="16" fillId="0" borderId="50" xfId="1" applyFont="1" applyBorder="1" applyAlignment="1">
      <alignment horizontal="center"/>
    </xf>
    <xf numFmtId="4" fontId="17" fillId="0" borderId="10" xfId="1" applyNumberFormat="1" applyFont="1" applyBorder="1"/>
    <xf numFmtId="4" fontId="17" fillId="0" borderId="43" xfId="1" applyNumberFormat="1" applyFont="1" applyBorder="1"/>
    <xf numFmtId="4" fontId="17" fillId="0" borderId="50" xfId="1" applyNumberFormat="1" applyFont="1" applyBorder="1"/>
    <xf numFmtId="4" fontId="17" fillId="0" borderId="1" xfId="1" applyNumberFormat="1" applyFont="1" applyBorder="1"/>
    <xf numFmtId="4" fontId="17" fillId="0" borderId="3" xfId="1" applyNumberFormat="1" applyFont="1" applyBorder="1"/>
    <xf numFmtId="0" fontId="16" fillId="4" borderId="14" xfId="1" applyFont="1" applyFill="1" applyBorder="1" applyAlignment="1">
      <alignment horizontal="left"/>
    </xf>
    <xf numFmtId="0" fontId="16" fillId="4" borderId="8" xfId="1" applyFont="1" applyFill="1" applyBorder="1" applyAlignment="1">
      <alignment horizontal="center"/>
    </xf>
    <xf numFmtId="0" fontId="16" fillId="0" borderId="42" xfId="1" applyFont="1" applyBorder="1" applyAlignment="1">
      <alignment horizontal="center"/>
    </xf>
    <xf numFmtId="0" fontId="16" fillId="0" borderId="12" xfId="1" applyFont="1" applyBorder="1" applyAlignment="1">
      <alignment horizontal="center"/>
    </xf>
    <xf numFmtId="4" fontId="17" fillId="0" borderId="12" xfId="1" applyNumberFormat="1" applyFont="1" applyBorder="1"/>
    <xf numFmtId="4" fontId="17" fillId="0" borderId="44" xfId="1" applyNumberFormat="1" applyFont="1" applyBorder="1"/>
    <xf numFmtId="4" fontId="17" fillId="0" borderId="42" xfId="1" applyNumberFormat="1" applyFont="1" applyBorder="1"/>
    <xf numFmtId="4" fontId="17" fillId="0" borderId="11" xfId="1" applyNumberFormat="1" applyFont="1" applyBorder="1"/>
    <xf numFmtId="4" fontId="17" fillId="0" borderId="23" xfId="1" applyNumberFormat="1" applyFont="1" applyBorder="1"/>
    <xf numFmtId="0" fontId="16" fillId="0" borderId="12" xfId="1" applyFont="1" applyBorder="1" applyAlignment="1">
      <alignment horizontal="left"/>
    </xf>
    <xf numFmtId="0" fontId="16" fillId="0" borderId="1" xfId="1" applyFont="1" applyBorder="1" applyAlignment="1">
      <alignment horizontal="center"/>
    </xf>
    <xf numFmtId="0" fontId="16" fillId="0" borderId="11" xfId="1" applyFont="1" applyBorder="1" applyAlignment="1">
      <alignment horizontal="center"/>
    </xf>
    <xf numFmtId="0" fontId="16" fillId="0" borderId="12" xfId="1" applyFont="1" applyBorder="1" applyAlignment="1">
      <alignment wrapText="1"/>
    </xf>
    <xf numFmtId="0" fontId="17" fillId="0" borderId="11" xfId="1" applyFont="1" applyBorder="1" applyAlignment="1">
      <alignment horizontal="left"/>
    </xf>
    <xf numFmtId="0" fontId="12" fillId="0" borderId="42" xfId="1" applyFont="1" applyBorder="1" applyAlignment="1">
      <alignment horizontal="center" vertical="center"/>
    </xf>
    <xf numFmtId="0" fontId="10" fillId="0" borderId="12" xfId="1" applyFont="1" applyBorder="1" applyAlignment="1">
      <alignment horizontal="center" vertical="center"/>
    </xf>
    <xf numFmtId="4" fontId="10" fillId="0" borderId="44" xfId="1" applyNumberFormat="1" applyFont="1" applyBorder="1"/>
    <xf numFmtId="4" fontId="39" fillId="0" borderId="42" xfId="1" applyNumberFormat="1" applyFont="1" applyBorder="1" applyAlignment="1">
      <alignment horizontal="center" vertical="center"/>
    </xf>
    <xf numFmtId="4" fontId="10" fillId="0" borderId="11" xfId="1" applyNumberFormat="1" applyFont="1" applyBorder="1"/>
    <xf numFmtId="4" fontId="10" fillId="0" borderId="23" xfId="1" applyNumberFormat="1" applyFont="1" applyBorder="1"/>
    <xf numFmtId="0" fontId="10" fillId="6" borderId="1" xfId="1" applyFont="1" applyFill="1" applyBorder="1" applyAlignment="1">
      <alignment horizontal="center" vertical="center"/>
    </xf>
    <xf numFmtId="0" fontId="10" fillId="6" borderId="43" xfId="1" applyFont="1" applyFill="1" applyBorder="1" applyAlignment="1">
      <alignment horizontal="center" vertical="center"/>
    </xf>
    <xf numFmtId="0" fontId="18" fillId="6" borderId="30" xfId="1" applyFont="1" applyFill="1" applyBorder="1" applyAlignment="1">
      <alignment horizontal="right" vertical="top" wrapText="1" shrinkToFit="1"/>
    </xf>
    <xf numFmtId="2" fontId="44" fillId="6" borderId="37" xfId="1" applyNumberFormat="1" applyFont="1" applyFill="1" applyBorder="1" applyAlignment="1">
      <alignment horizontal="center" vertical="center" shrinkToFit="1"/>
    </xf>
    <xf numFmtId="0" fontId="18" fillId="6" borderId="38" xfId="1" applyFont="1" applyFill="1" applyBorder="1" applyAlignment="1">
      <alignment horizontal="right" vertical="top" wrapText="1" shrinkToFit="1"/>
    </xf>
    <xf numFmtId="2" fontId="44" fillId="6" borderId="30" xfId="1" applyNumberFormat="1" applyFont="1" applyFill="1" applyBorder="1" applyAlignment="1">
      <alignment horizontal="center" vertical="center" shrinkToFit="1"/>
    </xf>
    <xf numFmtId="2" fontId="44" fillId="6" borderId="49" xfId="1" applyNumberFormat="1" applyFont="1" applyFill="1" applyBorder="1" applyAlignment="1">
      <alignment horizontal="center" vertical="center" shrinkToFit="1"/>
    </xf>
    <xf numFmtId="0" fontId="10" fillId="6" borderId="4" xfId="1" applyFont="1" applyFill="1" applyBorder="1" applyAlignment="1">
      <alignment horizontal="center" vertical="center"/>
    </xf>
    <xf numFmtId="0" fontId="10" fillId="6" borderId="52" xfId="1" applyFont="1" applyFill="1" applyBorder="1" applyAlignment="1">
      <alignment horizontal="center" vertical="center"/>
    </xf>
    <xf numFmtId="0" fontId="10" fillId="6" borderId="9" xfId="1" applyFont="1" applyFill="1" applyBorder="1" applyAlignment="1">
      <alignment horizontal="center" vertical="center"/>
    </xf>
    <xf numFmtId="0" fontId="10" fillId="6" borderId="14" xfId="1" applyFont="1" applyFill="1" applyBorder="1" applyAlignment="1">
      <alignment horizontal="center" vertical="center"/>
    </xf>
    <xf numFmtId="0" fontId="10" fillId="6" borderId="7" xfId="1" applyFont="1" applyFill="1" applyBorder="1" applyAlignment="1">
      <alignment horizontal="center" vertical="center"/>
    </xf>
    <xf numFmtId="0" fontId="10" fillId="6" borderId="41" xfId="1" applyFont="1" applyFill="1" applyBorder="1" applyAlignment="1">
      <alignment horizontal="center" vertical="center"/>
    </xf>
    <xf numFmtId="0" fontId="10" fillId="6" borderId="8" xfId="1" applyFont="1" applyFill="1" applyBorder="1" applyAlignment="1">
      <alignment horizontal="center" vertical="center"/>
    </xf>
    <xf numFmtId="0" fontId="16" fillId="6" borderId="42" xfId="1" applyFont="1" applyFill="1" applyBorder="1" applyAlignment="1">
      <alignment vertical="top" textRotation="255" shrinkToFit="1"/>
    </xf>
    <xf numFmtId="0" fontId="16" fillId="6" borderId="14" xfId="1" applyFont="1" applyFill="1" applyBorder="1" applyAlignment="1">
      <alignment horizontal="left"/>
    </xf>
    <xf numFmtId="0" fontId="16" fillId="6" borderId="8" xfId="1" applyFont="1" applyFill="1" applyBorder="1" applyAlignment="1">
      <alignment horizontal="center"/>
    </xf>
    <xf numFmtId="0" fontId="10" fillId="3" borderId="1" xfId="1" applyFont="1" applyFill="1" applyBorder="1" applyAlignment="1">
      <alignment horizontal="center" vertical="center"/>
    </xf>
    <xf numFmtId="0" fontId="10" fillId="3" borderId="43" xfId="1" applyFont="1" applyFill="1" applyBorder="1" applyAlignment="1">
      <alignment horizontal="center" vertical="center"/>
    </xf>
    <xf numFmtId="0" fontId="18" fillId="3" borderId="30" xfId="1" applyFont="1" applyFill="1" applyBorder="1" applyAlignment="1">
      <alignment horizontal="right" vertical="top" wrapText="1" shrinkToFit="1"/>
    </xf>
    <xf numFmtId="2" fontId="44" fillId="3" borderId="37" xfId="1" applyNumberFormat="1" applyFont="1" applyFill="1" applyBorder="1" applyAlignment="1">
      <alignment horizontal="center" vertical="center" shrinkToFit="1"/>
    </xf>
    <xf numFmtId="0" fontId="18" fillId="3" borderId="38" xfId="1" applyFont="1" applyFill="1" applyBorder="1" applyAlignment="1">
      <alignment horizontal="right" vertical="top" wrapText="1" shrinkToFit="1"/>
    </xf>
    <xf numFmtId="2" fontId="44" fillId="3" borderId="30" xfId="1" applyNumberFormat="1" applyFont="1" applyFill="1" applyBorder="1" applyAlignment="1">
      <alignment horizontal="center" vertical="center" shrinkToFit="1"/>
    </xf>
    <xf numFmtId="2" fontId="44" fillId="3" borderId="49" xfId="1" applyNumberFormat="1" applyFont="1" applyFill="1" applyBorder="1" applyAlignment="1">
      <alignment horizontal="center" vertical="center" shrinkToFit="1"/>
    </xf>
    <xf numFmtId="0" fontId="10" fillId="3" borderId="4" xfId="1" applyFont="1" applyFill="1" applyBorder="1" applyAlignment="1">
      <alignment horizontal="center" vertical="center"/>
    </xf>
    <xf numFmtId="0" fontId="10" fillId="3" borderId="52" xfId="1" applyFont="1" applyFill="1" applyBorder="1" applyAlignment="1">
      <alignment horizontal="center" vertical="center"/>
    </xf>
    <xf numFmtId="0" fontId="10" fillId="3" borderId="9" xfId="1" applyFont="1" applyFill="1" applyBorder="1" applyAlignment="1">
      <alignment horizontal="center" vertical="center"/>
    </xf>
    <xf numFmtId="0" fontId="10" fillId="3" borderId="14" xfId="1" applyFont="1" applyFill="1" applyBorder="1" applyAlignment="1">
      <alignment horizontal="center" vertical="center"/>
    </xf>
    <xf numFmtId="0" fontId="10" fillId="3" borderId="7" xfId="1" applyFont="1" applyFill="1" applyBorder="1" applyAlignment="1">
      <alignment horizontal="center" vertical="center"/>
    </xf>
    <xf numFmtId="0" fontId="10" fillId="3" borderId="41" xfId="1" applyFont="1" applyFill="1" applyBorder="1" applyAlignment="1">
      <alignment horizontal="center" vertical="center"/>
    </xf>
    <xf numFmtId="0" fontId="10" fillId="3" borderId="8" xfId="1" applyFont="1" applyFill="1" applyBorder="1" applyAlignment="1">
      <alignment horizontal="center" vertical="center"/>
    </xf>
    <xf numFmtId="0" fontId="16" fillId="3" borderId="42" xfId="1" applyFont="1" applyFill="1" applyBorder="1" applyAlignment="1">
      <alignment vertical="top" textRotation="255" shrinkToFit="1"/>
    </xf>
    <xf numFmtId="0" fontId="16" fillId="3" borderId="14" xfId="1" applyFont="1" applyFill="1" applyBorder="1" applyAlignment="1">
      <alignment horizontal="left"/>
    </xf>
    <xf numFmtId="0" fontId="16" fillId="3" borderId="8" xfId="1" applyFont="1" applyFill="1" applyBorder="1" applyAlignment="1">
      <alignment horizontal="center"/>
    </xf>
    <xf numFmtId="0" fontId="16" fillId="5" borderId="11" xfId="1" applyFont="1" applyFill="1" applyBorder="1" applyAlignment="1">
      <alignment wrapText="1"/>
    </xf>
    <xf numFmtId="4" fontId="39" fillId="0" borderId="12" xfId="1" applyNumberFormat="1" applyFont="1" applyBorder="1"/>
    <xf numFmtId="0" fontId="17" fillId="0" borderId="46" xfId="1" applyFont="1" applyBorder="1"/>
    <xf numFmtId="0" fontId="17" fillId="0" borderId="48" xfId="1" applyFont="1" applyBorder="1" applyAlignment="1">
      <alignment horizontal="left"/>
    </xf>
    <xf numFmtId="0" fontId="17" fillId="0" borderId="45" xfId="1" applyFont="1" applyBorder="1" applyAlignment="1">
      <alignment horizontal="left"/>
    </xf>
    <xf numFmtId="0" fontId="17" fillId="0" borderId="46" xfId="1" applyFont="1" applyBorder="1" applyAlignment="1">
      <alignment horizontal="left"/>
    </xf>
    <xf numFmtId="4" fontId="17" fillId="0" borderId="46" xfId="1" applyNumberFormat="1" applyFont="1" applyBorder="1"/>
    <xf numFmtId="4" fontId="10" fillId="0" borderId="12" xfId="1" applyNumberFormat="1" applyFont="1" applyFill="1" applyBorder="1" applyAlignment="1">
      <alignment horizontal="right"/>
    </xf>
    <xf numFmtId="0" fontId="46" fillId="0" borderId="0" xfId="0" applyFont="1"/>
    <xf numFmtId="0" fontId="46" fillId="0" borderId="8" xfId="0" applyFont="1" applyBorder="1" applyAlignment="1">
      <alignment horizontal="left"/>
    </xf>
    <xf numFmtId="0" fontId="46" fillId="0" borderId="0" xfId="0" applyFont="1" applyBorder="1"/>
    <xf numFmtId="2" fontId="10" fillId="0" borderId="12" xfId="0" applyNumberFormat="1" applyFont="1" applyBorder="1" applyAlignment="1">
      <alignment horizontal="right" vertical="center"/>
    </xf>
    <xf numFmtId="43" fontId="10" fillId="7" borderId="10" xfId="0" applyNumberFormat="1" applyFont="1" applyFill="1" applyBorder="1" applyAlignment="1">
      <alignment horizontal="right" vertical="center" wrapText="1"/>
    </xf>
    <xf numFmtId="43" fontId="10" fillId="7" borderId="12" xfId="0" applyNumberFormat="1" applyFont="1" applyFill="1" applyBorder="1" applyAlignment="1">
      <alignment horizontal="right" vertical="center" wrapText="1"/>
    </xf>
    <xf numFmtId="0" fontId="0" fillId="7" borderId="14" xfId="0" applyFont="1" applyFill="1" applyBorder="1" applyAlignment="1">
      <alignment vertical="center"/>
    </xf>
    <xf numFmtId="0" fontId="0" fillId="7" borderId="14" xfId="0" applyFont="1" applyFill="1" applyBorder="1"/>
    <xf numFmtId="0" fontId="0" fillId="7" borderId="12" xfId="0" applyFont="1" applyFill="1" applyBorder="1"/>
    <xf numFmtId="0" fontId="0" fillId="7" borderId="10" xfId="0" applyFont="1" applyFill="1" applyBorder="1"/>
    <xf numFmtId="0" fontId="0" fillId="7" borderId="13" xfId="0" applyFont="1" applyFill="1" applyBorder="1"/>
    <xf numFmtId="0" fontId="0" fillId="7" borderId="0" xfId="0" applyFont="1" applyFill="1"/>
    <xf numFmtId="0" fontId="46" fillId="7" borderId="0" xfId="0" applyFont="1" applyFill="1"/>
    <xf numFmtId="4" fontId="0" fillId="7" borderId="0" xfId="0" applyNumberFormat="1" applyFont="1" applyFill="1"/>
    <xf numFmtId="164" fontId="0" fillId="7" borderId="0" xfId="0" applyNumberFormat="1" applyFont="1" applyFill="1"/>
    <xf numFmtId="0" fontId="16" fillId="7" borderId="0" xfId="0" applyFont="1" applyFill="1" applyAlignment="1">
      <alignment vertical="center"/>
    </xf>
    <xf numFmtId="0" fontId="17" fillId="7" borderId="0" xfId="0" applyFont="1" applyFill="1" applyAlignment="1">
      <alignment vertical="center"/>
    </xf>
    <xf numFmtId="0" fontId="10" fillId="7" borderId="0" xfId="0" applyFont="1" applyFill="1" applyAlignment="1">
      <alignment vertical="center"/>
    </xf>
    <xf numFmtId="0" fontId="9" fillId="7" borderId="0" xfId="0" applyFont="1" applyFill="1"/>
    <xf numFmtId="0" fontId="0" fillId="7" borderId="24" xfId="0" applyFont="1" applyFill="1" applyBorder="1" applyAlignment="1">
      <alignment vertical="center"/>
    </xf>
    <xf numFmtId="2" fontId="0" fillId="7" borderId="26" xfId="0" applyNumberFormat="1" applyFont="1" applyFill="1" applyBorder="1" applyAlignment="1">
      <alignment vertical="center"/>
    </xf>
    <xf numFmtId="4" fontId="10" fillId="7" borderId="0" xfId="0" applyNumberFormat="1" applyFont="1" applyFill="1" applyAlignment="1">
      <alignment vertical="center"/>
    </xf>
    <xf numFmtId="0" fontId="0" fillId="7" borderId="0" xfId="0" applyFont="1" applyFill="1" applyBorder="1"/>
    <xf numFmtId="0" fontId="0" fillId="7" borderId="23" xfId="0" applyFont="1" applyFill="1" applyBorder="1"/>
    <xf numFmtId="0" fontId="0" fillId="7" borderId="8" xfId="0" applyFont="1" applyFill="1" applyBorder="1"/>
    <xf numFmtId="0" fontId="0" fillId="7" borderId="9" xfId="0" applyFont="1" applyFill="1" applyBorder="1"/>
    <xf numFmtId="0" fontId="0" fillId="7" borderId="0" xfId="0" applyFont="1" applyFill="1" applyAlignment="1">
      <alignment horizontal="center"/>
    </xf>
    <xf numFmtId="0" fontId="0" fillId="7" borderId="0" xfId="0" applyFont="1" applyFill="1" applyAlignment="1">
      <alignment horizontal="center" vertical="center"/>
    </xf>
    <xf numFmtId="0" fontId="0" fillId="7" borderId="7" xfId="0" applyFont="1" applyFill="1" applyBorder="1"/>
    <xf numFmtId="0" fontId="0" fillId="7" borderId="1" xfId="0" applyFont="1" applyFill="1" applyBorder="1"/>
    <xf numFmtId="0" fontId="0" fillId="7" borderId="2" xfId="0" applyFont="1" applyFill="1" applyBorder="1"/>
    <xf numFmtId="0" fontId="0" fillId="7" borderId="3" xfId="0" applyFont="1" applyFill="1" applyBorder="1"/>
    <xf numFmtId="0" fontId="0" fillId="7" borderId="11" xfId="0" applyFont="1" applyFill="1" applyBorder="1"/>
    <xf numFmtId="4" fontId="0" fillId="7" borderId="12" xfId="0" applyNumberFormat="1" applyFont="1" applyFill="1" applyBorder="1"/>
    <xf numFmtId="0" fontId="0" fillId="7" borderId="0" xfId="0" applyFont="1" applyFill="1" applyAlignment="1">
      <alignment vertical="center"/>
    </xf>
    <xf numFmtId="0" fontId="20" fillId="7" borderId="7" xfId="0" applyFont="1" applyFill="1" applyBorder="1" applyAlignment="1">
      <alignment vertical="center"/>
    </xf>
    <xf numFmtId="0" fontId="0" fillId="7" borderId="8" xfId="0" applyFont="1" applyFill="1" applyBorder="1" applyAlignment="1">
      <alignment vertical="center"/>
    </xf>
    <xf numFmtId="0" fontId="0" fillId="7" borderId="9" xfId="0" applyFont="1" applyFill="1" applyBorder="1" applyAlignment="1">
      <alignment horizontal="right" vertical="center"/>
    </xf>
    <xf numFmtId="4" fontId="0" fillId="7" borderId="14" xfId="0" applyNumberFormat="1" applyFont="1" applyFill="1" applyBorder="1" applyAlignment="1">
      <alignment vertical="center"/>
    </xf>
    <xf numFmtId="0" fontId="0" fillId="7" borderId="14" xfId="0" applyFont="1" applyFill="1" applyBorder="1" applyAlignment="1">
      <alignment horizontal="right" vertical="center"/>
    </xf>
    <xf numFmtId="0" fontId="0" fillId="7" borderId="4" xfId="0" applyFont="1" applyFill="1" applyBorder="1"/>
    <xf numFmtId="0" fontId="0" fillId="7" borderId="5" xfId="0" applyFont="1" applyFill="1" applyBorder="1"/>
    <xf numFmtId="4" fontId="0" fillId="7" borderId="10" xfId="0" applyNumberFormat="1" applyFont="1" applyFill="1" applyBorder="1"/>
    <xf numFmtId="0" fontId="31" fillId="7" borderId="0" xfId="0" applyFont="1" applyFill="1" applyBorder="1" applyAlignment="1">
      <alignment horizontal="right"/>
    </xf>
    <xf numFmtId="4" fontId="31" fillId="7" borderId="12" xfId="0" applyNumberFormat="1" applyFont="1" applyFill="1" applyBorder="1"/>
    <xf numFmtId="4" fontId="0" fillId="7" borderId="13" xfId="0" applyNumberFormat="1" applyFont="1" applyFill="1" applyBorder="1"/>
    <xf numFmtId="0" fontId="0" fillId="7" borderId="0" xfId="0" applyFill="1"/>
    <xf numFmtId="43" fontId="47" fillId="0" borderId="12" xfId="0" applyNumberFormat="1" applyFont="1" applyFill="1" applyBorder="1" applyAlignment="1">
      <alignment horizontal="right" vertical="center" wrapText="1"/>
    </xf>
    <xf numFmtId="0" fontId="10" fillId="0" borderId="1" xfId="0" applyFont="1" applyFill="1" applyBorder="1" applyAlignment="1">
      <alignment vertical="center"/>
    </xf>
    <xf numFmtId="0" fontId="10" fillId="0" borderId="2" xfId="0" applyFont="1" applyFill="1" applyBorder="1" applyAlignment="1">
      <alignment vertical="center"/>
    </xf>
    <xf numFmtId="0" fontId="0" fillId="0" borderId="0" xfId="0" applyFont="1" applyFill="1" applyBorder="1"/>
    <xf numFmtId="0" fontId="0" fillId="0" borderId="23" xfId="0" applyFont="1" applyFill="1" applyBorder="1"/>
    <xf numFmtId="3" fontId="10" fillId="0" borderId="10" xfId="0" applyNumberFormat="1" applyFont="1" applyFill="1" applyBorder="1" applyAlignment="1">
      <alignment vertical="center"/>
    </xf>
    <xf numFmtId="0" fontId="0" fillId="0" borderId="8" xfId="0" applyFont="1" applyFill="1" applyBorder="1"/>
    <xf numFmtId="3" fontId="10" fillId="0" borderId="14" xfId="0" applyNumberFormat="1" applyFont="1" applyFill="1" applyBorder="1" applyAlignment="1">
      <alignment vertical="center"/>
    </xf>
    <xf numFmtId="4" fontId="39" fillId="0" borderId="12" xfId="1" applyNumberFormat="1" applyFont="1" applyFill="1" applyBorder="1" applyAlignment="1">
      <alignment horizontal="center" vertical="center"/>
    </xf>
    <xf numFmtId="4" fontId="45" fillId="0" borderId="23" xfId="1" applyNumberFormat="1" applyFont="1" applyFill="1" applyBorder="1" applyAlignment="1">
      <alignment horizontal="center" vertical="center"/>
    </xf>
    <xf numFmtId="4" fontId="39" fillId="0" borderId="12" xfId="1" applyNumberFormat="1" applyFont="1" applyFill="1" applyBorder="1" applyAlignment="1">
      <alignment horizontal="right" vertical="center"/>
    </xf>
    <xf numFmtId="4" fontId="45" fillId="0" borderId="12" xfId="1" applyNumberFormat="1" applyFont="1" applyFill="1" applyBorder="1" applyAlignment="1">
      <alignment horizontal="center" vertical="center"/>
    </xf>
    <xf numFmtId="0" fontId="0" fillId="0" borderId="12" xfId="0" applyFont="1" applyFill="1" applyBorder="1"/>
    <xf numFmtId="0" fontId="0" fillId="0" borderId="9" xfId="0" applyFont="1" applyFill="1" applyBorder="1" applyAlignment="1">
      <alignment horizontal="right"/>
    </xf>
    <xf numFmtId="4" fontId="0" fillId="0" borderId="14" xfId="0" applyNumberFormat="1" applyFont="1" applyFill="1" applyBorder="1"/>
    <xf numFmtId="0" fontId="0" fillId="0" borderId="14" xfId="0" applyFont="1" applyFill="1" applyBorder="1"/>
    <xf numFmtId="0" fontId="0" fillId="0" borderId="14" xfId="0" applyFont="1" applyFill="1" applyBorder="1" applyAlignment="1">
      <alignment horizontal="right"/>
    </xf>
    <xf numFmtId="0" fontId="0" fillId="0" borderId="5" xfId="0" applyFont="1" applyFill="1" applyBorder="1"/>
    <xf numFmtId="0" fontId="0" fillId="0" borderId="6" xfId="0" applyFont="1" applyFill="1" applyBorder="1"/>
    <xf numFmtId="4" fontId="14" fillId="0" borderId="12" xfId="1" applyNumberFormat="1" applyFont="1" applyFill="1" applyBorder="1" applyAlignment="1">
      <alignment horizontal="center" vertical="center"/>
    </xf>
    <xf numFmtId="0" fontId="0" fillId="0" borderId="8" xfId="0" applyFill="1" applyBorder="1"/>
    <xf numFmtId="0" fontId="0" fillId="0" borderId="9" xfId="0" applyFill="1" applyBorder="1" applyAlignment="1">
      <alignment horizontal="right"/>
    </xf>
    <xf numFmtId="4" fontId="0" fillId="0" borderId="14" xfId="0" applyNumberFormat="1" applyFill="1" applyBorder="1"/>
    <xf numFmtId="0" fontId="0" fillId="0" borderId="14" xfId="0" applyFill="1" applyBorder="1"/>
    <xf numFmtId="0" fontId="0" fillId="0" borderId="14" xfId="0" applyFill="1" applyBorder="1" applyAlignment="1">
      <alignment horizontal="right"/>
    </xf>
    <xf numFmtId="0" fontId="38" fillId="7" borderId="1" xfId="0" applyNumberFormat="1" applyFont="1" applyFill="1" applyBorder="1" applyAlignment="1">
      <alignment horizontal="center" vertical="center"/>
    </xf>
    <xf numFmtId="0" fontId="17" fillId="7" borderId="2" xfId="1" applyFont="1" applyFill="1" applyBorder="1" applyAlignment="1">
      <alignment horizontal="left"/>
    </xf>
    <xf numFmtId="0" fontId="12" fillId="7" borderId="2" xfId="0" applyFont="1" applyFill="1" applyBorder="1" applyAlignment="1">
      <alignment horizontal="center" vertical="center"/>
    </xf>
    <xf numFmtId="0" fontId="10" fillId="7" borderId="2" xfId="0" applyFont="1" applyFill="1" applyBorder="1" applyAlignment="1">
      <alignment horizontal="center" vertical="center"/>
    </xf>
    <xf numFmtId="43" fontId="10" fillId="7" borderId="2" xfId="0" applyNumberFormat="1" applyFont="1" applyFill="1" applyBorder="1" applyAlignment="1">
      <alignment horizontal="right" vertical="center" wrapText="1"/>
    </xf>
    <xf numFmtId="4" fontId="10" fillId="7" borderId="3" xfId="0" applyNumberFormat="1" applyFont="1" applyFill="1" applyBorder="1" applyAlignment="1">
      <alignment horizontal="right" vertical="center" wrapText="1"/>
    </xf>
    <xf numFmtId="0" fontId="38" fillId="7" borderId="11" xfId="0" applyNumberFormat="1" applyFont="1" applyFill="1" applyBorder="1" applyAlignment="1">
      <alignment horizontal="center" vertical="center"/>
    </xf>
    <xf numFmtId="0" fontId="27" fillId="7" borderId="0" xfId="1" applyFont="1" applyFill="1" applyBorder="1" applyAlignment="1">
      <alignment horizontal="left"/>
    </xf>
    <xf numFmtId="0" fontId="12" fillId="7" borderId="0" xfId="0" applyFont="1" applyFill="1" applyBorder="1" applyAlignment="1">
      <alignment horizontal="center" vertical="center"/>
    </xf>
    <xf numFmtId="0" fontId="10" fillId="7" borderId="0" xfId="0" applyFont="1" applyFill="1" applyBorder="1" applyAlignment="1">
      <alignment horizontal="center" vertical="center"/>
    </xf>
    <xf numFmtId="43" fontId="10" fillId="7" borderId="0" xfId="0" applyNumberFormat="1" applyFont="1" applyFill="1" applyBorder="1" applyAlignment="1">
      <alignment horizontal="right" vertical="center" wrapText="1"/>
    </xf>
    <xf numFmtId="4" fontId="10" fillId="7" borderId="23" xfId="0" applyNumberFormat="1" applyFont="1" applyFill="1" applyBorder="1" applyAlignment="1">
      <alignment horizontal="right" vertical="center" wrapText="1"/>
    </xf>
    <xf numFmtId="4" fontId="18" fillId="7" borderId="23" xfId="0" applyNumberFormat="1" applyFont="1" applyFill="1" applyBorder="1" applyAlignment="1">
      <alignment horizontal="right" vertical="center" wrapText="1"/>
    </xf>
    <xf numFmtId="0" fontId="0" fillId="7" borderId="4" xfId="0" applyFont="1" applyFill="1" applyBorder="1" applyAlignment="1">
      <alignment vertical="center"/>
    </xf>
    <xf numFmtId="0" fontId="0" fillId="7" borderId="5" xfId="0" applyFont="1" applyFill="1" applyBorder="1" applyAlignment="1">
      <alignment vertical="center"/>
    </xf>
    <xf numFmtId="0" fontId="20" fillId="7" borderId="7" xfId="0" applyFont="1" applyFill="1" applyBorder="1" applyAlignment="1">
      <alignment horizontal="left" vertical="center"/>
    </xf>
    <xf numFmtId="0" fontId="46" fillId="7" borderId="8" xfId="0" applyFont="1" applyFill="1" applyBorder="1" applyAlignment="1">
      <alignment horizontal="left" vertical="center"/>
    </xf>
    <xf numFmtId="0" fontId="0" fillId="7" borderId="9" xfId="0" applyFont="1" applyFill="1" applyBorder="1" applyAlignment="1">
      <alignment vertical="center"/>
    </xf>
    <xf numFmtId="4" fontId="30" fillId="7" borderId="9" xfId="0" applyNumberFormat="1" applyFont="1" applyFill="1" applyBorder="1" applyAlignment="1">
      <alignment vertical="center"/>
    </xf>
    <xf numFmtId="0" fontId="46" fillId="7" borderId="8" xfId="0" applyFont="1" applyFill="1" applyBorder="1"/>
    <xf numFmtId="4" fontId="0" fillId="7" borderId="9" xfId="0" applyNumberFormat="1" applyFont="1" applyFill="1" applyBorder="1"/>
    <xf numFmtId="0" fontId="46" fillId="7" borderId="2" xfId="0" applyFont="1" applyFill="1" applyBorder="1"/>
    <xf numFmtId="0" fontId="46" fillId="7" borderId="0" xfId="0" applyFont="1" applyFill="1" applyBorder="1"/>
    <xf numFmtId="0" fontId="46" fillId="7" borderId="5" xfId="0" applyFont="1" applyFill="1" applyBorder="1"/>
    <xf numFmtId="0" fontId="19" fillId="2" borderId="8" xfId="0" applyNumberFormat="1" applyFont="1" applyFill="1" applyBorder="1" applyAlignment="1">
      <alignment horizontal="center" vertical="center"/>
    </xf>
    <xf numFmtId="0" fontId="19" fillId="2" borderId="9" xfId="0" applyNumberFormat="1" applyFont="1" applyFill="1" applyBorder="1" applyAlignment="1">
      <alignment horizontal="center" vertical="center"/>
    </xf>
    <xf numFmtId="0" fontId="0" fillId="7" borderId="0" xfId="0" applyFont="1" applyFill="1"/>
    <xf numFmtId="0" fontId="19" fillId="2" borderId="7" xfId="0" applyNumberFormat="1" applyFont="1" applyFill="1" applyBorder="1" applyAlignment="1">
      <alignment horizontal="center" vertical="center"/>
    </xf>
    <xf numFmtId="4" fontId="0" fillId="7" borderId="0" xfId="0" applyNumberFormat="1" applyFont="1" applyFill="1" applyAlignment="1">
      <alignment horizontal="center" vertical="center"/>
    </xf>
    <xf numFmtId="4" fontId="10" fillId="0" borderId="13" xfId="1" applyNumberFormat="1" applyFont="1" applyFill="1" applyBorder="1"/>
    <xf numFmtId="4" fontId="10" fillId="0" borderId="10" xfId="1" applyNumberFormat="1" applyFont="1" applyFill="1" applyBorder="1"/>
    <xf numFmtId="0" fontId="0" fillId="2" borderId="10" xfId="0" applyFont="1" applyFill="1" applyBorder="1"/>
    <xf numFmtId="0" fontId="0" fillId="0" borderId="10" xfId="0" applyFont="1" applyFill="1" applyBorder="1"/>
    <xf numFmtId="0" fontId="0" fillId="0" borderId="13" xfId="0" applyFont="1" applyFill="1" applyBorder="1"/>
    <xf numFmtId="4" fontId="13" fillId="0" borderId="13" xfId="1" applyNumberFormat="1" applyFont="1" applyFill="1" applyBorder="1"/>
    <xf numFmtId="165" fontId="10" fillId="0" borderId="44" xfId="1" applyNumberFormat="1" applyFont="1" applyBorder="1"/>
    <xf numFmtId="165" fontId="10" fillId="0" borderId="12" xfId="1" applyNumberFormat="1" applyFont="1" applyBorder="1"/>
    <xf numFmtId="4" fontId="16" fillId="0" borderId="1" xfId="1" applyNumberFormat="1" applyFont="1" applyBorder="1" applyAlignment="1">
      <alignment horizontal="center"/>
    </xf>
    <xf numFmtId="0" fontId="10" fillId="8" borderId="1" xfId="1" applyFont="1" applyFill="1" applyBorder="1" applyAlignment="1">
      <alignment horizontal="center" vertical="center"/>
    </xf>
    <xf numFmtId="0" fontId="10" fillId="8" borderId="43" xfId="1" applyFont="1" applyFill="1" applyBorder="1" applyAlignment="1">
      <alignment horizontal="center" vertical="center"/>
    </xf>
    <xf numFmtId="0" fontId="18" fillId="8" borderId="30" xfId="1" applyFont="1" applyFill="1" applyBorder="1" applyAlignment="1">
      <alignment horizontal="right" vertical="top" wrapText="1" shrinkToFit="1"/>
    </xf>
    <xf numFmtId="2" fontId="44" fillId="8" borderId="37" xfId="1" applyNumberFormat="1" applyFont="1" applyFill="1" applyBorder="1" applyAlignment="1">
      <alignment horizontal="center" vertical="center" shrinkToFit="1"/>
    </xf>
    <xf numFmtId="0" fontId="18" fillId="8" borderId="38" xfId="1" applyFont="1" applyFill="1" applyBorder="1" applyAlignment="1">
      <alignment horizontal="right" vertical="top" wrapText="1" shrinkToFit="1"/>
    </xf>
    <xf numFmtId="2" fontId="44" fillId="8" borderId="30" xfId="1" applyNumberFormat="1" applyFont="1" applyFill="1" applyBorder="1" applyAlignment="1">
      <alignment horizontal="center" vertical="center" shrinkToFit="1"/>
    </xf>
    <xf numFmtId="2" fontId="44" fillId="8" borderId="49" xfId="1" applyNumberFormat="1" applyFont="1" applyFill="1" applyBorder="1" applyAlignment="1">
      <alignment horizontal="center" vertical="center" shrinkToFit="1"/>
    </xf>
    <xf numFmtId="0" fontId="10" fillId="8" borderId="4" xfId="1" applyFont="1" applyFill="1" applyBorder="1" applyAlignment="1">
      <alignment horizontal="center" vertical="center"/>
    </xf>
    <xf numFmtId="0" fontId="10" fillId="8" borderId="52" xfId="1" applyFont="1" applyFill="1" applyBorder="1" applyAlignment="1">
      <alignment horizontal="center" vertical="center"/>
    </xf>
    <xf numFmtId="0" fontId="10" fillId="8" borderId="9" xfId="1" applyFont="1" applyFill="1" applyBorder="1" applyAlignment="1">
      <alignment horizontal="center" vertical="center"/>
    </xf>
    <xf numFmtId="0" fontId="10" fillId="8" borderId="14" xfId="1" applyFont="1" applyFill="1" applyBorder="1" applyAlignment="1">
      <alignment horizontal="center" vertical="center"/>
    </xf>
    <xf numFmtId="0" fontId="10" fillId="8" borderId="7" xfId="1" applyFont="1" applyFill="1" applyBorder="1" applyAlignment="1">
      <alignment horizontal="center" vertical="center"/>
    </xf>
    <xf numFmtId="0" fontId="10" fillId="8" borderId="41" xfId="1" applyFont="1" applyFill="1" applyBorder="1" applyAlignment="1">
      <alignment horizontal="center" vertical="center"/>
    </xf>
    <xf numFmtId="0" fontId="10" fillId="8" borderId="8" xfId="1" applyFont="1" applyFill="1" applyBorder="1" applyAlignment="1">
      <alignment horizontal="center" vertical="center"/>
    </xf>
    <xf numFmtId="0" fontId="16" fillId="8" borderId="42" xfId="1" applyFont="1" applyFill="1" applyBorder="1" applyAlignment="1">
      <alignment vertical="top" textRotation="255" shrinkToFit="1"/>
    </xf>
    <xf numFmtId="0" fontId="16" fillId="8" borderId="14" xfId="1" applyFont="1" applyFill="1" applyBorder="1" applyAlignment="1">
      <alignment horizontal="left"/>
    </xf>
    <xf numFmtId="0" fontId="16" fillId="8" borderId="8" xfId="1" applyFont="1" applyFill="1" applyBorder="1" applyAlignment="1">
      <alignment horizontal="center"/>
    </xf>
    <xf numFmtId="0" fontId="16" fillId="8" borderId="45" xfId="1" applyFont="1" applyFill="1" applyBorder="1" applyAlignment="1">
      <alignment vertical="top" textRotation="255" shrinkToFit="1"/>
    </xf>
    <xf numFmtId="0" fontId="16" fillId="0" borderId="46" xfId="1" applyFont="1" applyBorder="1" applyAlignment="1">
      <alignment wrapText="1"/>
    </xf>
    <xf numFmtId="0" fontId="12" fillId="0" borderId="45" xfId="1" applyFont="1" applyBorder="1" applyAlignment="1">
      <alignment horizontal="center" vertical="center"/>
    </xf>
    <xf numFmtId="0" fontId="10" fillId="0" borderId="46" xfId="1" applyFont="1" applyBorder="1" applyAlignment="1">
      <alignment horizontal="center" vertical="center"/>
    </xf>
    <xf numFmtId="4" fontId="10" fillId="0" borderId="46" xfId="1" applyNumberFormat="1" applyFont="1" applyBorder="1"/>
    <xf numFmtId="4" fontId="10" fillId="0" borderId="47" xfId="1" applyNumberFormat="1" applyFont="1" applyBorder="1"/>
    <xf numFmtId="4" fontId="39" fillId="0" borderId="45" xfId="1" applyNumberFormat="1" applyFont="1" applyBorder="1" applyAlignment="1">
      <alignment horizontal="center" vertical="center"/>
    </xf>
    <xf numFmtId="4" fontId="10" fillId="0" borderId="48" xfId="1" applyNumberFormat="1" applyFont="1" applyBorder="1"/>
    <xf numFmtId="4" fontId="10" fillId="0" borderId="36" xfId="1" applyNumberFormat="1" applyFont="1" applyBorder="1"/>
    <xf numFmtId="43" fontId="12" fillId="0" borderId="12" xfId="0" applyNumberFormat="1" applyFont="1" applyFill="1" applyBorder="1" applyAlignment="1">
      <alignment horizontal="right" vertical="center" wrapText="1"/>
    </xf>
    <xf numFmtId="43" fontId="49" fillId="0" borderId="12" xfId="0" applyNumberFormat="1" applyFont="1" applyFill="1" applyBorder="1" applyAlignment="1">
      <alignment horizontal="right" vertical="center" wrapText="1"/>
    </xf>
    <xf numFmtId="0" fontId="0" fillId="7" borderId="0" xfId="0" applyFont="1" applyFill="1"/>
    <xf numFmtId="0" fontId="10" fillId="0" borderId="11" xfId="1" quotePrefix="1" applyFont="1" applyBorder="1" applyAlignment="1">
      <alignment horizontal="left" wrapText="1"/>
    </xf>
    <xf numFmtId="0" fontId="10" fillId="0" borderId="11" xfId="1" quotePrefix="1" applyFont="1" applyBorder="1" applyAlignment="1">
      <alignment horizontal="left" vertical="center" wrapText="1"/>
    </xf>
    <xf numFmtId="0" fontId="0" fillId="7" borderId="0" xfId="0" applyFont="1" applyFill="1"/>
    <xf numFmtId="0" fontId="40" fillId="2" borderId="27" xfId="1" applyFont="1" applyFill="1" applyBorder="1" applyAlignment="1">
      <alignment horizontal="justify" vertical="center"/>
    </xf>
    <xf numFmtId="0" fontId="40" fillId="2" borderId="28" xfId="1" applyFont="1" applyFill="1" applyBorder="1" applyAlignment="1">
      <alignment horizontal="justify" vertical="center"/>
    </xf>
    <xf numFmtId="0" fontId="40" fillId="2" borderId="32" xfId="1" applyFont="1" applyFill="1" applyBorder="1" applyAlignment="1">
      <alignment horizontal="justify" vertical="center"/>
    </xf>
    <xf numFmtId="0" fontId="40" fillId="2" borderId="33" xfId="1" applyFont="1" applyFill="1" applyBorder="1" applyAlignment="1">
      <alignment horizontal="justify" vertical="center"/>
    </xf>
    <xf numFmtId="0" fontId="41" fillId="4" borderId="30" xfId="1" applyFont="1" applyFill="1" applyBorder="1" applyAlignment="1">
      <alignment vertical="center"/>
    </xf>
    <xf numFmtId="0" fontId="10" fillId="4" borderId="40" xfId="1" applyFont="1" applyFill="1" applyBorder="1" applyAlignment="1">
      <alignment vertical="center" wrapText="1"/>
    </xf>
    <xf numFmtId="0" fontId="10" fillId="6" borderId="40" xfId="1" applyFont="1" applyFill="1" applyBorder="1" applyAlignment="1">
      <alignment vertical="center" wrapText="1"/>
    </xf>
    <xf numFmtId="0" fontId="41" fillId="4" borderId="27" xfId="1" applyFont="1" applyFill="1" applyBorder="1" applyAlignment="1">
      <alignment vertical="center"/>
    </xf>
    <xf numFmtId="0" fontId="10" fillId="4" borderId="42" xfId="1" applyFont="1" applyFill="1" applyBorder="1" applyAlignment="1">
      <alignment vertical="center" wrapText="1"/>
    </xf>
    <xf numFmtId="0" fontId="10" fillId="6" borderId="42" xfId="1" applyFont="1" applyFill="1" applyBorder="1" applyAlignment="1">
      <alignment vertical="center" wrapText="1"/>
    </xf>
    <xf numFmtId="0" fontId="41" fillId="6" borderId="27" xfId="1" applyFont="1" applyFill="1" applyBorder="1" applyAlignment="1">
      <alignment vertical="center"/>
    </xf>
    <xf numFmtId="0" fontId="41" fillId="6" borderId="30" xfId="1" applyFont="1" applyFill="1" applyBorder="1" applyAlignment="1">
      <alignment vertical="center"/>
    </xf>
    <xf numFmtId="0" fontId="41" fillId="3" borderId="29" xfId="1" applyFont="1" applyFill="1" applyBorder="1" applyAlignment="1">
      <alignment vertical="center"/>
    </xf>
    <xf numFmtId="0" fontId="41" fillId="3" borderId="30" xfId="1" applyFont="1" applyFill="1" applyBorder="1" applyAlignment="1">
      <alignment vertical="center"/>
    </xf>
    <xf numFmtId="0" fontId="10" fillId="3" borderId="39" xfId="1" applyFont="1" applyFill="1" applyBorder="1" applyAlignment="1">
      <alignment vertical="center" wrapText="1"/>
    </xf>
    <xf numFmtId="0" fontId="10" fillId="3" borderId="40" xfId="1" applyFont="1" applyFill="1" applyBorder="1" applyAlignment="1">
      <alignment vertical="center" wrapText="1"/>
    </xf>
    <xf numFmtId="0" fontId="41" fillId="8" borderId="30" xfId="1" applyFont="1" applyFill="1" applyBorder="1" applyAlignment="1">
      <alignment vertical="center"/>
    </xf>
    <xf numFmtId="0" fontId="10" fillId="8" borderId="40" xfId="1" applyFont="1" applyFill="1" applyBorder="1" applyAlignment="1">
      <alignment vertical="center" wrapText="1"/>
    </xf>
    <xf numFmtId="0" fontId="41" fillId="8" borderId="27" xfId="1" applyFont="1" applyFill="1" applyBorder="1" applyAlignment="1">
      <alignment vertical="center"/>
    </xf>
    <xf numFmtId="0" fontId="10" fillId="8" borderId="42" xfId="1" applyFont="1" applyFill="1" applyBorder="1" applyAlignment="1">
      <alignment vertical="center" wrapText="1"/>
    </xf>
    <xf numFmtId="0" fontId="0" fillId="7" borderId="0" xfId="0" quotePrefix="1" applyFont="1" applyFill="1"/>
    <xf numFmtId="0" fontId="0" fillId="7" borderId="0" xfId="0" applyFont="1" applyFill="1"/>
    <xf numFmtId="0" fontId="0" fillId="7" borderId="0" xfId="0" applyFont="1" applyFill="1"/>
    <xf numFmtId="0" fontId="0" fillId="7" borderId="12" xfId="0" applyFont="1" applyFill="1" applyBorder="1" applyAlignment="1">
      <alignment vertical="center"/>
    </xf>
    <xf numFmtId="0" fontId="0" fillId="7" borderId="11" xfId="0" applyFont="1" applyFill="1" applyBorder="1" applyAlignment="1">
      <alignment vertical="center"/>
    </xf>
    <xf numFmtId="164" fontId="0" fillId="7" borderId="10" xfId="0" applyNumberFormat="1" applyFont="1" applyFill="1" applyBorder="1"/>
    <xf numFmtId="0" fontId="17" fillId="7" borderId="12" xfId="0" applyFont="1" applyFill="1" applyBorder="1" applyAlignment="1">
      <alignment vertical="center"/>
    </xf>
    <xf numFmtId="0" fontId="0" fillId="7" borderId="23" xfId="0" applyFont="1" applyFill="1" applyBorder="1" applyAlignment="1">
      <alignment vertical="center"/>
    </xf>
    <xf numFmtId="0" fontId="0" fillId="7" borderId="6" xfId="0" applyFont="1" applyFill="1" applyBorder="1"/>
    <xf numFmtId="0" fontId="36" fillId="0" borderId="10" xfId="0" quotePrefix="1" applyFont="1" applyBorder="1" applyAlignment="1">
      <alignment horizontal="center"/>
    </xf>
    <xf numFmtId="0" fontId="36" fillId="0" borderId="12" xfId="0" quotePrefix="1" applyFont="1" applyBorder="1" applyAlignment="1">
      <alignment horizontal="center"/>
    </xf>
    <xf numFmtId="0" fontId="36" fillId="0" borderId="12" xfId="0" quotePrefix="1" applyFont="1" applyBorder="1" applyAlignment="1">
      <alignment horizontal="center" vertical="center"/>
    </xf>
    <xf numFmtId="3" fontId="10" fillId="2" borderId="7" xfId="0" applyNumberFormat="1" applyFont="1" applyFill="1" applyBorder="1" applyAlignment="1">
      <alignment vertical="center"/>
    </xf>
    <xf numFmtId="0" fontId="46" fillId="0" borderId="9" xfId="0" applyFont="1" applyBorder="1" applyAlignment="1">
      <alignment horizontal="left"/>
    </xf>
    <xf numFmtId="0" fontId="10" fillId="0" borderId="3" xfId="0" applyFont="1" applyBorder="1" applyAlignment="1">
      <alignment vertical="center"/>
    </xf>
    <xf numFmtId="0" fontId="10" fillId="2" borderId="9" xfId="0" applyFont="1" applyFill="1" applyBorder="1" applyAlignment="1">
      <alignment vertical="center"/>
    </xf>
    <xf numFmtId="0" fontId="10" fillId="7" borderId="3" xfId="0" applyFont="1" applyFill="1" applyBorder="1" applyAlignment="1">
      <alignment horizontal="center" vertical="center"/>
    </xf>
    <xf numFmtId="0" fontId="10" fillId="7" borderId="23" xfId="0" applyFont="1" applyFill="1" applyBorder="1" applyAlignment="1">
      <alignment horizontal="center" vertical="center"/>
    </xf>
    <xf numFmtId="0" fontId="46" fillId="7" borderId="9" xfId="0" applyFont="1" applyFill="1" applyBorder="1" applyAlignment="1">
      <alignment horizontal="left" vertical="center"/>
    </xf>
    <xf numFmtId="0" fontId="46" fillId="7" borderId="9" xfId="0" applyFont="1" applyFill="1" applyBorder="1"/>
    <xf numFmtId="0" fontId="46" fillId="0" borderId="23" xfId="0" applyFont="1" applyBorder="1"/>
    <xf numFmtId="0" fontId="46" fillId="7" borderId="3" xfId="0" applyFont="1" applyFill="1" applyBorder="1"/>
    <xf numFmtId="0" fontId="46" fillId="7" borderId="23" xfId="0" applyFont="1" applyFill="1" applyBorder="1"/>
    <xf numFmtId="0" fontId="46" fillId="7" borderId="6" xfId="0" applyFont="1" applyFill="1" applyBorder="1"/>
    <xf numFmtId="3" fontId="10" fillId="0" borderId="3" xfId="0" applyNumberFormat="1" applyFont="1" applyFill="1" applyBorder="1" applyAlignment="1">
      <alignment vertical="center"/>
    </xf>
    <xf numFmtId="3" fontId="10" fillId="2" borderId="9" xfId="0" applyNumberFormat="1" applyFont="1" applyFill="1" applyBorder="1" applyAlignment="1">
      <alignment vertical="center"/>
    </xf>
    <xf numFmtId="43" fontId="10" fillId="0" borderId="3" xfId="0" applyNumberFormat="1" applyFont="1" applyFill="1" applyBorder="1" applyAlignment="1">
      <alignment horizontal="right" vertical="center" wrapText="1"/>
    </xf>
    <xf numFmtId="43" fontId="10" fillId="0" borderId="23" xfId="0" applyNumberFormat="1" applyFont="1" applyFill="1" applyBorder="1" applyAlignment="1">
      <alignment horizontal="right" vertical="center" wrapText="1"/>
    </xf>
    <xf numFmtId="43" fontId="10" fillId="0" borderId="23" xfId="0" applyNumberFormat="1" applyFont="1" applyFill="1" applyBorder="1" applyAlignment="1">
      <alignment horizontal="center" vertical="center" wrapText="1"/>
    </xf>
    <xf numFmtId="0" fontId="0" fillId="0" borderId="9" xfId="0" applyFont="1" applyFill="1" applyBorder="1"/>
    <xf numFmtId="43" fontId="10" fillId="7" borderId="3" xfId="0" applyNumberFormat="1" applyFont="1" applyFill="1" applyBorder="1" applyAlignment="1">
      <alignment horizontal="right" vertical="center" wrapText="1"/>
    </xf>
    <xf numFmtId="43" fontId="10" fillId="7" borderId="23" xfId="0" applyNumberFormat="1" applyFont="1" applyFill="1" applyBorder="1" applyAlignment="1">
      <alignment horizontal="right" vertical="center" wrapText="1"/>
    </xf>
    <xf numFmtId="3" fontId="10" fillId="0" borderId="9" xfId="0" applyNumberFormat="1" applyFont="1" applyFill="1" applyBorder="1" applyAlignment="1">
      <alignment vertical="center"/>
    </xf>
    <xf numFmtId="43" fontId="11" fillId="0" borderId="23" xfId="0" applyNumberFormat="1" applyFont="1" applyFill="1" applyBorder="1" applyAlignment="1">
      <alignment horizontal="right" vertical="center" wrapText="1"/>
    </xf>
    <xf numFmtId="0" fontId="0" fillId="2" borderId="3" xfId="0" applyFont="1" applyFill="1" applyBorder="1"/>
    <xf numFmtId="0" fontId="0" fillId="7" borderId="0" xfId="0" applyFont="1" applyFill="1"/>
    <xf numFmtId="0" fontId="56" fillId="0" borderId="11" xfId="1" quotePrefix="1" applyFont="1" applyBorder="1" applyAlignment="1">
      <alignment horizontal="left"/>
    </xf>
    <xf numFmtId="0" fontId="57" fillId="0" borderId="12" xfId="0" quotePrefix="1" applyFont="1" applyBorder="1" applyAlignment="1">
      <alignment horizontal="center"/>
    </xf>
    <xf numFmtId="0" fontId="10" fillId="0" borderId="11" xfId="1" quotePrefix="1" applyFont="1" applyFill="1" applyBorder="1" applyAlignment="1">
      <alignment horizontal="left"/>
    </xf>
    <xf numFmtId="0" fontId="36" fillId="0" borderId="11" xfId="0" quotePrefix="1" applyFont="1" applyBorder="1" applyAlignment="1">
      <alignment horizontal="center" vertical="center"/>
    </xf>
    <xf numFmtId="0" fontId="12" fillId="0" borderId="12" xfId="0" applyFont="1" applyFill="1" applyBorder="1" applyAlignment="1">
      <alignment horizontal="center" vertical="center"/>
    </xf>
    <xf numFmtId="0" fontId="2" fillId="0" borderId="0" xfId="0" applyFont="1" applyBorder="1" applyAlignment="1" applyProtection="1">
      <alignment vertical="center"/>
    </xf>
    <xf numFmtId="0" fontId="36" fillId="0" borderId="11" xfId="0" quotePrefix="1" applyFont="1" applyBorder="1" applyAlignment="1">
      <alignment horizontal="center" vertical="center" wrapText="1"/>
    </xf>
    <xf numFmtId="0" fontId="0" fillId="7" borderId="0" xfId="0" applyFont="1" applyFill="1"/>
    <xf numFmtId="4" fontId="9" fillId="0" borderId="9" xfId="0" applyNumberFormat="1" applyFont="1" applyBorder="1"/>
    <xf numFmtId="0" fontId="9" fillId="0" borderId="7" xfId="0" applyFont="1" applyBorder="1" applyAlignment="1">
      <alignment horizontal="left"/>
    </xf>
    <xf numFmtId="43" fontId="17" fillId="0" borderId="10" xfId="0" applyNumberFormat="1" applyFont="1" applyFill="1" applyBorder="1" applyAlignment="1">
      <alignment horizontal="right" vertical="center" wrapText="1"/>
    </xf>
    <xf numFmtId="4" fontId="17" fillId="0" borderId="10" xfId="0" applyNumberFormat="1" applyFont="1" applyBorder="1" applyAlignment="1">
      <alignment horizontal="right" vertical="center" wrapText="1"/>
    </xf>
    <xf numFmtId="43" fontId="17" fillId="0" borderId="12" xfId="0" applyNumberFormat="1" applyFont="1" applyFill="1" applyBorder="1" applyAlignment="1">
      <alignment horizontal="right" vertical="center" wrapText="1"/>
    </xf>
    <xf numFmtId="4" fontId="17" fillId="0" borderId="12" xfId="0" applyNumberFormat="1" applyFont="1" applyBorder="1" applyAlignment="1">
      <alignment horizontal="right" vertical="center" wrapText="1"/>
    </xf>
    <xf numFmtId="43" fontId="17" fillId="0" borderId="12" xfId="0" applyNumberFormat="1" applyFont="1" applyFill="1" applyBorder="1" applyAlignment="1">
      <alignment horizontal="center" vertical="center" wrapText="1"/>
    </xf>
    <xf numFmtId="4" fontId="17" fillId="0" borderId="12" xfId="0" applyNumberFormat="1" applyFont="1" applyBorder="1" applyAlignment="1">
      <alignment horizontal="center" vertical="center" wrapText="1"/>
    </xf>
    <xf numFmtId="0" fontId="0" fillId="7" borderId="0" xfId="0" applyFont="1" applyFill="1"/>
    <xf numFmtId="0" fontId="0" fillId="7" borderId="0" xfId="0" applyFont="1" applyFill="1"/>
    <xf numFmtId="43" fontId="49" fillId="0" borderId="12" xfId="0" applyNumberFormat="1" applyFont="1" applyFill="1" applyBorder="1" applyAlignment="1">
      <alignment horizontal="center" vertical="center" wrapText="1"/>
    </xf>
    <xf numFmtId="0" fontId="56" fillId="0" borderId="11" xfId="1" quotePrefix="1" applyFont="1" applyBorder="1" applyAlignment="1">
      <alignment horizontal="left" wrapText="1"/>
    </xf>
    <xf numFmtId="0" fontId="57" fillId="0" borderId="12" xfId="0" quotePrefix="1" applyFont="1" applyBorder="1" applyAlignment="1">
      <alignment horizontal="center" vertical="center"/>
    </xf>
    <xf numFmtId="0" fontId="0" fillId="7" borderId="0" xfId="0" applyFont="1" applyFill="1"/>
    <xf numFmtId="0" fontId="0" fillId="7" borderId="7" xfId="0" applyFont="1" applyFill="1" applyBorder="1" applyAlignment="1">
      <alignment vertical="center"/>
    </xf>
    <xf numFmtId="0" fontId="0" fillId="7" borderId="1" xfId="0" applyFont="1" applyFill="1" applyBorder="1" applyAlignment="1">
      <alignment vertical="center"/>
    </xf>
    <xf numFmtId="0" fontId="0" fillId="0" borderId="0" xfId="0" applyFont="1" applyAlignment="1">
      <alignment vertical="center"/>
    </xf>
    <xf numFmtId="4" fontId="0" fillId="7" borderId="0" xfId="0" applyNumberFormat="1" applyFont="1" applyFill="1" applyAlignment="1">
      <alignment vertical="center"/>
    </xf>
    <xf numFmtId="0" fontId="9" fillId="7" borderId="0" xfId="0" applyFont="1" applyFill="1" applyAlignment="1">
      <alignment vertical="center"/>
    </xf>
    <xf numFmtId="4" fontId="10" fillId="0" borderId="12" xfId="1" applyNumberFormat="1" applyFont="1" applyFill="1" applyBorder="1" applyAlignment="1">
      <alignment vertical="center"/>
    </xf>
    <xf numFmtId="0" fontId="0" fillId="0" borderId="12" xfId="0" applyFont="1" applyFill="1" applyBorder="1" applyAlignment="1">
      <alignment vertical="center"/>
    </xf>
    <xf numFmtId="0" fontId="0" fillId="0" borderId="7" xfId="0" applyFont="1" applyFill="1" applyBorder="1" applyAlignment="1">
      <alignment vertical="center"/>
    </xf>
    <xf numFmtId="0" fontId="0" fillId="0" borderId="11" xfId="0" applyFont="1" applyFill="1" applyBorder="1" applyAlignment="1">
      <alignment vertical="center"/>
    </xf>
    <xf numFmtId="0" fontId="0" fillId="0" borderId="4" xfId="0" applyFont="1" applyFill="1" applyBorder="1" applyAlignment="1">
      <alignment vertical="center"/>
    </xf>
    <xf numFmtId="0" fontId="0" fillId="0" borderId="12" xfId="0" applyFill="1" applyBorder="1" applyAlignment="1">
      <alignment vertical="center"/>
    </xf>
    <xf numFmtId="0" fontId="0" fillId="0" borderId="7" xfId="0" applyFill="1" applyBorder="1" applyAlignment="1">
      <alignment vertical="center"/>
    </xf>
    <xf numFmtId="0" fontId="46" fillId="7" borderId="0" xfId="0" applyFont="1" applyFill="1" applyAlignment="1">
      <alignment vertical="center"/>
    </xf>
    <xf numFmtId="0" fontId="16" fillId="0" borderId="0" xfId="1" applyFont="1" applyBorder="1" applyAlignment="1">
      <alignment horizontal="center"/>
    </xf>
    <xf numFmtId="9" fontId="17" fillId="0" borderId="44" xfId="2" applyFont="1" applyBorder="1"/>
    <xf numFmtId="168" fontId="17" fillId="0" borderId="44" xfId="2" applyNumberFormat="1" applyFont="1" applyBorder="1"/>
    <xf numFmtId="4" fontId="55" fillId="0" borderId="12" xfId="1" applyNumberFormat="1" applyFont="1" applyBorder="1"/>
    <xf numFmtId="4" fontId="55" fillId="0" borderId="12" xfId="1" applyNumberFormat="1" applyFont="1" applyFill="1" applyBorder="1"/>
    <xf numFmtId="164" fontId="23" fillId="0" borderId="0" xfId="0" applyNumberFormat="1" applyFont="1" applyBorder="1" applyAlignment="1" applyProtection="1">
      <alignment horizontal="center"/>
    </xf>
    <xf numFmtId="164" fontId="24" fillId="0" borderId="0" xfId="0" applyNumberFormat="1" applyFont="1" applyBorder="1" applyAlignment="1" applyProtection="1">
      <alignment horizontal="center"/>
    </xf>
    <xf numFmtId="164" fontId="48" fillId="0" borderId="0" xfId="0" applyNumberFormat="1" applyFont="1" applyBorder="1" applyAlignment="1" applyProtection="1">
      <alignment horizontal="center"/>
    </xf>
    <xf numFmtId="0" fontId="0" fillId="4" borderId="7" xfId="0" applyFill="1" applyBorder="1" applyAlignment="1" applyProtection="1">
      <alignment horizontal="center" vertical="top"/>
      <protection locked="0"/>
    </xf>
    <xf numFmtId="0" fontId="0" fillId="4" borderId="9" xfId="0" applyFill="1" applyBorder="1" applyAlignment="1" applyProtection="1">
      <alignment horizontal="center" vertical="top"/>
      <protection locked="0"/>
    </xf>
    <xf numFmtId="164" fontId="21" fillId="0" borderId="18" xfId="0" applyNumberFormat="1" applyFont="1" applyBorder="1" applyAlignment="1" applyProtection="1">
      <alignment horizontal="center" vertical="center" wrapText="1"/>
    </xf>
    <xf numFmtId="164" fontId="21" fillId="0" borderId="0" xfId="0" applyNumberFormat="1" applyFont="1" applyBorder="1" applyAlignment="1" applyProtection="1">
      <alignment horizontal="center" vertical="center" wrapText="1"/>
    </xf>
    <xf numFmtId="164" fontId="21" fillId="0" borderId="19" xfId="0" applyNumberFormat="1" applyFont="1" applyBorder="1" applyAlignment="1" applyProtection="1">
      <alignment horizontal="center" vertical="center" wrapText="1"/>
    </xf>
    <xf numFmtId="164" fontId="17" fillId="0" borderId="0" xfId="0" applyNumberFormat="1" applyFont="1" applyAlignment="1" applyProtection="1">
      <alignment horizontal="left"/>
    </xf>
    <xf numFmtId="164" fontId="17" fillId="0" borderId="0" xfId="0" applyNumberFormat="1" applyFont="1" applyAlignment="1" applyProtection="1">
      <alignment horizontal="right"/>
    </xf>
    <xf numFmtId="164" fontId="27" fillId="0" borderId="0" xfId="0" applyNumberFormat="1" applyFont="1" applyAlignment="1" applyProtection="1">
      <alignment horizontal="left"/>
    </xf>
    <xf numFmtId="164" fontId="22" fillId="0" borderId="0" xfId="0" applyNumberFormat="1" applyFont="1" applyAlignment="1" applyProtection="1">
      <alignment horizontal="right"/>
    </xf>
    <xf numFmtId="164" fontId="26" fillId="0" borderId="18" xfId="0" applyNumberFormat="1" applyFont="1" applyBorder="1" applyAlignment="1" applyProtection="1">
      <alignment horizontal="center"/>
    </xf>
    <xf numFmtId="164" fontId="26" fillId="0" borderId="0" xfId="0" applyNumberFormat="1" applyFont="1" applyBorder="1" applyAlignment="1" applyProtection="1">
      <alignment horizontal="center"/>
    </xf>
    <xf numFmtId="164" fontId="26" fillId="0" borderId="19" xfId="0" applyNumberFormat="1" applyFont="1" applyBorder="1" applyAlignment="1" applyProtection="1">
      <alignment horizontal="center"/>
    </xf>
    <xf numFmtId="0" fontId="32" fillId="2" borderId="7" xfId="0" applyFont="1" applyFill="1" applyBorder="1" applyAlignment="1">
      <alignment horizontal="center" vertical="center" wrapText="1"/>
    </xf>
    <xf numFmtId="0" fontId="32" fillId="2" borderId="8" xfId="0" applyFont="1" applyFill="1" applyBorder="1" applyAlignment="1">
      <alignment horizontal="center" vertical="center" wrapText="1"/>
    </xf>
    <xf numFmtId="0" fontId="32" fillId="2" borderId="9" xfId="0" applyFont="1" applyFill="1" applyBorder="1" applyAlignment="1">
      <alignment horizontal="center" vertical="center" wrapText="1"/>
    </xf>
    <xf numFmtId="0" fontId="18" fillId="2" borderId="10" xfId="0" applyFont="1" applyFill="1" applyBorder="1" applyAlignment="1">
      <alignment horizontal="center" vertical="center" wrapText="1"/>
    </xf>
    <xf numFmtId="0" fontId="18" fillId="2" borderId="13" xfId="0" applyFont="1" applyFill="1" applyBorder="1" applyAlignment="1">
      <alignment horizontal="center" vertical="center" wrapText="1"/>
    </xf>
    <xf numFmtId="0" fontId="18" fillId="2" borderId="1" xfId="0" applyFont="1" applyFill="1" applyBorder="1" applyAlignment="1">
      <alignment horizontal="center" vertical="center" wrapText="1"/>
    </xf>
    <xf numFmtId="0" fontId="18" fillId="2" borderId="4" xfId="0" applyFont="1" applyFill="1" applyBorder="1" applyAlignment="1">
      <alignment horizontal="center" vertical="center" wrapText="1"/>
    </xf>
    <xf numFmtId="0" fontId="32" fillId="2" borderId="10" xfId="0" applyFont="1" applyFill="1" applyBorder="1" applyAlignment="1">
      <alignment horizontal="center" vertical="center" wrapText="1"/>
    </xf>
    <xf numFmtId="0" fontId="32" fillId="2" borderId="13" xfId="0" applyFont="1" applyFill="1" applyBorder="1" applyAlignment="1">
      <alignment horizontal="center" vertical="center" wrapText="1"/>
    </xf>
    <xf numFmtId="3" fontId="18" fillId="2" borderId="8" xfId="0" applyNumberFormat="1" applyFont="1" applyFill="1" applyBorder="1" applyAlignment="1">
      <alignment horizontal="center" vertical="center"/>
    </xf>
    <xf numFmtId="0" fontId="10" fillId="2" borderId="1" xfId="1" applyFont="1" applyFill="1" applyBorder="1" applyAlignment="1">
      <alignment horizontal="center" vertical="center"/>
    </xf>
    <xf numFmtId="0" fontId="10" fillId="2" borderId="3" xfId="1" applyFont="1" applyFill="1" applyBorder="1" applyAlignment="1">
      <alignment horizontal="center" vertical="center"/>
    </xf>
    <xf numFmtId="0" fontId="10" fillId="2" borderId="4" xfId="1" applyFont="1" applyFill="1" applyBorder="1" applyAlignment="1">
      <alignment horizontal="center" vertical="center"/>
    </xf>
    <xf numFmtId="0" fontId="10" fillId="2" borderId="6" xfId="1" applyFont="1" applyFill="1" applyBorder="1" applyAlignment="1">
      <alignment horizontal="center" vertical="center"/>
    </xf>
    <xf numFmtId="0" fontId="37" fillId="2" borderId="10" xfId="1" applyFont="1" applyFill="1" applyBorder="1" applyAlignment="1">
      <alignment horizontal="center" vertical="center" textRotation="255"/>
    </xf>
    <xf numFmtId="0" fontId="37" fillId="2" borderId="12" xfId="1" applyFont="1" applyFill="1" applyBorder="1" applyAlignment="1">
      <alignment horizontal="center" vertical="center" textRotation="255"/>
    </xf>
    <xf numFmtId="0" fontId="37" fillId="2" borderId="13" xfId="1" applyFont="1" applyFill="1" applyBorder="1" applyAlignment="1">
      <alignment horizontal="center" vertical="center" textRotation="255"/>
    </xf>
    <xf numFmtId="3" fontId="18" fillId="2" borderId="10" xfId="0" applyNumberFormat="1" applyFont="1" applyFill="1" applyBorder="1" applyAlignment="1">
      <alignment horizontal="center" vertical="center" wrapText="1"/>
    </xf>
    <xf numFmtId="3" fontId="18" fillId="2" borderId="12" xfId="0" applyNumberFormat="1" applyFont="1" applyFill="1" applyBorder="1" applyAlignment="1">
      <alignment horizontal="center" vertical="center" wrapText="1"/>
    </xf>
    <xf numFmtId="3" fontId="18" fillId="2" borderId="13" xfId="0" applyNumberFormat="1" applyFont="1" applyFill="1" applyBorder="1" applyAlignment="1">
      <alignment horizontal="center" vertical="center" wrapText="1"/>
    </xf>
    <xf numFmtId="0" fontId="0" fillId="2" borderId="12" xfId="0" applyFont="1" applyFill="1" applyBorder="1" applyAlignment="1">
      <alignment horizontal="center"/>
    </xf>
    <xf numFmtId="0" fontId="0" fillId="2" borderId="13" xfId="0" applyFont="1" applyFill="1" applyBorder="1" applyAlignment="1">
      <alignment horizontal="center"/>
    </xf>
    <xf numFmtId="3" fontId="18" fillId="2" borderId="2" xfId="0" applyNumberFormat="1" applyFont="1" applyFill="1" applyBorder="1" applyAlignment="1">
      <alignment horizontal="center" vertical="center" wrapText="1"/>
    </xf>
    <xf numFmtId="3" fontId="18" fillId="2" borderId="23" xfId="0" applyNumberFormat="1" applyFont="1" applyFill="1" applyBorder="1" applyAlignment="1">
      <alignment horizontal="center" vertical="center" wrapText="1"/>
    </xf>
    <xf numFmtId="3" fontId="18" fillId="2" borderId="6" xfId="0" applyNumberFormat="1" applyFont="1" applyFill="1" applyBorder="1" applyAlignment="1">
      <alignment horizontal="center" vertical="center" wrapText="1"/>
    </xf>
    <xf numFmtId="3" fontId="18" fillId="2" borderId="7" xfId="0" applyNumberFormat="1" applyFont="1" applyFill="1" applyBorder="1" applyAlignment="1">
      <alignment horizontal="center" vertical="center"/>
    </xf>
    <xf numFmtId="3" fontId="18" fillId="2" borderId="9" xfId="0" applyNumberFormat="1" applyFont="1" applyFill="1" applyBorder="1" applyAlignment="1">
      <alignment horizontal="center" vertical="center"/>
    </xf>
    <xf numFmtId="0" fontId="27" fillId="7" borderId="7" xfId="0" applyFont="1" applyFill="1" applyBorder="1" applyAlignment="1">
      <alignment horizontal="center" vertical="center"/>
    </xf>
    <xf numFmtId="0" fontId="27" fillId="7" borderId="8" xfId="0" applyFont="1" applyFill="1" applyBorder="1" applyAlignment="1">
      <alignment horizontal="center" vertical="center"/>
    </xf>
    <xf numFmtId="0" fontId="27" fillId="7" borderId="9" xfId="0" applyFont="1" applyFill="1" applyBorder="1" applyAlignment="1">
      <alignment horizontal="center" vertical="center"/>
    </xf>
    <xf numFmtId="0" fontId="10" fillId="2" borderId="10" xfId="1" applyFont="1" applyFill="1" applyBorder="1" applyAlignment="1">
      <alignment horizontal="center" vertical="center" wrapText="1"/>
    </xf>
    <xf numFmtId="0" fontId="10" fillId="2" borderId="12" xfId="1" applyFont="1" applyFill="1" applyBorder="1" applyAlignment="1">
      <alignment horizontal="center" vertical="center" wrapText="1"/>
    </xf>
    <xf numFmtId="0" fontId="10" fillId="2" borderId="13" xfId="1" applyFont="1" applyFill="1" applyBorder="1" applyAlignment="1">
      <alignment horizontal="center" vertical="center" wrapText="1"/>
    </xf>
    <xf numFmtId="0" fontId="10" fillId="2" borderId="2" xfId="1" applyFont="1" applyFill="1" applyBorder="1" applyAlignment="1">
      <alignment horizontal="center" vertical="center"/>
    </xf>
    <xf numFmtId="0" fontId="10" fillId="2" borderId="5" xfId="1" applyFont="1" applyFill="1" applyBorder="1" applyAlignment="1">
      <alignment horizontal="center" vertical="center"/>
    </xf>
    <xf numFmtId="0" fontId="0" fillId="7" borderId="0" xfId="0" applyFont="1" applyFill="1"/>
    <xf numFmtId="0" fontId="10" fillId="2" borderId="1" xfId="1" applyFont="1" applyFill="1" applyBorder="1" applyAlignment="1">
      <alignment horizontal="center" vertical="center" wrapText="1"/>
    </xf>
    <xf numFmtId="0" fontId="10" fillId="2" borderId="3" xfId="1" applyFont="1" applyFill="1" applyBorder="1" applyAlignment="1">
      <alignment horizontal="center" vertical="center" wrapText="1"/>
    </xf>
    <xf numFmtId="0" fontId="10" fillId="2" borderId="4" xfId="1" applyFont="1" applyFill="1" applyBorder="1" applyAlignment="1">
      <alignment horizontal="center" vertical="center" wrapText="1"/>
    </xf>
    <xf numFmtId="0" fontId="10" fillId="2" borderId="6" xfId="1" applyFont="1" applyFill="1" applyBorder="1" applyAlignment="1">
      <alignment horizontal="center" vertical="center" wrapText="1"/>
    </xf>
    <xf numFmtId="0" fontId="24" fillId="8" borderId="28" xfId="1" applyFont="1" applyFill="1" applyBorder="1" applyAlignment="1">
      <alignment horizontal="center" vertical="center" wrapText="1"/>
    </xf>
    <xf numFmtId="0" fontId="24" fillId="8" borderId="31" xfId="1" applyFont="1" applyFill="1" applyBorder="1" applyAlignment="1">
      <alignment horizontal="center" vertical="center" wrapText="1"/>
    </xf>
    <xf numFmtId="0" fontId="24" fillId="8" borderId="0" xfId="1" applyFont="1" applyFill="1" applyBorder="1" applyAlignment="1">
      <alignment horizontal="center" vertical="center" wrapText="1"/>
    </xf>
    <xf numFmtId="0" fontId="24" fillId="8" borderId="35" xfId="1" applyFont="1" applyFill="1" applyBorder="1" applyAlignment="1">
      <alignment horizontal="center" vertical="center" wrapText="1"/>
    </xf>
    <xf numFmtId="0" fontId="10" fillId="8" borderId="44" xfId="1" applyFont="1" applyFill="1" applyBorder="1" applyAlignment="1">
      <alignment horizontal="center" vertical="center" wrapText="1"/>
    </xf>
    <xf numFmtId="0" fontId="10" fillId="8" borderId="52" xfId="1" applyFont="1" applyFill="1" applyBorder="1" applyAlignment="1">
      <alignment horizontal="center" vertical="center" wrapText="1"/>
    </xf>
    <xf numFmtId="0" fontId="38" fillId="8" borderId="50" xfId="1" applyFont="1" applyFill="1" applyBorder="1" applyAlignment="1">
      <alignment horizontal="center" vertical="center" textRotation="255" wrapText="1"/>
    </xf>
    <xf numFmtId="0" fontId="38" fillId="8" borderId="51" xfId="1" applyFont="1" applyFill="1" applyBorder="1" applyAlignment="1">
      <alignment horizontal="center" vertical="center" textRotation="255" wrapText="1"/>
    </xf>
    <xf numFmtId="0" fontId="38" fillId="8" borderId="10" xfId="1" applyFont="1" applyFill="1" applyBorder="1" applyAlignment="1">
      <alignment horizontal="center" vertical="center" textRotation="255" wrapText="1"/>
    </xf>
    <xf numFmtId="0" fontId="38" fillId="8" borderId="13" xfId="1" applyFont="1" applyFill="1" applyBorder="1" applyAlignment="1">
      <alignment horizontal="center" vertical="center" textRotation="255" wrapText="1"/>
    </xf>
    <xf numFmtId="0" fontId="38" fillId="8" borderId="53" xfId="1" applyFont="1" applyFill="1" applyBorder="1" applyAlignment="1">
      <alignment horizontal="center" vertical="top" textRotation="255"/>
    </xf>
    <xf numFmtId="0" fontId="38" fillId="8" borderId="42" xfId="1" applyFont="1" applyFill="1" applyBorder="1" applyAlignment="1">
      <alignment horizontal="center" vertical="top" textRotation="255"/>
    </xf>
    <xf numFmtId="0" fontId="38" fillId="8" borderId="51" xfId="1" applyFont="1" applyFill="1" applyBorder="1" applyAlignment="1">
      <alignment horizontal="center" vertical="top" textRotation="255"/>
    </xf>
    <xf numFmtId="0" fontId="16" fillId="8" borderId="29" xfId="1" applyFont="1" applyFill="1" applyBorder="1" applyAlignment="1">
      <alignment horizontal="center" vertical="center" wrapText="1" shrinkToFit="1"/>
    </xf>
    <xf numFmtId="0" fontId="16" fillId="8" borderId="49" xfId="1" applyFont="1" applyFill="1" applyBorder="1" applyAlignment="1">
      <alignment horizontal="center" vertical="center" wrapText="1" shrinkToFit="1"/>
    </xf>
    <xf numFmtId="0" fontId="24" fillId="8" borderId="29" xfId="1" applyFont="1" applyFill="1" applyBorder="1" applyAlignment="1">
      <alignment horizontal="center" vertical="center" wrapText="1" shrinkToFit="1"/>
    </xf>
    <xf numFmtId="0" fontId="24" fillId="8" borderId="30" xfId="1" applyFont="1" applyFill="1" applyBorder="1" applyAlignment="1">
      <alignment horizontal="center" vertical="center" wrapText="1" shrinkToFit="1"/>
    </xf>
    <xf numFmtId="0" fontId="24" fillId="8" borderId="49" xfId="1" applyFont="1" applyFill="1" applyBorder="1" applyAlignment="1">
      <alignment horizontal="center" vertical="center" wrapText="1" shrinkToFit="1"/>
    </xf>
    <xf numFmtId="0" fontId="16" fillId="8" borderId="30" xfId="1" applyFont="1" applyFill="1" applyBorder="1" applyAlignment="1">
      <alignment horizontal="center" vertical="center" wrapText="1" shrinkToFit="1"/>
    </xf>
    <xf numFmtId="0" fontId="38" fillId="3" borderId="10" xfId="1" applyFont="1" applyFill="1" applyBorder="1" applyAlignment="1">
      <alignment horizontal="center" vertical="center" textRotation="255" wrapText="1"/>
    </xf>
    <xf numFmtId="0" fontId="38" fillId="3" borderId="13" xfId="1" applyFont="1" applyFill="1" applyBorder="1" applyAlignment="1">
      <alignment horizontal="center" vertical="center" textRotation="255" wrapText="1"/>
    </xf>
    <xf numFmtId="0" fontId="16" fillId="3" borderId="29" xfId="1" applyFont="1" applyFill="1" applyBorder="1" applyAlignment="1">
      <alignment horizontal="center" vertical="center" wrapText="1" shrinkToFit="1"/>
    </xf>
    <xf numFmtId="0" fontId="16" fillId="3" borderId="30" xfId="1" applyFont="1" applyFill="1" applyBorder="1" applyAlignment="1">
      <alignment horizontal="center" vertical="center" wrapText="1" shrinkToFit="1"/>
    </xf>
    <xf numFmtId="0" fontId="16" fillId="3" borderId="49" xfId="1" applyFont="1" applyFill="1" applyBorder="1" applyAlignment="1">
      <alignment horizontal="center" vertical="center" wrapText="1" shrinkToFit="1"/>
    </xf>
    <xf numFmtId="0" fontId="24" fillId="3" borderId="28" xfId="1" applyFont="1" applyFill="1" applyBorder="1" applyAlignment="1">
      <alignment horizontal="center" vertical="center" wrapText="1"/>
    </xf>
    <xf numFmtId="0" fontId="24" fillId="3" borderId="31" xfId="1" applyFont="1" applyFill="1" applyBorder="1" applyAlignment="1">
      <alignment horizontal="center" vertical="center" wrapText="1"/>
    </xf>
    <xf numFmtId="0" fontId="24" fillId="3" borderId="0" xfId="1" applyFont="1" applyFill="1" applyBorder="1" applyAlignment="1">
      <alignment horizontal="center" vertical="center" wrapText="1"/>
    </xf>
    <xf numFmtId="0" fontId="24" fillId="3" borderId="35" xfId="1" applyFont="1" applyFill="1" applyBorder="1" applyAlignment="1">
      <alignment horizontal="center" vertical="center" wrapText="1"/>
    </xf>
    <xf numFmtId="0" fontId="38" fillId="3" borderId="53" xfId="1" applyFont="1" applyFill="1" applyBorder="1" applyAlignment="1">
      <alignment horizontal="center" vertical="top" textRotation="255"/>
    </xf>
    <xf numFmtId="0" fontId="38" fillId="3" borderId="42" xfId="1" applyFont="1" applyFill="1" applyBorder="1" applyAlignment="1">
      <alignment horizontal="center" vertical="top" textRotation="255"/>
    </xf>
    <xf numFmtId="0" fontId="38" fillId="3" borderId="51" xfId="1" applyFont="1" applyFill="1" applyBorder="1" applyAlignment="1">
      <alignment horizontal="center" vertical="top" textRotation="255"/>
    </xf>
    <xf numFmtId="0" fontId="38" fillId="6" borderId="53" xfId="1" applyFont="1" applyFill="1" applyBorder="1" applyAlignment="1">
      <alignment horizontal="center" vertical="top" textRotation="255"/>
    </xf>
    <xf numFmtId="0" fontId="38" fillId="6" borderId="42" xfId="1" applyFont="1" applyFill="1" applyBorder="1" applyAlignment="1">
      <alignment horizontal="center" vertical="top" textRotation="255"/>
    </xf>
    <xf numFmtId="0" fontId="38" fillId="6" borderId="51" xfId="1" applyFont="1" applyFill="1" applyBorder="1" applyAlignment="1">
      <alignment horizontal="center" vertical="top" textRotation="255"/>
    </xf>
    <xf numFmtId="0" fontId="16" fillId="6" borderId="29" xfId="1" applyFont="1" applyFill="1" applyBorder="1" applyAlignment="1">
      <alignment horizontal="center" vertical="center" wrapText="1" shrinkToFit="1"/>
    </xf>
    <xf numFmtId="0" fontId="16" fillId="6" borderId="49" xfId="1" applyFont="1" applyFill="1" applyBorder="1" applyAlignment="1">
      <alignment horizontal="center" vertical="center" wrapText="1" shrinkToFit="1"/>
    </xf>
    <xf numFmtId="0" fontId="41" fillId="2" borderId="24" xfId="1" applyFont="1" applyFill="1" applyBorder="1" applyAlignment="1">
      <alignment horizontal="center" vertical="center"/>
    </xf>
    <xf numFmtId="0" fontId="41" fillId="2" borderId="25" xfId="1" applyFont="1" applyFill="1" applyBorder="1" applyAlignment="1">
      <alignment horizontal="center" vertical="center"/>
    </xf>
    <xf numFmtId="0" fontId="41" fillId="2" borderId="26" xfId="1" applyFont="1" applyFill="1" applyBorder="1" applyAlignment="1">
      <alignment horizontal="center" vertical="center"/>
    </xf>
    <xf numFmtId="0" fontId="41" fillId="2" borderId="27" xfId="1" applyFont="1" applyFill="1" applyBorder="1" applyAlignment="1">
      <alignment horizontal="center" vertical="center"/>
    </xf>
    <xf numFmtId="0" fontId="41" fillId="2" borderId="28" xfId="1" applyFont="1" applyFill="1" applyBorder="1" applyAlignment="1">
      <alignment horizontal="center" vertical="center"/>
    </xf>
    <xf numFmtId="0" fontId="41" fillId="2" borderId="31" xfId="1" applyFont="1" applyFill="1" applyBorder="1" applyAlignment="1">
      <alignment horizontal="center" vertical="center"/>
    </xf>
    <xf numFmtId="0" fontId="41" fillId="2" borderId="32" xfId="1" applyFont="1" applyFill="1" applyBorder="1" applyAlignment="1">
      <alignment horizontal="center" vertical="center"/>
    </xf>
    <xf numFmtId="0" fontId="41" fillId="2" borderId="33" xfId="1" applyFont="1" applyFill="1" applyBorder="1" applyAlignment="1">
      <alignment horizontal="center" vertical="center"/>
    </xf>
    <xf numFmtId="0" fontId="41" fillId="2" borderId="34" xfId="1" applyFont="1" applyFill="1" applyBorder="1" applyAlignment="1">
      <alignment horizontal="center" vertical="center"/>
    </xf>
    <xf numFmtId="0" fontId="38" fillId="4" borderId="53" xfId="1" applyFont="1" applyFill="1" applyBorder="1" applyAlignment="1">
      <alignment horizontal="center" vertical="top" textRotation="255"/>
    </xf>
    <xf numFmtId="0" fontId="38" fillId="4" borderId="42" xfId="1" applyFont="1" applyFill="1" applyBorder="1" applyAlignment="1">
      <alignment horizontal="center" vertical="top" textRotation="255"/>
    </xf>
    <xf numFmtId="0" fontId="38" fillId="4" borderId="51" xfId="1" applyFont="1" applyFill="1" applyBorder="1" applyAlignment="1">
      <alignment horizontal="center" vertical="top" textRotation="255"/>
    </xf>
    <xf numFmtId="0" fontId="16" fillId="4" borderId="29" xfId="1" applyFont="1" applyFill="1" applyBorder="1" applyAlignment="1">
      <alignment horizontal="center" vertical="center" wrapText="1" shrinkToFit="1"/>
    </xf>
    <xf numFmtId="0" fontId="16" fillId="4" borderId="49" xfId="1" applyFont="1" applyFill="1" applyBorder="1" applyAlignment="1">
      <alignment horizontal="center" vertical="center" wrapText="1" shrinkToFit="1"/>
    </xf>
    <xf numFmtId="0" fontId="24" fillId="2" borderId="24" xfId="1" applyFont="1" applyFill="1" applyBorder="1" applyAlignment="1">
      <alignment horizontal="center" vertical="center" wrapText="1"/>
    </xf>
    <xf numFmtId="0" fontId="24" fillId="2" borderId="25" xfId="1" applyFont="1" applyFill="1" applyBorder="1" applyAlignment="1">
      <alignment horizontal="center" vertical="center" wrapText="1"/>
    </xf>
    <xf numFmtId="0" fontId="16" fillId="2" borderId="24" xfId="1" applyFont="1" applyFill="1" applyBorder="1" applyAlignment="1">
      <alignment horizontal="center" vertical="center" wrapText="1"/>
    </xf>
    <xf numFmtId="0" fontId="16" fillId="2" borderId="25" xfId="1" applyFont="1" applyFill="1" applyBorder="1" applyAlignment="1">
      <alignment horizontal="center" vertical="center" wrapText="1"/>
    </xf>
    <xf numFmtId="0" fontId="43" fillId="2" borderId="24" xfId="1" applyFont="1" applyFill="1" applyBorder="1" applyAlignment="1">
      <alignment horizontal="right" vertical="center" wrapText="1"/>
    </xf>
    <xf numFmtId="0" fontId="43" fillId="2" borderId="25" xfId="1" applyFont="1" applyFill="1" applyBorder="1" applyAlignment="1">
      <alignment horizontal="right" vertical="center" wrapText="1"/>
    </xf>
    <xf numFmtId="0" fontId="10" fillId="4" borderId="10" xfId="1" applyFont="1" applyFill="1" applyBorder="1" applyAlignment="1">
      <alignment horizontal="center" vertical="center" wrapText="1"/>
    </xf>
    <xf numFmtId="0" fontId="10" fillId="4" borderId="13" xfId="1" applyFont="1" applyFill="1" applyBorder="1" applyAlignment="1">
      <alignment horizontal="center" vertical="center" wrapText="1"/>
    </xf>
    <xf numFmtId="0" fontId="41" fillId="2" borderId="27" xfId="1" applyFont="1" applyFill="1" applyBorder="1" applyAlignment="1">
      <alignment horizontal="center" vertical="center" wrapText="1"/>
    </xf>
    <xf numFmtId="0" fontId="41" fillId="2" borderId="31" xfId="1" applyFont="1" applyFill="1" applyBorder="1" applyAlignment="1">
      <alignment horizontal="center" vertical="center" wrapText="1"/>
    </xf>
    <xf numFmtId="0" fontId="41" fillId="2" borderId="32" xfId="1" applyFont="1" applyFill="1" applyBorder="1" applyAlignment="1">
      <alignment horizontal="center" vertical="center" wrapText="1"/>
    </xf>
    <xf numFmtId="0" fontId="41" fillId="2" borderId="34" xfId="1" applyFont="1" applyFill="1" applyBorder="1" applyAlignment="1">
      <alignment horizontal="center" vertical="center" wrapText="1"/>
    </xf>
    <xf numFmtId="0" fontId="38" fillId="3" borderId="50" xfId="1" applyFont="1" applyFill="1" applyBorder="1" applyAlignment="1">
      <alignment horizontal="center" vertical="center" textRotation="255" wrapText="1"/>
    </xf>
    <xf numFmtId="0" fontId="38" fillId="3" borderId="51" xfId="1" applyFont="1" applyFill="1" applyBorder="1" applyAlignment="1">
      <alignment horizontal="center" vertical="center" textRotation="255" wrapText="1"/>
    </xf>
    <xf numFmtId="0" fontId="10" fillId="3" borderId="44" xfId="1" applyFont="1" applyFill="1" applyBorder="1" applyAlignment="1">
      <alignment horizontal="center" vertical="center" wrapText="1"/>
    </xf>
    <xf numFmtId="0" fontId="10" fillId="3" borderId="52" xfId="1" applyFont="1" applyFill="1" applyBorder="1" applyAlignment="1">
      <alignment horizontal="center" vertical="center" wrapText="1"/>
    </xf>
    <xf numFmtId="0" fontId="24" fillId="3" borderId="29" xfId="1" applyFont="1" applyFill="1" applyBorder="1" applyAlignment="1">
      <alignment horizontal="center" vertical="center" wrapText="1" shrinkToFit="1"/>
    </xf>
    <xf numFmtId="0" fontId="24" fillId="3" borderId="30" xfId="1" applyFont="1" applyFill="1" applyBorder="1" applyAlignment="1">
      <alignment horizontal="center" vertical="center" wrapText="1" shrinkToFit="1"/>
    </xf>
    <xf numFmtId="0" fontId="24" fillId="3" borderId="49" xfId="1" applyFont="1" applyFill="1" applyBorder="1" applyAlignment="1">
      <alignment horizontal="center" vertical="center" wrapText="1" shrinkToFit="1"/>
    </xf>
    <xf numFmtId="0" fontId="24" fillId="4" borderId="29" xfId="1" applyFont="1" applyFill="1" applyBorder="1" applyAlignment="1">
      <alignment horizontal="center" vertical="center" wrapText="1" shrinkToFit="1"/>
    </xf>
    <xf numFmtId="0" fontId="24" fillId="4" borderId="30" xfId="1" applyFont="1" applyFill="1" applyBorder="1" applyAlignment="1">
      <alignment horizontal="center" vertical="center" wrapText="1" shrinkToFit="1"/>
    </xf>
    <xf numFmtId="0" fontId="24" fillId="4" borderId="49" xfId="1" applyFont="1" applyFill="1" applyBorder="1" applyAlignment="1">
      <alignment horizontal="center" vertical="center" wrapText="1" shrinkToFit="1"/>
    </xf>
    <xf numFmtId="0" fontId="16" fillId="4" borderId="30" xfId="1" applyFont="1" applyFill="1" applyBorder="1" applyAlignment="1">
      <alignment horizontal="center" vertical="center" wrapText="1" shrinkToFit="1"/>
    </xf>
    <xf numFmtId="0" fontId="24" fillId="4" borderId="28" xfId="1" applyFont="1" applyFill="1" applyBorder="1" applyAlignment="1">
      <alignment horizontal="center" vertical="center" wrapText="1"/>
    </xf>
    <xf numFmtId="0" fontId="24" fillId="4" borderId="31" xfId="1" applyFont="1" applyFill="1" applyBorder="1" applyAlignment="1">
      <alignment horizontal="center" vertical="center" wrapText="1"/>
    </xf>
    <xf numFmtId="0" fontId="24" fillId="4" borderId="0" xfId="1" applyFont="1" applyFill="1" applyBorder="1" applyAlignment="1">
      <alignment horizontal="center" vertical="center" wrapText="1"/>
    </xf>
    <xf numFmtId="0" fontId="24" fillId="4" borderId="35" xfId="1" applyFont="1" applyFill="1" applyBorder="1" applyAlignment="1">
      <alignment horizontal="center" vertical="center" wrapText="1"/>
    </xf>
    <xf numFmtId="0" fontId="10" fillId="4" borderId="44" xfId="1" applyFont="1" applyFill="1" applyBorder="1" applyAlignment="1">
      <alignment horizontal="center" vertical="center" wrapText="1"/>
    </xf>
    <xf numFmtId="0" fontId="10" fillId="4" borderId="52" xfId="1" applyFont="1" applyFill="1" applyBorder="1" applyAlignment="1">
      <alignment horizontal="center" vertical="center" wrapText="1"/>
    </xf>
    <xf numFmtId="0" fontId="38" fillId="4" borderId="50" xfId="1" applyFont="1" applyFill="1" applyBorder="1" applyAlignment="1">
      <alignment horizontal="center" vertical="center" textRotation="255" wrapText="1"/>
    </xf>
    <xf numFmtId="0" fontId="38" fillId="4" borderId="51" xfId="1" applyFont="1" applyFill="1" applyBorder="1" applyAlignment="1">
      <alignment horizontal="center" vertical="center" textRotation="255" wrapText="1"/>
    </xf>
    <xf numFmtId="0" fontId="38" fillId="4" borderId="10" xfId="1" applyFont="1" applyFill="1" applyBorder="1" applyAlignment="1">
      <alignment horizontal="center" vertical="center" textRotation="255" wrapText="1"/>
    </xf>
    <xf numFmtId="0" fontId="38" fillId="4" borderId="13" xfId="1" applyFont="1" applyFill="1" applyBorder="1" applyAlignment="1">
      <alignment horizontal="center" vertical="center" textRotation="255" wrapText="1"/>
    </xf>
    <xf numFmtId="0" fontId="24" fillId="2" borderId="24" xfId="1" applyFont="1" applyFill="1" applyBorder="1" applyAlignment="1">
      <alignment horizontal="right" vertical="center"/>
    </xf>
    <xf numFmtId="0" fontId="24" fillId="2" borderId="25" xfId="1" applyFont="1" applyFill="1" applyBorder="1" applyAlignment="1">
      <alignment horizontal="right" vertical="center"/>
    </xf>
    <xf numFmtId="0" fontId="40" fillId="2" borderId="31" xfId="1" applyFont="1" applyFill="1" applyBorder="1" applyAlignment="1">
      <alignment horizontal="center" vertical="center"/>
    </xf>
    <xf numFmtId="0" fontId="40" fillId="2" borderId="34" xfId="1" applyFont="1" applyFill="1" applyBorder="1" applyAlignment="1">
      <alignment horizontal="center" vertical="center"/>
    </xf>
    <xf numFmtId="0" fontId="45" fillId="6" borderId="10" xfId="1" applyFont="1" applyFill="1" applyBorder="1" applyAlignment="1">
      <alignment horizontal="center" vertical="center" wrapText="1"/>
    </xf>
    <xf numFmtId="0" fontId="45" fillId="6" borderId="13" xfId="1" applyFont="1" applyFill="1" applyBorder="1" applyAlignment="1">
      <alignment horizontal="center" vertical="center" wrapText="1"/>
    </xf>
    <xf numFmtId="0" fontId="45" fillId="3" borderId="10" xfId="1" applyFont="1" applyFill="1" applyBorder="1" applyAlignment="1">
      <alignment horizontal="center" vertical="center" wrapText="1"/>
    </xf>
    <xf numFmtId="0" fontId="45" fillId="3" borderId="13" xfId="1" applyFont="1" applyFill="1" applyBorder="1" applyAlignment="1">
      <alignment horizontal="center" vertical="center" wrapText="1"/>
    </xf>
    <xf numFmtId="0" fontId="45" fillId="8" borderId="10" xfId="1" applyFont="1" applyFill="1" applyBorder="1" applyAlignment="1">
      <alignment horizontal="center" vertical="center" wrapText="1"/>
    </xf>
    <xf numFmtId="0" fontId="45" fillId="8" borderId="13" xfId="1" applyFont="1" applyFill="1" applyBorder="1" applyAlignment="1">
      <alignment horizontal="center" vertical="center" wrapText="1"/>
    </xf>
    <xf numFmtId="0" fontId="24" fillId="6" borderId="28" xfId="1" applyFont="1" applyFill="1" applyBorder="1" applyAlignment="1">
      <alignment horizontal="center" vertical="center" wrapText="1"/>
    </xf>
    <xf numFmtId="0" fontId="24" fillId="6" borderId="31" xfId="1" applyFont="1" applyFill="1" applyBorder="1" applyAlignment="1">
      <alignment horizontal="center" vertical="center" wrapText="1"/>
    </xf>
    <xf numFmtId="0" fontId="24" fillId="6" borderId="0" xfId="1" applyFont="1" applyFill="1" applyBorder="1" applyAlignment="1">
      <alignment horizontal="center" vertical="center" wrapText="1"/>
    </xf>
    <xf numFmtId="0" fontId="24" fillId="6" borderId="35" xfId="1" applyFont="1" applyFill="1" applyBorder="1" applyAlignment="1">
      <alignment horizontal="center" vertical="center" wrapText="1"/>
    </xf>
    <xf numFmtId="0" fontId="10" fillId="6" borderId="44" xfId="1" applyFont="1" applyFill="1" applyBorder="1" applyAlignment="1">
      <alignment horizontal="center" vertical="center" wrapText="1"/>
    </xf>
    <xf numFmtId="0" fontId="10" fillId="6" borderId="52" xfId="1" applyFont="1" applyFill="1" applyBorder="1" applyAlignment="1">
      <alignment horizontal="center" vertical="center" wrapText="1"/>
    </xf>
    <xf numFmtId="0" fontId="38" fillId="6" borderId="50" xfId="1" applyFont="1" applyFill="1" applyBorder="1" applyAlignment="1">
      <alignment horizontal="center" vertical="center" textRotation="255" wrapText="1"/>
    </xf>
    <xf numFmtId="0" fontId="38" fillId="6" borderId="51" xfId="1" applyFont="1" applyFill="1" applyBorder="1" applyAlignment="1">
      <alignment horizontal="center" vertical="center" textRotation="255" wrapText="1"/>
    </xf>
    <xf numFmtId="0" fontId="38" fillId="6" borderId="10" xfId="1" applyFont="1" applyFill="1" applyBorder="1" applyAlignment="1">
      <alignment horizontal="center" vertical="center" textRotation="255" wrapText="1"/>
    </xf>
    <xf numFmtId="0" fontId="38" fillId="6" borderId="13" xfId="1" applyFont="1" applyFill="1" applyBorder="1" applyAlignment="1">
      <alignment horizontal="center" vertical="center" textRotation="255" wrapText="1"/>
    </xf>
    <xf numFmtId="0" fontId="24" fillId="6" borderId="29" xfId="1" applyFont="1" applyFill="1" applyBorder="1" applyAlignment="1">
      <alignment horizontal="center" vertical="center" wrapText="1" shrinkToFit="1"/>
    </xf>
    <xf numFmtId="0" fontId="24" fillId="6" borderId="30" xfId="1" applyFont="1" applyFill="1" applyBorder="1" applyAlignment="1">
      <alignment horizontal="center" vertical="center" wrapText="1" shrinkToFit="1"/>
    </xf>
    <xf numFmtId="0" fontId="24" fillId="6" borderId="49" xfId="1" applyFont="1" applyFill="1" applyBorder="1" applyAlignment="1">
      <alignment horizontal="center" vertical="center" wrapText="1" shrinkToFit="1"/>
    </xf>
    <xf numFmtId="0" fontId="16" fillId="6" borderId="30" xfId="1" applyFont="1" applyFill="1" applyBorder="1" applyAlignment="1">
      <alignment horizontal="center" vertical="center" wrapText="1" shrinkToFit="1"/>
    </xf>
    <xf numFmtId="0" fontId="27" fillId="7" borderId="7" xfId="0" applyFont="1" applyFill="1" applyBorder="1" applyAlignment="1">
      <alignment horizontal="left" vertical="center"/>
    </xf>
    <xf numFmtId="0" fontId="27" fillId="7" borderId="8" xfId="0" applyFont="1" applyFill="1" applyBorder="1" applyAlignment="1">
      <alignment horizontal="left" vertical="center"/>
    </xf>
    <xf numFmtId="0" fontId="27" fillId="7" borderId="9" xfId="0" applyFont="1" applyFill="1" applyBorder="1" applyAlignment="1">
      <alignment horizontal="left" vertical="center"/>
    </xf>
  </cellXfs>
  <cellStyles count="12">
    <cellStyle name="Excel Built-in Normal" xfId="5"/>
    <cellStyle name="Graphics" xfId="6"/>
    <cellStyle name="Heading" xfId="7"/>
    <cellStyle name="Heading1" xfId="8"/>
    <cellStyle name="Lien hypertexte" xfId="9"/>
    <cellStyle name="Normal" xfId="0" builtinId="0"/>
    <cellStyle name="Normal 2" xfId="1"/>
    <cellStyle name="Normal 2 4" xfId="3"/>
    <cellStyle name="Normal 3" xfId="4"/>
    <cellStyle name="Pourcentage" xfId="2" builtinId="5"/>
    <cellStyle name="Result" xfId="10"/>
    <cellStyle name="Result2" xfId="11"/>
  </cellStyles>
  <dxfs count="0"/>
  <tableStyles count="0" defaultTableStyle="TableStyleMedium2" defaultPivotStyle="PivotStyleLight16"/>
  <colors>
    <mruColors>
      <color rgb="FFDDD9C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vmlDrawing1.vml.rels><?xml version="1.0" encoding="UTF-8" standalone="yes"?>
<Relationships xmlns="http://schemas.openxmlformats.org/package/2006/relationships"><Relationship Id="rId1" Type="http://schemas.openxmlformats.org/officeDocument/2006/relationships/image" Target="../media/image1.png"/></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C163"/>
  <sheetViews>
    <sheetView showGridLines="0" zoomScaleNormal="100" workbookViewId="0">
      <selection activeCell="C24" sqref="C24"/>
    </sheetView>
  </sheetViews>
  <sheetFormatPr baseColWidth="10" defaultRowHeight="15"/>
  <cols>
    <col min="1" max="1" width="4.7109375" customWidth="1"/>
    <col min="2" max="2" width="7.7109375" style="67" customWidth="1"/>
    <col min="3" max="3" width="41.5703125" style="67" customWidth="1"/>
    <col min="4" max="4" width="3.85546875" style="67" customWidth="1"/>
    <col min="5" max="5" width="9.7109375" style="67" customWidth="1"/>
    <col min="6" max="6" width="14.7109375" style="67" customWidth="1"/>
    <col min="7" max="7" width="17.28515625" style="67" customWidth="1"/>
    <col min="8" max="8" width="4.5703125" customWidth="1"/>
    <col min="14" max="14" width="11.42578125" customWidth="1"/>
    <col min="15" max="27" width="11.42578125" hidden="1" customWidth="1"/>
  </cols>
  <sheetData>
    <row r="1" spans="1:29" ht="15.75" thickBot="1">
      <c r="A1" s="7"/>
      <c r="B1" s="42"/>
      <c r="C1" s="42"/>
      <c r="D1" s="42"/>
      <c r="E1" s="42"/>
      <c r="F1" s="42"/>
      <c r="G1" s="42"/>
      <c r="H1" s="7"/>
      <c r="I1" s="9"/>
      <c r="J1" s="9"/>
      <c r="K1" s="9"/>
      <c r="L1" s="9"/>
      <c r="M1" s="9"/>
      <c r="N1" s="9"/>
      <c r="O1" s="9"/>
      <c r="P1" s="9"/>
      <c r="Q1" s="9"/>
      <c r="R1" s="9"/>
      <c r="S1" s="9"/>
      <c r="T1" s="9"/>
      <c r="U1" s="9"/>
      <c r="V1" s="9"/>
      <c r="W1" s="9"/>
      <c r="X1" s="9"/>
      <c r="Y1" s="9"/>
      <c r="Z1" s="9"/>
      <c r="AA1" s="9"/>
      <c r="AB1" s="9"/>
      <c r="AC1" s="9"/>
    </row>
    <row r="2" spans="1:29" ht="15.75" thickTop="1">
      <c r="A2" s="7"/>
      <c r="B2" s="42"/>
      <c r="C2" s="42"/>
      <c r="D2" s="42"/>
      <c r="E2" s="42"/>
      <c r="F2" s="42"/>
      <c r="G2" s="42"/>
      <c r="H2" s="7"/>
      <c r="I2" s="75"/>
      <c r="J2" s="76"/>
      <c r="K2" s="77"/>
      <c r="L2" s="78"/>
      <c r="M2" s="79"/>
      <c r="N2" s="78"/>
      <c r="O2" s="78"/>
      <c r="P2" s="78"/>
      <c r="Q2" s="78"/>
      <c r="R2" s="78"/>
      <c r="S2" s="78"/>
      <c r="T2" s="78"/>
      <c r="U2" s="78"/>
      <c r="V2" s="78"/>
      <c r="W2" s="78"/>
      <c r="X2" s="78"/>
      <c r="Y2" s="78"/>
      <c r="Z2" s="78"/>
      <c r="AA2" s="78"/>
      <c r="AB2" s="102"/>
      <c r="AC2" s="9"/>
    </row>
    <row r="3" spans="1:29">
      <c r="A3" s="7"/>
      <c r="B3" s="42"/>
      <c r="C3" s="42"/>
      <c r="D3" s="42"/>
      <c r="E3" s="42"/>
      <c r="F3" s="42"/>
      <c r="G3" s="42"/>
      <c r="H3" s="7"/>
      <c r="I3" s="80"/>
      <c r="J3" s="89"/>
      <c r="K3" s="84"/>
      <c r="L3" s="84"/>
      <c r="M3" s="85"/>
      <c r="N3" s="85"/>
      <c r="O3" s="85"/>
      <c r="P3" s="85"/>
      <c r="Q3" s="85"/>
      <c r="R3" s="85"/>
      <c r="S3" s="85"/>
      <c r="T3" s="85"/>
      <c r="U3" s="85"/>
      <c r="V3" s="85"/>
      <c r="W3" s="85"/>
      <c r="X3" s="85"/>
      <c r="Y3" s="85"/>
      <c r="Z3" s="85"/>
      <c r="AA3" s="85"/>
      <c r="AB3" s="103"/>
    </row>
    <row r="4" spans="1:29">
      <c r="A4" s="7"/>
      <c r="B4" s="43" t="s">
        <v>28</v>
      </c>
      <c r="C4" s="43"/>
      <c r="D4" s="43"/>
      <c r="E4" s="43"/>
      <c r="F4" s="43"/>
      <c r="G4" s="42"/>
      <c r="H4" s="7"/>
      <c r="I4" s="80"/>
      <c r="J4" s="89"/>
      <c r="K4" s="84"/>
      <c r="L4" s="84"/>
      <c r="M4" s="85"/>
      <c r="N4" s="85"/>
      <c r="O4" s="85"/>
      <c r="P4" s="85"/>
      <c r="Q4" s="85"/>
      <c r="R4" s="85"/>
      <c r="S4" s="85"/>
      <c r="T4" s="85"/>
      <c r="U4" s="85"/>
      <c r="V4" s="85"/>
      <c r="W4" s="85"/>
      <c r="X4" s="85"/>
      <c r="Y4" s="85"/>
      <c r="Z4" s="85"/>
      <c r="AA4" s="85"/>
      <c r="AB4" s="103"/>
    </row>
    <row r="5" spans="1:29">
      <c r="A5" s="7"/>
      <c r="B5" s="43"/>
      <c r="C5" s="43"/>
      <c r="D5" s="43"/>
      <c r="E5" s="43"/>
      <c r="F5" s="43"/>
      <c r="G5" s="42"/>
      <c r="H5" s="7"/>
      <c r="I5" s="80"/>
      <c r="J5" s="89"/>
      <c r="K5" s="84"/>
      <c r="L5" s="84"/>
      <c r="M5" s="85"/>
      <c r="N5" s="85"/>
      <c r="O5" s="85"/>
      <c r="P5" s="85"/>
      <c r="Q5" s="85"/>
      <c r="R5" s="85"/>
      <c r="S5" s="85"/>
      <c r="T5" s="85"/>
      <c r="U5" s="85"/>
      <c r="V5" s="85"/>
      <c r="W5" s="85"/>
      <c r="X5" s="85"/>
      <c r="Y5" s="85"/>
      <c r="Z5" s="85"/>
      <c r="AA5" s="85"/>
      <c r="AB5" s="103"/>
    </row>
    <row r="6" spans="1:29">
      <c r="A6" s="7"/>
      <c r="B6" s="43"/>
      <c r="C6" s="43"/>
      <c r="D6" s="43"/>
      <c r="E6" s="43"/>
      <c r="F6" s="43"/>
      <c r="G6" s="42"/>
      <c r="H6" s="7"/>
      <c r="I6" s="80"/>
      <c r="J6" s="89"/>
      <c r="K6" s="84"/>
      <c r="L6" s="84"/>
      <c r="M6" s="85"/>
      <c r="N6" s="85"/>
      <c r="O6" s="85"/>
      <c r="P6" s="85"/>
      <c r="Q6" s="85"/>
      <c r="R6" s="85"/>
      <c r="S6" s="85"/>
      <c r="T6" s="85"/>
      <c r="U6" s="85"/>
      <c r="V6" s="85"/>
      <c r="W6" s="85"/>
      <c r="X6" s="85"/>
      <c r="Y6" s="85"/>
      <c r="Z6" s="85"/>
      <c r="AA6" s="85"/>
      <c r="AB6" s="103"/>
      <c r="AC6" s="8"/>
    </row>
    <row r="7" spans="1:29">
      <c r="A7" s="7"/>
      <c r="B7" s="43"/>
      <c r="C7" s="43"/>
      <c r="D7" s="43"/>
      <c r="E7" s="43"/>
      <c r="F7" s="43"/>
      <c r="G7" s="42"/>
      <c r="H7" s="7"/>
      <c r="I7" s="80"/>
      <c r="J7" s="88" t="s">
        <v>79</v>
      </c>
      <c r="K7" s="111" t="s">
        <v>113</v>
      </c>
      <c r="L7" t="s">
        <v>479</v>
      </c>
      <c r="M7" t="s">
        <v>114</v>
      </c>
      <c r="N7" t="s">
        <v>436</v>
      </c>
      <c r="O7" t="s">
        <v>39</v>
      </c>
      <c r="P7" s="109">
        <v>75001</v>
      </c>
      <c r="Q7" t="s">
        <v>437</v>
      </c>
      <c r="R7" t="s">
        <v>438</v>
      </c>
      <c r="S7" t="s">
        <v>439</v>
      </c>
      <c r="T7" s="109">
        <v>75000</v>
      </c>
      <c r="U7" t="s">
        <v>39</v>
      </c>
      <c r="W7" t="s">
        <v>440</v>
      </c>
      <c r="X7" t="s">
        <v>441</v>
      </c>
      <c r="Y7" t="s">
        <v>442</v>
      </c>
      <c r="Z7">
        <v>97420</v>
      </c>
      <c r="AA7" t="s">
        <v>443</v>
      </c>
      <c r="AB7" s="103"/>
    </row>
    <row r="8" spans="1:29">
      <c r="A8" s="7"/>
      <c r="B8" s="43"/>
      <c r="C8" s="43"/>
      <c r="D8" s="43"/>
      <c r="E8" s="43"/>
      <c r="F8" s="43"/>
      <c r="G8" s="42"/>
      <c r="H8" s="7"/>
      <c r="I8" s="80"/>
      <c r="J8" s="89"/>
      <c r="K8" s="84"/>
      <c r="L8" s="84"/>
      <c r="M8" s="85"/>
      <c r="N8" s="85"/>
      <c r="O8" s="85"/>
      <c r="P8" s="85"/>
      <c r="Q8" s="85"/>
      <c r="R8" s="85"/>
      <c r="S8" s="85"/>
      <c r="T8" s="85"/>
      <c r="U8" s="85"/>
      <c r="V8" s="85"/>
      <c r="W8" s="85"/>
      <c r="X8" s="85"/>
      <c r="Y8" s="85"/>
      <c r="Z8" s="85"/>
      <c r="AA8" s="85"/>
      <c r="AB8" s="103"/>
      <c r="AC8" s="8"/>
    </row>
    <row r="9" spans="1:29" ht="15.75">
      <c r="A9" s="7"/>
      <c r="B9" s="467" t="s">
        <v>74</v>
      </c>
      <c r="C9" s="467"/>
      <c r="D9" s="467"/>
      <c r="E9" s="467"/>
      <c r="F9" s="467"/>
      <c r="G9" s="467"/>
      <c r="H9" s="7"/>
      <c r="I9" s="80"/>
      <c r="J9" s="88" t="s">
        <v>61</v>
      </c>
      <c r="K9" s="94" t="s">
        <v>38</v>
      </c>
      <c r="L9" s="82"/>
      <c r="M9" s="83"/>
      <c r="N9" s="82"/>
      <c r="O9" s="82"/>
      <c r="P9" s="82"/>
      <c r="Q9" s="82"/>
      <c r="R9" s="82"/>
      <c r="S9" s="82"/>
      <c r="T9" s="82"/>
      <c r="U9" s="82"/>
      <c r="V9" s="82"/>
      <c r="W9" s="82"/>
      <c r="X9" s="82"/>
      <c r="Y9" s="82"/>
      <c r="Z9" s="82"/>
      <c r="AA9" s="82"/>
      <c r="AB9" s="104"/>
      <c r="AC9" s="8"/>
    </row>
    <row r="10" spans="1:29">
      <c r="A10" s="7"/>
      <c r="C10" s="45"/>
      <c r="D10" s="45"/>
      <c r="E10" s="45"/>
      <c r="F10" s="45"/>
      <c r="G10" s="42"/>
      <c r="H10" s="7"/>
      <c r="I10" s="80"/>
      <c r="J10" s="88" t="s">
        <v>62</v>
      </c>
      <c r="K10" s="95">
        <v>42627</v>
      </c>
      <c r="L10" s="81"/>
      <c r="M10" s="85"/>
      <c r="N10" s="85"/>
      <c r="O10" s="85"/>
      <c r="P10" s="85"/>
      <c r="Q10" s="85"/>
      <c r="R10" s="85"/>
      <c r="S10" s="85"/>
      <c r="T10" s="85"/>
      <c r="U10" s="85"/>
      <c r="V10" s="85"/>
      <c r="W10" s="85"/>
      <c r="X10" s="85"/>
      <c r="Y10" s="85"/>
      <c r="Z10" s="85"/>
      <c r="AA10" s="85"/>
      <c r="AB10" s="103"/>
      <c r="AC10" s="3"/>
    </row>
    <row r="11" spans="1:29" ht="15.75">
      <c r="A11" s="7"/>
      <c r="B11" s="44"/>
      <c r="C11" s="45"/>
      <c r="D11" s="45"/>
      <c r="E11" s="45"/>
      <c r="F11" s="45"/>
      <c r="G11" s="42"/>
      <c r="H11" s="7"/>
      <c r="I11" s="80"/>
      <c r="J11" s="90" t="s">
        <v>134</v>
      </c>
      <c r="K11" s="101" t="s">
        <v>135</v>
      </c>
      <c r="L11" s="84" t="s">
        <v>28</v>
      </c>
      <c r="M11" s="85"/>
      <c r="N11" s="85"/>
      <c r="O11" s="85"/>
      <c r="P11" s="85"/>
      <c r="Q11" s="85"/>
      <c r="R11" s="85"/>
      <c r="S11" s="85"/>
      <c r="T11" s="85"/>
      <c r="U11" s="85"/>
      <c r="V11" s="85"/>
      <c r="W11" s="85"/>
      <c r="X11" s="85"/>
      <c r="Y11" s="85"/>
      <c r="Z11" s="85"/>
      <c r="AA11" s="85"/>
      <c r="AB11" s="103"/>
      <c r="AC11" s="3"/>
    </row>
    <row r="12" spans="1:29">
      <c r="A12" s="7"/>
      <c r="B12" s="469" t="str">
        <f>+K11</f>
        <v>Tous corps d'états (hors lot ascenseurs)</v>
      </c>
      <c r="C12" s="469"/>
      <c r="D12" s="469"/>
      <c r="E12" s="469"/>
      <c r="F12" s="469"/>
      <c r="G12" s="469"/>
      <c r="H12" s="7"/>
      <c r="I12" s="80"/>
      <c r="J12" s="88" t="s">
        <v>63</v>
      </c>
      <c r="K12" s="91">
        <v>0.2</v>
      </c>
      <c r="L12" s="81"/>
      <c r="M12" s="81"/>
      <c r="N12" s="81"/>
      <c r="O12" s="81"/>
      <c r="P12" s="81"/>
      <c r="Q12" s="81"/>
      <c r="R12" s="81"/>
      <c r="S12" s="81"/>
      <c r="T12" s="81"/>
      <c r="U12" s="81"/>
      <c r="V12" s="81"/>
      <c r="W12" s="81"/>
      <c r="X12" s="81"/>
      <c r="Y12" s="81"/>
      <c r="Z12" s="81"/>
      <c r="AA12" s="81"/>
      <c r="AB12" s="105"/>
      <c r="AC12" s="9"/>
    </row>
    <row r="13" spans="1:29" ht="15.75">
      <c r="A13" s="7"/>
      <c r="H13" s="10"/>
      <c r="I13" s="80"/>
      <c r="J13" s="90" t="s">
        <v>64</v>
      </c>
      <c r="K13" s="92" t="s">
        <v>70</v>
      </c>
      <c r="L13" s="81" t="s">
        <v>28</v>
      </c>
      <c r="M13" s="81"/>
      <c r="N13" s="81"/>
      <c r="O13" s="81"/>
      <c r="P13" s="81"/>
      <c r="Q13" s="81"/>
      <c r="R13" s="81"/>
      <c r="S13" s="81"/>
      <c r="T13" s="81"/>
      <c r="U13" s="81"/>
      <c r="V13" s="81"/>
      <c r="W13" s="81"/>
      <c r="X13" s="81"/>
      <c r="Y13" s="81"/>
      <c r="Z13" s="81"/>
      <c r="AA13" s="81"/>
      <c r="AB13" s="105"/>
      <c r="AC13" s="9"/>
    </row>
    <row r="14" spans="1:29" ht="15.75">
      <c r="A14" s="7"/>
      <c r="B14" s="468" t="s">
        <v>28</v>
      </c>
      <c r="C14" s="468"/>
      <c r="D14" s="468"/>
      <c r="E14" s="468"/>
      <c r="F14" s="468"/>
      <c r="G14" s="468"/>
      <c r="H14" s="3"/>
      <c r="I14" s="80"/>
      <c r="J14" s="90" t="s">
        <v>77</v>
      </c>
      <c r="K14" s="101" t="s">
        <v>118</v>
      </c>
      <c r="L14" s="81"/>
      <c r="M14" s="81"/>
      <c r="N14" s="81"/>
      <c r="O14" s="81"/>
      <c r="P14" s="81"/>
      <c r="Q14" s="81"/>
      <c r="R14" s="81"/>
      <c r="S14" s="81"/>
      <c r="T14" s="81"/>
      <c r="U14" s="81"/>
      <c r="V14" s="81"/>
      <c r="W14" s="81"/>
      <c r="X14" s="81"/>
      <c r="Y14" s="81"/>
      <c r="Z14" s="81"/>
      <c r="AA14" s="81"/>
      <c r="AB14" s="105"/>
      <c r="AC14" s="9"/>
    </row>
    <row r="15" spans="1:29" ht="15.75">
      <c r="A15" s="7"/>
      <c r="B15" s="44" t="str">
        <f>+K7&amp;" "&amp;J5&amp;" _"&amp;L7</f>
        <v>0080  _PARIS - Rue d'Excel - COMIKSOU</v>
      </c>
      <c r="F15" s="107" t="s">
        <v>80</v>
      </c>
      <c r="G15" s="108">
        <f>+DATE</f>
        <v>42627</v>
      </c>
      <c r="H15" s="3"/>
      <c r="I15" s="80"/>
      <c r="J15" s="90" t="s">
        <v>78</v>
      </c>
      <c r="K15" s="101" t="s">
        <v>118</v>
      </c>
      <c r="L15" s="81"/>
      <c r="M15" s="81"/>
      <c r="N15" s="81"/>
      <c r="O15" s="81"/>
      <c r="P15" s="81"/>
      <c r="Q15" s="81"/>
      <c r="R15" s="81"/>
      <c r="S15" s="81"/>
      <c r="T15" s="81"/>
      <c r="U15" s="81"/>
      <c r="V15" s="81"/>
      <c r="W15" s="81"/>
      <c r="X15" s="81"/>
      <c r="Y15" s="81"/>
      <c r="Z15" s="81"/>
      <c r="AA15" s="81"/>
      <c r="AB15" s="105"/>
      <c r="AC15" s="9"/>
    </row>
    <row r="16" spans="1:29">
      <c r="A16" s="7"/>
      <c r="C16" s="46"/>
      <c r="D16" s="46"/>
      <c r="E16" s="46"/>
      <c r="F16" s="46"/>
      <c r="G16" s="46"/>
      <c r="H16" s="3"/>
      <c r="I16" s="80"/>
      <c r="J16" s="81"/>
      <c r="K16" s="81"/>
      <c r="L16" s="81"/>
      <c r="M16" s="81"/>
      <c r="N16" s="81"/>
      <c r="O16" s="81"/>
      <c r="P16" s="81"/>
      <c r="Q16" s="81"/>
      <c r="R16" s="81"/>
      <c r="S16" s="81"/>
      <c r="T16" s="81"/>
      <c r="U16" s="81"/>
      <c r="V16" s="81"/>
      <c r="W16" s="81"/>
      <c r="X16" s="81"/>
      <c r="Y16" s="81"/>
      <c r="Z16" s="81"/>
      <c r="AA16" s="81"/>
      <c r="AB16" s="105"/>
      <c r="AC16" s="9"/>
    </row>
    <row r="17" spans="1:29">
      <c r="A17" s="7"/>
      <c r="B17" s="46"/>
      <c r="C17" s="46"/>
      <c r="D17" s="46"/>
      <c r="E17" s="46"/>
      <c r="F17" s="46"/>
      <c r="G17" s="46"/>
      <c r="H17" s="3"/>
      <c r="I17" s="80"/>
      <c r="J17" s="88" t="s">
        <v>71</v>
      </c>
      <c r="K17" s="93">
        <v>3</v>
      </c>
      <c r="L17" s="81"/>
      <c r="M17" s="81"/>
      <c r="N17" s="81"/>
      <c r="O17" s="81"/>
      <c r="P17" s="81"/>
      <c r="Q17" s="81"/>
      <c r="R17" s="81"/>
      <c r="S17" s="81"/>
      <c r="T17" s="81"/>
      <c r="U17" s="81"/>
      <c r="V17" s="81"/>
      <c r="W17" s="81"/>
      <c r="X17" s="81"/>
      <c r="Y17" s="81"/>
      <c r="Z17" s="81"/>
      <c r="AA17" s="81"/>
      <c r="AB17" s="105"/>
      <c r="AC17" s="9"/>
    </row>
    <row r="18" spans="1:29" ht="15.75" thickBot="1">
      <c r="A18" s="7"/>
      <c r="B18" s="47"/>
      <c r="C18" s="47"/>
      <c r="D18" s="47"/>
      <c r="E18" s="47"/>
      <c r="F18" s="47"/>
      <c r="G18" s="47"/>
      <c r="H18" s="3"/>
      <c r="I18" s="80"/>
      <c r="J18" s="88" t="s">
        <v>72</v>
      </c>
      <c r="K18" s="93">
        <v>2</v>
      </c>
      <c r="L18" s="81"/>
      <c r="M18" s="81"/>
      <c r="N18" s="81"/>
      <c r="O18" s="81"/>
      <c r="P18" s="81"/>
      <c r="Q18" s="81"/>
      <c r="R18" s="81"/>
      <c r="S18" s="81"/>
      <c r="T18" s="81"/>
      <c r="U18" s="81"/>
      <c r="V18" s="81"/>
      <c r="W18" s="81"/>
      <c r="X18" s="81"/>
      <c r="Y18" s="81"/>
      <c r="Z18" s="81"/>
      <c r="AA18" s="81"/>
      <c r="AB18" s="105"/>
      <c r="AC18" s="9"/>
    </row>
    <row r="19" spans="1:29" ht="15.75" thickTop="1">
      <c r="A19" s="7"/>
      <c r="B19" s="48"/>
      <c r="C19" s="49"/>
      <c r="D19" s="49"/>
      <c r="E19" s="49"/>
      <c r="F19" s="49"/>
      <c r="G19" s="50"/>
      <c r="H19" s="3"/>
      <c r="I19" s="80"/>
      <c r="J19" s="81"/>
      <c r="K19" s="81"/>
      <c r="L19" s="81"/>
      <c r="M19" s="81"/>
      <c r="N19" s="81"/>
      <c r="O19" s="81"/>
      <c r="P19" s="81"/>
      <c r="Q19" s="81"/>
      <c r="R19" s="81"/>
      <c r="S19" s="81"/>
      <c r="T19" s="81"/>
      <c r="U19" s="81"/>
      <c r="V19" s="81"/>
      <c r="W19" s="81"/>
      <c r="X19" s="81"/>
      <c r="Y19" s="81"/>
      <c r="Z19" s="81"/>
      <c r="AA19" s="81"/>
      <c r="AB19" s="105"/>
      <c r="AC19" s="9"/>
    </row>
    <row r="20" spans="1:29" ht="15.75">
      <c r="A20" s="7"/>
      <c r="B20" s="472" t="str">
        <f>+Q7</f>
        <v>Création d'un laboratoire pour fichier EXCEL !</v>
      </c>
      <c r="C20" s="473"/>
      <c r="D20" s="473"/>
      <c r="E20" s="473"/>
      <c r="F20" s="473"/>
      <c r="G20" s="474"/>
      <c r="H20" s="11"/>
      <c r="I20" s="80"/>
      <c r="J20" s="81"/>
      <c r="K20" s="81"/>
      <c r="L20" s="81"/>
      <c r="M20" s="81"/>
      <c r="N20" s="81"/>
      <c r="O20" s="81"/>
      <c r="P20" s="81"/>
      <c r="Q20" s="81"/>
      <c r="R20" s="81"/>
      <c r="S20" s="81"/>
      <c r="T20" s="81"/>
      <c r="U20" s="81"/>
      <c r="V20" s="81"/>
      <c r="W20" s="81"/>
      <c r="X20" s="81"/>
      <c r="Y20" s="81"/>
      <c r="Z20" s="81"/>
      <c r="AA20" s="81"/>
      <c r="AB20" s="105"/>
      <c r="AC20" s="9"/>
    </row>
    <row r="21" spans="1:29" ht="15.75">
      <c r="A21" s="7"/>
      <c r="B21" s="472"/>
      <c r="C21" s="473"/>
      <c r="D21" s="473"/>
      <c r="E21" s="473"/>
      <c r="F21" s="473"/>
      <c r="G21" s="474"/>
      <c r="H21" s="11"/>
      <c r="I21" s="80"/>
      <c r="J21" s="96" t="s">
        <v>68</v>
      </c>
      <c r="K21" s="470" t="s">
        <v>69</v>
      </c>
      <c r="L21" s="471"/>
      <c r="M21" s="97" t="s">
        <v>73</v>
      </c>
      <c r="N21" s="81" t="s">
        <v>28</v>
      </c>
      <c r="O21" s="81"/>
      <c r="P21" s="81"/>
      <c r="Q21" s="81"/>
      <c r="R21" s="81"/>
      <c r="S21" s="81"/>
      <c r="T21" s="81"/>
      <c r="U21" s="81"/>
      <c r="V21" s="81"/>
      <c r="W21" s="81"/>
      <c r="X21" s="81"/>
      <c r="Y21" s="81"/>
      <c r="Z21" s="81"/>
      <c r="AA21" s="81"/>
      <c r="AB21" s="105"/>
      <c r="AC21" s="9"/>
    </row>
    <row r="22" spans="1:29" ht="15.75">
      <c r="A22" s="7"/>
      <c r="B22" s="479" t="str">
        <f>+M7&amp;" - "&amp;N7</f>
        <v>Rue de l'Hautil - Résidence de Comiksou</v>
      </c>
      <c r="C22" s="480"/>
      <c r="D22" s="480"/>
      <c r="E22" s="480"/>
      <c r="F22" s="480"/>
      <c r="G22" s="481"/>
      <c r="H22" s="12"/>
      <c r="I22" s="80"/>
      <c r="J22" s="93" t="s">
        <v>136</v>
      </c>
      <c r="K22" s="98" t="s">
        <v>137</v>
      </c>
      <c r="L22" s="99"/>
      <c r="M22" s="93"/>
      <c r="N22" s="81"/>
      <c r="O22" s="81"/>
      <c r="P22" s="81"/>
      <c r="Q22" s="81"/>
      <c r="R22" s="81"/>
      <c r="S22" s="81"/>
      <c r="T22" s="81"/>
      <c r="U22" s="81"/>
      <c r="V22" s="81"/>
      <c r="W22" s="81"/>
      <c r="X22" s="81"/>
      <c r="Y22" s="81"/>
      <c r="Z22" s="81"/>
      <c r="AA22" s="81"/>
      <c r="AB22" s="105"/>
      <c r="AC22" s="9"/>
    </row>
    <row r="23" spans="1:29" ht="15.75">
      <c r="A23" s="7"/>
      <c r="B23" s="479" t="str">
        <f>+P7&amp;" "&amp;O7</f>
        <v>75001 PARIS</v>
      </c>
      <c r="C23" s="480"/>
      <c r="D23" s="480"/>
      <c r="E23" s="480"/>
      <c r="F23" s="480"/>
      <c r="G23" s="481"/>
      <c r="H23" s="12"/>
      <c r="I23" s="80"/>
      <c r="J23" s="93" t="s">
        <v>271</v>
      </c>
      <c r="K23" s="98" t="s">
        <v>272</v>
      </c>
      <c r="L23" s="99"/>
      <c r="M23" s="93"/>
      <c r="N23" s="81"/>
      <c r="O23" s="81"/>
      <c r="P23" s="81"/>
      <c r="Q23" s="81"/>
      <c r="R23" s="81"/>
      <c r="S23" s="81"/>
      <c r="T23" s="81"/>
      <c r="U23" s="81"/>
      <c r="V23" s="81"/>
      <c r="W23" s="81"/>
      <c r="X23" s="81"/>
      <c r="Y23" s="81"/>
      <c r="Z23" s="81"/>
      <c r="AA23" s="81"/>
      <c r="AB23" s="105"/>
      <c r="AC23" s="9"/>
    </row>
    <row r="24" spans="1:29" ht="15.75" thickBot="1">
      <c r="A24" s="7"/>
      <c r="B24" s="51"/>
      <c r="C24" s="52"/>
      <c r="D24" s="52"/>
      <c r="E24" s="52"/>
      <c r="F24" s="52"/>
      <c r="G24" s="53"/>
      <c r="H24" s="3"/>
      <c r="I24" s="80"/>
      <c r="J24" s="93" t="s">
        <v>273</v>
      </c>
      <c r="K24" s="98" t="s">
        <v>274</v>
      </c>
      <c r="L24" s="99"/>
      <c r="M24" s="93"/>
      <c r="N24" s="81"/>
      <c r="O24" s="81"/>
      <c r="P24" s="81"/>
      <c r="Q24" s="81"/>
      <c r="R24" s="81"/>
      <c r="S24" s="81"/>
      <c r="T24" s="81"/>
      <c r="U24" s="81"/>
      <c r="V24" s="81"/>
      <c r="W24" s="81"/>
      <c r="X24" s="81"/>
      <c r="Y24" s="81"/>
      <c r="Z24" s="81"/>
      <c r="AA24" s="81"/>
      <c r="AB24" s="105"/>
      <c r="AC24" s="9"/>
    </row>
    <row r="25" spans="1:29" ht="15.75" thickTop="1">
      <c r="A25" s="7"/>
      <c r="B25" s="47"/>
      <c r="C25" s="47"/>
      <c r="D25" s="47"/>
      <c r="E25" s="47"/>
      <c r="F25" s="47"/>
      <c r="G25" s="47"/>
      <c r="H25" s="3"/>
      <c r="I25" s="80"/>
      <c r="J25" s="93" t="s">
        <v>275</v>
      </c>
      <c r="K25" s="98" t="s">
        <v>276</v>
      </c>
      <c r="L25" s="99"/>
      <c r="M25" s="93"/>
      <c r="N25" s="81"/>
      <c r="O25" s="81"/>
      <c r="P25" s="81"/>
      <c r="Q25" s="81"/>
      <c r="R25" s="81"/>
      <c r="S25" s="81"/>
      <c r="T25" s="81"/>
      <c r="U25" s="81"/>
      <c r="V25" s="81"/>
      <c r="W25" s="81"/>
      <c r="X25" s="81"/>
      <c r="Y25" s="81"/>
      <c r="Z25" s="81"/>
      <c r="AA25" s="81"/>
      <c r="AB25" s="105"/>
      <c r="AC25" s="9"/>
    </row>
    <row r="26" spans="1:29">
      <c r="A26" s="7"/>
      <c r="B26" s="47"/>
      <c r="C26" s="47"/>
      <c r="D26" s="47"/>
      <c r="E26" s="47"/>
      <c r="F26" s="47"/>
      <c r="G26" s="47"/>
      <c r="H26" s="3"/>
      <c r="I26" s="80"/>
      <c r="J26" s="93" t="s">
        <v>277</v>
      </c>
      <c r="K26" s="98" t="s">
        <v>281</v>
      </c>
      <c r="L26" s="99"/>
      <c r="M26" s="93"/>
      <c r="N26" s="81"/>
      <c r="O26" s="81"/>
      <c r="P26" s="81"/>
      <c r="Q26" s="81"/>
      <c r="R26" s="81"/>
      <c r="S26" s="81"/>
      <c r="T26" s="81"/>
      <c r="U26" s="81"/>
      <c r="V26" s="81"/>
      <c r="W26" s="81"/>
      <c r="X26" s="81"/>
      <c r="Y26" s="81"/>
      <c r="Z26" s="81"/>
      <c r="AA26" s="81"/>
      <c r="AB26" s="105"/>
      <c r="AC26" s="9"/>
    </row>
    <row r="27" spans="1:29">
      <c r="A27" s="7"/>
      <c r="B27" s="47"/>
      <c r="C27" s="47"/>
      <c r="D27" s="47"/>
      <c r="E27" s="47"/>
      <c r="F27" s="47"/>
      <c r="G27" s="47"/>
      <c r="H27" s="3"/>
      <c r="I27" s="80"/>
      <c r="J27" s="93" t="s">
        <v>278</v>
      </c>
      <c r="K27" s="98" t="s">
        <v>280</v>
      </c>
      <c r="L27" s="99"/>
      <c r="M27" s="93"/>
      <c r="N27" s="81"/>
      <c r="O27" s="81"/>
      <c r="P27" s="81"/>
      <c r="Q27" s="81"/>
      <c r="R27" s="81"/>
      <c r="S27" s="81"/>
      <c r="T27" s="81"/>
      <c r="U27" s="81"/>
      <c r="V27" s="81"/>
      <c r="W27" s="81"/>
      <c r="X27" s="81"/>
      <c r="Y27" s="81"/>
      <c r="Z27" s="81"/>
      <c r="AA27" s="81"/>
      <c r="AB27" s="105"/>
      <c r="AC27" s="9"/>
    </row>
    <row r="28" spans="1:29" ht="15.75">
      <c r="A28" s="7"/>
      <c r="B28" s="44" t="s">
        <v>29</v>
      </c>
      <c r="C28" s="54"/>
      <c r="D28" s="54"/>
      <c r="E28" s="478" t="s">
        <v>37</v>
      </c>
      <c r="F28" s="478"/>
      <c r="G28" s="478"/>
      <c r="H28" s="13"/>
      <c r="I28" s="80"/>
      <c r="J28" s="93" t="s">
        <v>282</v>
      </c>
      <c r="K28" s="98" t="s">
        <v>279</v>
      </c>
      <c r="L28" s="99"/>
      <c r="M28" s="93"/>
      <c r="N28" s="81"/>
      <c r="O28" s="81"/>
      <c r="P28" s="81"/>
      <c r="Q28" s="81"/>
      <c r="R28" s="81"/>
      <c r="S28" s="81"/>
      <c r="T28" s="81"/>
      <c r="U28" s="81"/>
      <c r="V28" s="81"/>
      <c r="W28" s="81"/>
      <c r="X28" s="81"/>
      <c r="Y28" s="81"/>
      <c r="Z28" s="81"/>
      <c r="AA28" s="81"/>
      <c r="AB28" s="105"/>
      <c r="AC28" s="9"/>
    </row>
    <row r="29" spans="1:29">
      <c r="A29" s="7"/>
      <c r="B29" s="477" t="str">
        <f>+R7</f>
        <v>COMIKSOU</v>
      </c>
      <c r="C29" s="477"/>
      <c r="D29" s="55"/>
      <c r="E29" s="56"/>
      <c r="F29" s="56"/>
      <c r="G29" s="57" t="str">
        <f>+W7</f>
        <v>MFERRAN</v>
      </c>
      <c r="H29" s="14"/>
      <c r="I29" s="80"/>
      <c r="J29" s="93" t="s">
        <v>284</v>
      </c>
      <c r="K29" s="98" t="s">
        <v>283</v>
      </c>
      <c r="L29" s="99"/>
      <c r="M29" s="93"/>
      <c r="N29" s="81"/>
      <c r="O29" s="81"/>
      <c r="P29" s="81"/>
      <c r="Q29" s="81"/>
      <c r="R29" s="81"/>
      <c r="S29" s="81"/>
      <c r="T29" s="81"/>
      <c r="U29" s="81"/>
      <c r="V29" s="81"/>
      <c r="W29" s="81"/>
      <c r="X29" s="81"/>
      <c r="Y29" s="81"/>
      <c r="Z29" s="81"/>
      <c r="AA29" s="81"/>
      <c r="AB29" s="105"/>
      <c r="AC29" s="9"/>
    </row>
    <row r="30" spans="1:29">
      <c r="A30" s="7"/>
      <c r="B30" s="475" t="str">
        <f>+S7</f>
        <v>1 allée de l'Apprenti</v>
      </c>
      <c r="C30" s="475"/>
      <c r="D30" s="475"/>
      <c r="E30" s="476" t="str">
        <f>+X7</f>
        <v>46 quai de la Mer</v>
      </c>
      <c r="F30" s="476"/>
      <c r="G30" s="476"/>
      <c r="H30" s="15"/>
      <c r="I30" s="80"/>
      <c r="J30" s="93" t="s">
        <v>286</v>
      </c>
      <c r="K30" s="98" t="s">
        <v>285</v>
      </c>
      <c r="L30" s="99"/>
      <c r="M30" s="93"/>
      <c r="N30" s="81"/>
      <c r="O30" s="81"/>
      <c r="P30" s="81"/>
      <c r="Q30" s="81"/>
      <c r="R30" s="81"/>
      <c r="S30" s="81"/>
      <c r="T30" s="81"/>
      <c r="U30" s="81"/>
      <c r="V30" s="81"/>
      <c r="W30" s="81"/>
      <c r="X30" s="81"/>
      <c r="Y30" s="81"/>
      <c r="Z30" s="81"/>
      <c r="AA30" s="81"/>
      <c r="AB30" s="105"/>
      <c r="AC30" s="9"/>
    </row>
    <row r="31" spans="1:29">
      <c r="A31" s="7"/>
      <c r="B31" s="475" t="str">
        <f>+T7&amp;" "&amp;U7</f>
        <v>75000 PARIS</v>
      </c>
      <c r="C31" s="475"/>
      <c r="D31" s="475"/>
      <c r="E31" s="476" t="str">
        <f>+Z7&amp;" "&amp;Y7</f>
        <v>97420 LA REUNION</v>
      </c>
      <c r="F31" s="476"/>
      <c r="G31" s="476"/>
      <c r="H31" s="15"/>
      <c r="I31" s="80"/>
      <c r="J31" s="93" t="s">
        <v>288</v>
      </c>
      <c r="K31" s="98" t="s">
        <v>287</v>
      </c>
      <c r="L31" s="99"/>
      <c r="M31" s="93"/>
      <c r="N31" s="81"/>
      <c r="O31" s="81"/>
      <c r="P31" s="81"/>
      <c r="Q31" s="81"/>
      <c r="R31" s="81"/>
      <c r="S31" s="81"/>
      <c r="T31" s="81"/>
      <c r="U31" s="81"/>
      <c r="V31" s="81"/>
      <c r="W31" s="81"/>
      <c r="X31" s="81"/>
      <c r="Y31" s="81"/>
      <c r="Z31" s="81"/>
      <c r="AA31" s="81"/>
      <c r="AB31" s="105"/>
      <c r="AC31" s="9"/>
    </row>
    <row r="32" spans="1:29">
      <c r="A32" s="7"/>
      <c r="B32" s="475" t="str">
        <f>+"Tel : "&amp;V7</f>
        <v xml:space="preserve">Tel : </v>
      </c>
      <c r="C32" s="475"/>
      <c r="D32" s="475"/>
      <c r="E32" s="476" t="str">
        <f>+"Tel : "&amp;AA7</f>
        <v>Tel : 00.XX.XX.XX.XX</v>
      </c>
      <c r="F32" s="476"/>
      <c r="G32" s="476"/>
      <c r="H32" s="15"/>
      <c r="I32" s="80"/>
      <c r="J32" s="93" t="s">
        <v>290</v>
      </c>
      <c r="K32" s="98" t="s">
        <v>289</v>
      </c>
      <c r="L32" s="99"/>
      <c r="M32" s="93"/>
      <c r="N32" s="81"/>
      <c r="O32" s="81"/>
      <c r="P32" s="81"/>
      <c r="Q32" s="81"/>
      <c r="R32" s="81"/>
      <c r="S32" s="81"/>
      <c r="T32" s="81"/>
      <c r="U32" s="81"/>
      <c r="V32" s="81"/>
      <c r="W32" s="81"/>
      <c r="X32" s="81"/>
      <c r="Y32" s="81"/>
      <c r="Z32" s="81"/>
      <c r="AA32" s="81"/>
      <c r="AB32" s="105"/>
      <c r="AC32" s="9"/>
    </row>
    <row r="33" spans="1:29">
      <c r="A33" s="7"/>
      <c r="B33" s="58"/>
      <c r="C33" s="58"/>
      <c r="D33" s="58"/>
      <c r="E33" s="59"/>
      <c r="F33" s="59"/>
      <c r="G33" s="59"/>
      <c r="H33" s="15"/>
      <c r="I33" s="80"/>
      <c r="J33" s="93" t="s">
        <v>291</v>
      </c>
      <c r="K33" s="98" t="s">
        <v>292</v>
      </c>
      <c r="L33" s="99"/>
      <c r="M33" s="93"/>
      <c r="N33" s="81"/>
      <c r="O33" s="81"/>
      <c r="P33" s="81"/>
      <c r="Q33" s="81"/>
      <c r="R33" s="81"/>
      <c r="S33" s="81"/>
      <c r="T33" s="81"/>
      <c r="U33" s="81"/>
      <c r="V33" s="81"/>
      <c r="W33" s="81"/>
      <c r="X33" s="81"/>
      <c r="Y33" s="81"/>
      <c r="Z33" s="81"/>
      <c r="AA33" s="81"/>
      <c r="AB33" s="105"/>
      <c r="AC33" s="9"/>
    </row>
    <row r="34" spans="1:29">
      <c r="A34" s="7"/>
      <c r="B34" s="58"/>
      <c r="C34" s="58"/>
      <c r="D34" s="58"/>
      <c r="E34" s="59"/>
      <c r="F34" s="59"/>
      <c r="G34" s="59"/>
      <c r="H34" s="15"/>
      <c r="I34" s="80"/>
      <c r="J34" s="93" t="s">
        <v>296</v>
      </c>
      <c r="K34" s="98" t="s">
        <v>292</v>
      </c>
      <c r="L34" s="99"/>
      <c r="M34" s="93"/>
      <c r="N34" s="81"/>
      <c r="O34" s="81"/>
      <c r="P34" s="81"/>
      <c r="Q34" s="81"/>
      <c r="R34" s="81"/>
      <c r="S34" s="81"/>
      <c r="T34" s="81"/>
      <c r="U34" s="81"/>
      <c r="V34" s="81"/>
      <c r="W34" s="81"/>
      <c r="X34" s="81"/>
      <c r="Y34" s="81"/>
      <c r="Z34" s="81"/>
      <c r="AA34" s="81"/>
      <c r="AB34" s="105"/>
      <c r="AC34" s="9"/>
    </row>
    <row r="35" spans="1:29">
      <c r="A35" s="7"/>
      <c r="B35" s="58"/>
      <c r="C35" s="58"/>
      <c r="D35" s="58"/>
      <c r="E35" s="59"/>
      <c r="F35" s="59"/>
      <c r="G35" s="59"/>
      <c r="H35" s="15"/>
      <c r="I35" s="80"/>
      <c r="J35" s="93" t="s">
        <v>296</v>
      </c>
      <c r="K35" s="98" t="s">
        <v>299</v>
      </c>
      <c r="L35" s="99"/>
      <c r="M35" s="93"/>
      <c r="N35" s="81"/>
      <c r="O35" s="81"/>
      <c r="P35" s="81"/>
      <c r="Q35" s="81"/>
      <c r="R35" s="81"/>
      <c r="S35" s="81"/>
      <c r="T35" s="81"/>
      <c r="U35" s="81"/>
      <c r="V35" s="81"/>
      <c r="W35" s="81"/>
      <c r="X35" s="81"/>
      <c r="Y35" s="81"/>
      <c r="Z35" s="81"/>
      <c r="AA35" s="81"/>
      <c r="AB35" s="105"/>
      <c r="AC35" s="9"/>
    </row>
    <row r="36" spans="1:29">
      <c r="A36" s="7"/>
      <c r="B36" s="42" t="s">
        <v>28</v>
      </c>
      <c r="C36" s="42"/>
      <c r="D36" s="42"/>
      <c r="E36" s="42"/>
      <c r="F36" s="42"/>
      <c r="G36" s="42"/>
      <c r="H36" s="15"/>
      <c r="I36" s="80"/>
      <c r="J36" s="93" t="s">
        <v>297</v>
      </c>
      <c r="K36" s="98"/>
      <c r="L36" s="99"/>
      <c r="M36" s="93"/>
      <c r="N36" s="81"/>
      <c r="O36" s="81"/>
      <c r="P36" s="81"/>
      <c r="Q36" s="81"/>
      <c r="R36" s="81"/>
      <c r="S36" s="81"/>
      <c r="T36" s="81"/>
      <c r="U36" s="81"/>
      <c r="V36" s="81"/>
      <c r="W36" s="81"/>
      <c r="X36" s="81"/>
      <c r="Y36" s="81"/>
      <c r="Z36" s="81"/>
      <c r="AA36" s="81"/>
      <c r="AB36" s="105"/>
      <c r="AC36" s="9"/>
    </row>
    <row r="37" spans="1:29" ht="15.75" thickBot="1">
      <c r="A37" s="7"/>
      <c r="B37" s="58"/>
      <c r="C37" s="58"/>
      <c r="D37" s="58"/>
      <c r="E37" s="58"/>
      <c r="F37" s="58"/>
      <c r="G37" s="42"/>
      <c r="H37" s="15"/>
      <c r="I37" s="80"/>
      <c r="J37" s="93" t="s">
        <v>298</v>
      </c>
      <c r="K37" s="98" t="s">
        <v>295</v>
      </c>
      <c r="L37" s="99"/>
      <c r="M37" s="93"/>
      <c r="N37" s="81"/>
      <c r="O37" s="81"/>
      <c r="P37" s="81"/>
      <c r="Q37" s="81"/>
      <c r="R37" s="81"/>
      <c r="S37" s="81"/>
      <c r="T37" s="81"/>
      <c r="U37" s="81"/>
      <c r="V37" s="81"/>
      <c r="W37" s="81"/>
      <c r="X37" s="81"/>
      <c r="Y37" s="81"/>
      <c r="Z37" s="81"/>
      <c r="AA37" s="81"/>
      <c r="AB37" s="105"/>
      <c r="AC37" s="9"/>
    </row>
    <row r="38" spans="1:29" ht="21" customHeight="1" thickTop="1">
      <c r="A38" s="7"/>
      <c r="B38" s="100" t="s">
        <v>76</v>
      </c>
      <c r="C38" s="49"/>
      <c r="D38" s="49"/>
      <c r="E38" s="49"/>
      <c r="F38" s="49"/>
      <c r="G38" s="50"/>
      <c r="H38" s="15"/>
      <c r="I38" s="80"/>
      <c r="J38" s="93" t="s">
        <v>293</v>
      </c>
      <c r="K38" s="98" t="s">
        <v>295</v>
      </c>
      <c r="L38" s="99"/>
      <c r="M38" s="93"/>
      <c r="N38" s="81"/>
      <c r="O38" s="81"/>
      <c r="P38" s="81"/>
      <c r="Q38" s="81"/>
      <c r="R38" s="81"/>
      <c r="S38" s="81"/>
      <c r="T38" s="81"/>
      <c r="U38" s="81"/>
      <c r="V38" s="81"/>
      <c r="W38" s="81"/>
      <c r="X38" s="81"/>
      <c r="Y38" s="81"/>
      <c r="Z38" s="81"/>
      <c r="AA38" s="81"/>
      <c r="AB38" s="105"/>
      <c r="AC38" s="9"/>
    </row>
    <row r="39" spans="1:29" ht="18.75">
      <c r="A39" s="7"/>
      <c r="B39" s="60"/>
      <c r="C39" s="61"/>
      <c r="D39" s="61"/>
      <c r="E39" s="61"/>
      <c r="F39" s="61"/>
      <c r="G39" s="62"/>
      <c r="H39" s="15"/>
      <c r="I39" s="80"/>
      <c r="J39" s="93" t="s">
        <v>294</v>
      </c>
      <c r="K39" s="98" t="s">
        <v>295</v>
      </c>
      <c r="L39" s="99"/>
      <c r="M39" s="93"/>
      <c r="N39" s="81"/>
      <c r="O39" s="81"/>
      <c r="P39" s="81"/>
      <c r="Q39" s="81"/>
      <c r="R39" s="81"/>
      <c r="S39" s="81"/>
      <c r="T39" s="81"/>
      <c r="U39" s="81"/>
      <c r="V39" s="81"/>
      <c r="W39" s="81"/>
      <c r="X39" s="81"/>
      <c r="Y39" s="81"/>
      <c r="Z39" s="81"/>
      <c r="AA39" s="81"/>
      <c r="AB39" s="105"/>
      <c r="AC39" s="9"/>
    </row>
    <row r="40" spans="1:29" ht="15.75">
      <c r="A40" s="7"/>
      <c r="B40" s="63" t="str">
        <f>+"    - "&amp;UPPER(Q7)</f>
        <v xml:space="preserve">    - CRÉATION D'UN LABORATOIRE POUR FICHIER EXCEL !</v>
      </c>
      <c r="C40" s="61"/>
      <c r="D40" s="61"/>
      <c r="E40" s="61"/>
      <c r="F40" s="61"/>
      <c r="G40" s="64">
        <v>0</v>
      </c>
      <c r="H40" s="15"/>
      <c r="I40" s="80"/>
      <c r="J40" s="93"/>
      <c r="K40" s="98"/>
      <c r="L40" s="99"/>
      <c r="M40" s="93"/>
      <c r="N40" s="81"/>
      <c r="O40" s="81"/>
      <c r="P40" s="81"/>
      <c r="Q40" s="81"/>
      <c r="R40" s="81"/>
      <c r="S40" s="81"/>
      <c r="T40" s="81"/>
      <c r="U40" s="81"/>
      <c r="V40" s="81"/>
      <c r="W40" s="81"/>
      <c r="X40" s="81"/>
      <c r="Y40" s="81"/>
      <c r="Z40" s="81"/>
      <c r="AA40" s="81"/>
      <c r="AB40" s="105"/>
      <c r="AC40" s="9"/>
    </row>
    <row r="41" spans="1:29">
      <c r="A41" s="7"/>
      <c r="B41" s="65"/>
      <c r="C41" s="3"/>
      <c r="D41" s="3"/>
      <c r="E41" s="3"/>
      <c r="F41" s="3"/>
      <c r="G41" s="66"/>
      <c r="H41" s="15"/>
      <c r="I41" s="80"/>
      <c r="J41" s="93"/>
      <c r="K41" s="98"/>
      <c r="L41" s="99"/>
      <c r="M41" s="93"/>
      <c r="N41" s="81"/>
      <c r="O41" s="81"/>
      <c r="P41" s="81"/>
      <c r="Q41" s="81"/>
      <c r="R41" s="81"/>
      <c r="S41" s="81"/>
      <c r="T41" s="81"/>
      <c r="U41" s="81"/>
      <c r="V41" s="81"/>
      <c r="W41" s="81"/>
      <c r="X41" s="81"/>
      <c r="Y41" s="81"/>
      <c r="Z41" s="81"/>
      <c r="AA41" s="81"/>
      <c r="AB41" s="105"/>
      <c r="AC41" s="9"/>
    </row>
    <row r="42" spans="1:29" ht="15.75">
      <c r="A42" s="7"/>
      <c r="B42" s="60" t="str">
        <f>+"                                           TOTAL en Euro HT "&amp;"valeur "&amp;DATE_VALEUR&amp;"………........................................................................................................"</f>
        <v xml:space="preserve">                                           TOTAL en Euro HT valeur Septembre 2016………........................................................................................................</v>
      </c>
      <c r="C42" s="3"/>
      <c r="D42" s="3"/>
      <c r="E42" s="3"/>
      <c r="F42" s="3"/>
      <c r="G42" s="66">
        <v>0</v>
      </c>
      <c r="H42" s="15"/>
      <c r="I42" s="80"/>
      <c r="J42" s="93"/>
      <c r="K42" s="98"/>
      <c r="L42" s="99"/>
      <c r="M42" s="93"/>
      <c r="N42" s="81"/>
      <c r="O42" s="81"/>
      <c r="P42" s="81"/>
      <c r="Q42" s="81"/>
      <c r="R42" s="81"/>
      <c r="S42" s="81"/>
      <c r="T42" s="81"/>
      <c r="U42" s="81"/>
      <c r="V42" s="81"/>
      <c r="W42" s="81"/>
      <c r="X42" s="81"/>
      <c r="Y42" s="81"/>
      <c r="Z42" s="81"/>
      <c r="AA42" s="81"/>
      <c r="AB42" s="105"/>
      <c r="AC42" s="9"/>
    </row>
    <row r="43" spans="1:29" ht="15.75">
      <c r="A43" s="7"/>
      <c r="B43" s="60" t="str">
        <f>+"                                           TVA : "&amp;TVA*100&amp;"% ......................................................................................................"</f>
        <v xml:space="preserve">                                           TVA : 20% ......................................................................................................</v>
      </c>
      <c r="C43" s="3"/>
      <c r="D43" s="3"/>
      <c r="E43" s="3"/>
      <c r="F43" s="3"/>
      <c r="G43" s="66">
        <f>+G42*TVA</f>
        <v>0</v>
      </c>
      <c r="H43" s="15"/>
      <c r="I43" s="80"/>
      <c r="J43" s="93"/>
      <c r="K43" s="98"/>
      <c r="L43" s="99"/>
      <c r="M43" s="93"/>
      <c r="N43" s="81"/>
      <c r="O43" s="81"/>
      <c r="P43" s="81"/>
      <c r="Q43" s="81"/>
      <c r="R43" s="81"/>
      <c r="S43" s="81"/>
      <c r="T43" s="81"/>
      <c r="U43" s="81"/>
      <c r="V43" s="81"/>
      <c r="W43" s="81"/>
      <c r="X43" s="81"/>
      <c r="Y43" s="81"/>
      <c r="Z43" s="81"/>
      <c r="AA43" s="81"/>
      <c r="AB43" s="105"/>
      <c r="AC43" s="9"/>
    </row>
    <row r="44" spans="1:29" ht="15.75">
      <c r="A44" s="7"/>
      <c r="B44" s="60" t="s">
        <v>75</v>
      </c>
      <c r="C44" s="3"/>
      <c r="D44" s="3"/>
      <c r="E44" s="3"/>
      <c r="F44" s="3"/>
      <c r="G44" s="66">
        <f>+G43+G42</f>
        <v>0</v>
      </c>
      <c r="H44" s="15"/>
      <c r="I44" s="80"/>
      <c r="J44" s="93"/>
      <c r="K44" s="98"/>
      <c r="L44" s="99"/>
      <c r="M44" s="93"/>
      <c r="N44" s="81"/>
      <c r="O44" s="81"/>
      <c r="P44" s="81"/>
      <c r="Q44" s="81"/>
      <c r="R44" s="81"/>
      <c r="S44" s="81"/>
      <c r="T44" s="81"/>
      <c r="U44" s="81"/>
      <c r="V44" s="81"/>
      <c r="W44" s="81"/>
      <c r="X44" s="81"/>
      <c r="Y44" s="81"/>
      <c r="Z44" s="81"/>
      <c r="AA44" s="81"/>
      <c r="AB44" s="105"/>
      <c r="AC44" s="9"/>
    </row>
    <row r="45" spans="1:29" ht="15.75" thickBot="1">
      <c r="A45" s="7"/>
      <c r="B45" s="4"/>
      <c r="C45" s="5"/>
      <c r="D45" s="5"/>
      <c r="E45" s="5"/>
      <c r="F45" s="5"/>
      <c r="G45" s="6"/>
      <c r="H45" s="15"/>
      <c r="I45" s="80"/>
      <c r="J45" s="93"/>
      <c r="K45" s="98"/>
      <c r="L45" s="99"/>
      <c r="M45" s="93"/>
      <c r="N45" s="81"/>
      <c r="O45" s="81"/>
      <c r="P45" s="81"/>
      <c r="Q45" s="81"/>
      <c r="R45" s="81"/>
      <c r="S45" s="81"/>
      <c r="T45" s="81"/>
      <c r="U45" s="81"/>
      <c r="V45" s="81"/>
      <c r="W45" s="81"/>
      <c r="X45" s="81"/>
      <c r="Y45" s="81"/>
      <c r="Z45" s="81"/>
      <c r="AA45" s="81"/>
      <c r="AB45" s="105"/>
      <c r="AC45" s="9"/>
    </row>
    <row r="46" spans="1:29" ht="15.75" thickTop="1">
      <c r="A46" s="7"/>
      <c r="B46" s="7"/>
      <c r="C46" s="7"/>
      <c r="D46" s="7"/>
      <c r="E46" s="7"/>
      <c r="F46" s="7"/>
      <c r="G46" s="7"/>
      <c r="H46" s="15"/>
      <c r="I46" s="80"/>
      <c r="J46" s="93"/>
      <c r="K46" s="98"/>
      <c r="L46" s="99"/>
      <c r="M46" s="93"/>
      <c r="N46" s="81"/>
      <c r="O46" s="81"/>
      <c r="P46" s="81"/>
      <c r="Q46" s="81"/>
      <c r="R46" s="81"/>
      <c r="S46" s="81"/>
      <c r="T46" s="81"/>
      <c r="U46" s="81"/>
      <c r="V46" s="81"/>
      <c r="W46" s="81"/>
      <c r="X46" s="81"/>
      <c r="Y46" s="81"/>
      <c r="Z46" s="81"/>
      <c r="AA46" s="81"/>
      <c r="AB46" s="105"/>
      <c r="AC46" s="9"/>
    </row>
    <row r="47" spans="1:29">
      <c r="A47" s="2"/>
      <c r="B47" s="2"/>
      <c r="C47" s="2"/>
      <c r="D47" s="2"/>
      <c r="E47" s="2"/>
      <c r="F47" s="2"/>
      <c r="H47" s="15"/>
      <c r="I47" s="80"/>
      <c r="J47" s="93"/>
      <c r="K47" s="98"/>
      <c r="L47" s="99"/>
      <c r="M47" s="93"/>
      <c r="N47" s="81"/>
      <c r="O47" s="81"/>
      <c r="P47" s="81"/>
      <c r="Q47" s="81"/>
      <c r="R47" s="81"/>
      <c r="S47" s="81"/>
      <c r="T47" s="81"/>
      <c r="U47" s="81"/>
      <c r="V47" s="81"/>
      <c r="W47" s="81"/>
      <c r="X47" s="81"/>
      <c r="Y47" s="81"/>
      <c r="Z47" s="81"/>
      <c r="AA47" s="81"/>
      <c r="AB47" s="105"/>
    </row>
    <row r="48" spans="1:29">
      <c r="A48" s="2"/>
      <c r="B48" s="2"/>
      <c r="C48" s="2"/>
      <c r="D48" s="2"/>
      <c r="E48" s="2"/>
      <c r="F48" s="2"/>
      <c r="H48" s="15"/>
      <c r="I48" s="80"/>
      <c r="J48" s="93"/>
      <c r="K48" s="98"/>
      <c r="L48" s="99"/>
      <c r="M48" s="93"/>
      <c r="N48" s="81"/>
      <c r="O48" s="81"/>
      <c r="P48" s="81"/>
      <c r="Q48" s="81"/>
      <c r="R48" s="81"/>
      <c r="S48" s="81"/>
      <c r="T48" s="81"/>
      <c r="U48" s="81"/>
      <c r="V48" s="81"/>
      <c r="W48" s="81"/>
      <c r="X48" s="81"/>
      <c r="Y48" s="81"/>
      <c r="Z48" s="81"/>
      <c r="AA48" s="81"/>
      <c r="AB48" s="105"/>
    </row>
    <row r="49" spans="8:28">
      <c r="H49" s="15"/>
      <c r="I49" s="80"/>
      <c r="J49" s="93"/>
      <c r="K49" s="98"/>
      <c r="L49" s="99"/>
      <c r="M49" s="93"/>
      <c r="N49" s="81"/>
      <c r="O49" s="81"/>
      <c r="P49" s="81"/>
      <c r="Q49" s="81"/>
      <c r="R49" s="81"/>
      <c r="S49" s="81"/>
      <c r="T49" s="81"/>
      <c r="U49" s="81"/>
      <c r="V49" s="81"/>
      <c r="W49" s="81"/>
      <c r="X49" s="81"/>
      <c r="Y49" s="81"/>
      <c r="Z49" s="81"/>
      <c r="AA49" s="81"/>
      <c r="AB49" s="105"/>
    </row>
    <row r="50" spans="8:28">
      <c r="H50" s="15"/>
      <c r="I50" s="80"/>
      <c r="J50" s="93"/>
      <c r="K50" s="98"/>
      <c r="L50" s="99"/>
      <c r="M50" s="93"/>
      <c r="N50" s="81"/>
      <c r="O50" s="81"/>
      <c r="P50" s="81"/>
      <c r="Q50" s="81"/>
      <c r="R50" s="81"/>
      <c r="S50" s="81"/>
      <c r="T50" s="81"/>
      <c r="U50" s="81"/>
      <c r="V50" s="81"/>
      <c r="W50" s="81"/>
      <c r="X50" s="81"/>
      <c r="Y50" s="81"/>
      <c r="Z50" s="81"/>
      <c r="AA50" s="81"/>
      <c r="AB50" s="105"/>
    </row>
    <row r="51" spans="8:28">
      <c r="H51" s="15"/>
      <c r="I51" s="80"/>
      <c r="J51" s="93"/>
      <c r="K51" s="98"/>
      <c r="L51" s="99"/>
      <c r="M51" s="93"/>
      <c r="N51" s="81"/>
      <c r="O51" s="81"/>
      <c r="P51" s="81"/>
      <c r="Q51" s="81"/>
      <c r="R51" s="81"/>
      <c r="S51" s="81"/>
      <c r="T51" s="81"/>
      <c r="U51" s="81"/>
      <c r="V51" s="81"/>
      <c r="W51" s="81"/>
      <c r="X51" s="81"/>
      <c r="Y51" s="81"/>
      <c r="Z51" s="81"/>
      <c r="AA51" s="81"/>
      <c r="AB51" s="105"/>
    </row>
    <row r="52" spans="8:28">
      <c r="H52" s="15"/>
      <c r="I52" s="80"/>
      <c r="J52" s="93"/>
      <c r="K52" s="98"/>
      <c r="L52" s="99"/>
      <c r="M52" s="93"/>
      <c r="N52" s="81"/>
      <c r="O52" s="81"/>
      <c r="P52" s="81"/>
      <c r="Q52" s="81"/>
      <c r="R52" s="81"/>
      <c r="S52" s="81"/>
      <c r="T52" s="81"/>
      <c r="U52" s="81"/>
      <c r="V52" s="81"/>
      <c r="W52" s="81"/>
      <c r="X52" s="81"/>
      <c r="Y52" s="81"/>
      <c r="Z52" s="81"/>
      <c r="AA52" s="81"/>
      <c r="AB52" s="105"/>
    </row>
    <row r="53" spans="8:28">
      <c r="H53" s="15"/>
      <c r="I53" s="80"/>
      <c r="J53" s="93"/>
      <c r="K53" s="98"/>
      <c r="L53" s="99"/>
      <c r="M53" s="93"/>
      <c r="N53" s="81"/>
      <c r="O53" s="81"/>
      <c r="P53" s="81"/>
      <c r="Q53" s="81"/>
      <c r="R53" s="81"/>
      <c r="S53" s="81"/>
      <c r="T53" s="81"/>
      <c r="U53" s="81"/>
      <c r="V53" s="81"/>
      <c r="W53" s="81"/>
      <c r="X53" s="81"/>
      <c r="Y53" s="81"/>
      <c r="Z53" s="81"/>
      <c r="AA53" s="81"/>
      <c r="AB53" s="105"/>
    </row>
    <row r="54" spans="8:28">
      <c r="H54" s="15"/>
      <c r="I54" s="80"/>
      <c r="J54" s="93"/>
      <c r="K54" s="98"/>
      <c r="L54" s="99"/>
      <c r="M54" s="93"/>
      <c r="N54" s="81"/>
      <c r="O54" s="81"/>
      <c r="P54" s="81"/>
      <c r="Q54" s="81"/>
      <c r="R54" s="81"/>
      <c r="S54" s="81"/>
      <c r="T54" s="81"/>
      <c r="U54" s="81"/>
      <c r="V54" s="81"/>
      <c r="W54" s="81"/>
      <c r="X54" s="81"/>
      <c r="Y54" s="81"/>
      <c r="Z54" s="81"/>
      <c r="AA54" s="81"/>
      <c r="AB54" s="105"/>
    </row>
    <row r="55" spans="8:28">
      <c r="H55" s="15"/>
      <c r="I55" s="80"/>
      <c r="J55" s="93"/>
      <c r="K55" s="98"/>
      <c r="L55" s="99"/>
      <c r="M55" s="93"/>
      <c r="N55" s="81"/>
      <c r="O55" s="81"/>
      <c r="P55" s="81"/>
      <c r="Q55" s="81"/>
      <c r="R55" s="81"/>
      <c r="S55" s="81"/>
      <c r="T55" s="81"/>
      <c r="U55" s="81"/>
      <c r="V55" s="81"/>
      <c r="W55" s="81"/>
      <c r="X55" s="81"/>
      <c r="Y55" s="81"/>
      <c r="Z55" s="81"/>
      <c r="AA55" s="81"/>
      <c r="AB55" s="105"/>
    </row>
    <row r="56" spans="8:28">
      <c r="H56" s="15"/>
      <c r="I56" s="80"/>
      <c r="J56" s="93"/>
      <c r="K56" s="98"/>
      <c r="L56" s="99"/>
      <c r="M56" s="93"/>
      <c r="N56" s="81"/>
      <c r="O56" s="81"/>
      <c r="P56" s="81"/>
      <c r="Q56" s="81"/>
      <c r="R56" s="81"/>
      <c r="S56" s="81"/>
      <c r="T56" s="81"/>
      <c r="U56" s="81"/>
      <c r="V56" s="81"/>
      <c r="W56" s="81"/>
      <c r="X56" s="81"/>
      <c r="Y56" s="81"/>
      <c r="Z56" s="81"/>
      <c r="AA56" s="81"/>
      <c r="AB56" s="105"/>
    </row>
    <row r="57" spans="8:28">
      <c r="H57" s="15"/>
      <c r="I57" s="80"/>
      <c r="J57" s="93"/>
      <c r="K57" s="98"/>
      <c r="L57" s="99"/>
      <c r="M57" s="93"/>
      <c r="N57" s="81"/>
      <c r="O57" s="81"/>
      <c r="P57" s="81"/>
      <c r="Q57" s="81"/>
      <c r="R57" s="81"/>
      <c r="S57" s="81"/>
      <c r="T57" s="81"/>
      <c r="U57" s="81"/>
      <c r="V57" s="81"/>
      <c r="W57" s="81"/>
      <c r="X57" s="81"/>
      <c r="Y57" s="81"/>
      <c r="Z57" s="81"/>
      <c r="AA57" s="81"/>
      <c r="AB57" s="105"/>
    </row>
    <row r="58" spans="8:28">
      <c r="H58" s="15"/>
      <c r="I58" s="80"/>
      <c r="J58" s="93"/>
      <c r="K58" s="98"/>
      <c r="L58" s="99"/>
      <c r="M58" s="93"/>
      <c r="N58" s="81"/>
      <c r="O58" s="81"/>
      <c r="P58" s="81"/>
      <c r="Q58" s="81"/>
      <c r="R58" s="81"/>
      <c r="S58" s="81"/>
      <c r="T58" s="81"/>
      <c r="U58" s="81"/>
      <c r="V58" s="81"/>
      <c r="W58" s="81"/>
      <c r="X58" s="81"/>
      <c r="Y58" s="81"/>
      <c r="Z58" s="81"/>
      <c r="AA58" s="81"/>
      <c r="AB58" s="105"/>
    </row>
    <row r="59" spans="8:28">
      <c r="H59" s="15"/>
      <c r="I59" s="80"/>
      <c r="J59" s="93"/>
      <c r="K59" s="98"/>
      <c r="L59" s="99"/>
      <c r="M59" s="93"/>
      <c r="N59" s="81"/>
      <c r="O59" s="81"/>
      <c r="P59" s="81"/>
      <c r="Q59" s="81"/>
      <c r="R59" s="81"/>
      <c r="S59" s="81"/>
      <c r="T59" s="81"/>
      <c r="U59" s="81"/>
      <c r="V59" s="81"/>
      <c r="W59" s="81"/>
      <c r="X59" s="81"/>
      <c r="Y59" s="81"/>
      <c r="Z59" s="81"/>
      <c r="AA59" s="81"/>
      <c r="AB59" s="105"/>
    </row>
    <row r="60" spans="8:28">
      <c r="H60" s="15"/>
      <c r="I60" s="80"/>
      <c r="J60" s="93"/>
      <c r="K60" s="98"/>
      <c r="L60" s="99"/>
      <c r="M60" s="93"/>
      <c r="N60" s="81"/>
      <c r="O60" s="81"/>
      <c r="P60" s="81"/>
      <c r="Q60" s="81"/>
      <c r="R60" s="81"/>
      <c r="S60" s="81"/>
      <c r="T60" s="81"/>
      <c r="U60" s="81"/>
      <c r="V60" s="81"/>
      <c r="W60" s="81"/>
      <c r="X60" s="81"/>
      <c r="Y60" s="81"/>
      <c r="Z60" s="81"/>
      <c r="AA60" s="81"/>
      <c r="AB60" s="105"/>
    </row>
    <row r="61" spans="8:28">
      <c r="H61" s="15"/>
      <c r="I61" s="80"/>
      <c r="J61" s="93"/>
      <c r="K61" s="98"/>
      <c r="L61" s="99"/>
      <c r="M61" s="93"/>
      <c r="N61" s="81"/>
      <c r="O61" s="81"/>
      <c r="P61" s="81"/>
      <c r="Q61" s="81"/>
      <c r="R61" s="81"/>
      <c r="S61" s="81"/>
      <c r="T61" s="81"/>
      <c r="U61" s="81"/>
      <c r="V61" s="81"/>
      <c r="W61" s="81"/>
      <c r="X61" s="81"/>
      <c r="Y61" s="81"/>
      <c r="Z61" s="81"/>
      <c r="AA61" s="81"/>
      <c r="AB61" s="105"/>
    </row>
    <row r="62" spans="8:28">
      <c r="H62" s="15"/>
      <c r="I62" s="80"/>
      <c r="J62" s="93"/>
      <c r="K62" s="98"/>
      <c r="L62" s="99"/>
      <c r="M62" s="93"/>
      <c r="N62" s="81"/>
      <c r="O62" s="81"/>
      <c r="P62" s="81"/>
      <c r="Q62" s="81"/>
      <c r="R62" s="81"/>
      <c r="S62" s="81"/>
      <c r="T62" s="81"/>
      <c r="U62" s="81"/>
      <c r="V62" s="81"/>
      <c r="W62" s="81"/>
      <c r="X62" s="81"/>
      <c r="Y62" s="81"/>
      <c r="Z62" s="81"/>
      <c r="AA62" s="81"/>
      <c r="AB62" s="105"/>
    </row>
    <row r="63" spans="8:28">
      <c r="H63" s="15"/>
      <c r="I63" s="80"/>
      <c r="J63" s="81"/>
      <c r="K63" s="81"/>
      <c r="L63" s="81"/>
      <c r="M63" s="81"/>
      <c r="N63" s="81"/>
      <c r="O63" s="81"/>
      <c r="P63" s="81"/>
      <c r="Q63" s="81"/>
      <c r="R63" s="81"/>
      <c r="S63" s="81"/>
      <c r="T63" s="81"/>
      <c r="U63" s="81"/>
      <c r="V63" s="81"/>
      <c r="W63" s="81"/>
      <c r="X63" s="81"/>
      <c r="Y63" s="81"/>
      <c r="Z63" s="81"/>
      <c r="AA63" s="81"/>
      <c r="AB63" s="105"/>
    </row>
    <row r="64" spans="8:28">
      <c r="H64" s="15"/>
      <c r="I64" s="80"/>
      <c r="J64" s="81"/>
      <c r="K64" s="81"/>
      <c r="L64" s="81"/>
      <c r="M64" s="81"/>
      <c r="N64" s="81"/>
      <c r="O64" s="81"/>
      <c r="P64" s="81"/>
      <c r="Q64" s="81"/>
      <c r="R64" s="81"/>
      <c r="S64" s="81"/>
      <c r="T64" s="81"/>
      <c r="U64" s="81"/>
      <c r="V64" s="81"/>
      <c r="W64" s="81"/>
      <c r="X64" s="81"/>
      <c r="Y64" s="81"/>
      <c r="Z64" s="81"/>
      <c r="AA64" s="81"/>
      <c r="AB64" s="105"/>
    </row>
    <row r="65" spans="8:28">
      <c r="H65" s="15"/>
      <c r="I65" s="80"/>
      <c r="J65" s="81"/>
      <c r="K65" s="81"/>
      <c r="L65" s="81"/>
      <c r="M65" s="81"/>
      <c r="N65" s="81"/>
      <c r="O65" s="81"/>
      <c r="P65" s="81"/>
      <c r="Q65" s="81"/>
      <c r="R65" s="81"/>
      <c r="S65" s="81"/>
      <c r="T65" s="81"/>
      <c r="U65" s="81"/>
      <c r="V65" s="81"/>
      <c r="W65" s="81"/>
      <c r="X65" s="81"/>
      <c r="Y65" s="81"/>
      <c r="Z65" s="81"/>
      <c r="AA65" s="81"/>
      <c r="AB65" s="105"/>
    </row>
    <row r="66" spans="8:28">
      <c r="H66" s="15"/>
      <c r="I66" s="80"/>
      <c r="J66" s="81"/>
      <c r="K66" s="81"/>
      <c r="L66" s="81"/>
      <c r="M66" s="81"/>
      <c r="N66" s="81"/>
      <c r="O66" s="81"/>
      <c r="P66" s="81"/>
      <c r="Q66" s="81"/>
      <c r="R66" s="81"/>
      <c r="S66" s="81"/>
      <c r="T66" s="81"/>
      <c r="U66" s="81"/>
      <c r="V66" s="81"/>
      <c r="W66" s="81"/>
      <c r="X66" s="81"/>
      <c r="Y66" s="81"/>
      <c r="Z66" s="81"/>
      <c r="AA66" s="81"/>
      <c r="AB66" s="105"/>
    </row>
    <row r="67" spans="8:28">
      <c r="H67" s="15"/>
      <c r="I67" s="80"/>
      <c r="J67" s="81"/>
      <c r="K67" s="81"/>
      <c r="L67" s="81"/>
      <c r="M67" s="81"/>
      <c r="N67" s="81"/>
      <c r="O67" s="81"/>
      <c r="P67" s="81"/>
      <c r="Q67" s="81"/>
      <c r="R67" s="81"/>
      <c r="S67" s="81"/>
      <c r="T67" s="81"/>
      <c r="U67" s="81"/>
      <c r="V67" s="81"/>
      <c r="W67" s="81"/>
      <c r="X67" s="81"/>
      <c r="Y67" s="81"/>
      <c r="Z67" s="81"/>
      <c r="AA67" s="81"/>
      <c r="AB67" s="105"/>
    </row>
    <row r="68" spans="8:28">
      <c r="H68" s="15"/>
      <c r="I68" s="80"/>
      <c r="J68" s="81"/>
      <c r="K68" s="81"/>
      <c r="L68" s="81"/>
      <c r="M68" s="81"/>
      <c r="N68" s="81"/>
      <c r="O68" s="81"/>
      <c r="P68" s="81"/>
      <c r="Q68" s="81"/>
      <c r="R68" s="81"/>
      <c r="S68" s="81"/>
      <c r="T68" s="81"/>
      <c r="U68" s="81"/>
      <c r="V68" s="81"/>
      <c r="W68" s="81"/>
      <c r="X68" s="81"/>
      <c r="Y68" s="81"/>
      <c r="Z68" s="81"/>
      <c r="AA68" s="81"/>
      <c r="AB68" s="105"/>
    </row>
    <row r="69" spans="8:28" ht="15.75" thickBot="1">
      <c r="H69" s="15"/>
      <c r="I69" s="86"/>
      <c r="J69" s="87"/>
      <c r="K69" s="87"/>
      <c r="L69" s="87"/>
      <c r="M69" s="87"/>
      <c r="N69" s="87"/>
      <c r="O69" s="87"/>
      <c r="P69" s="87"/>
      <c r="Q69" s="87"/>
      <c r="R69" s="87"/>
      <c r="S69" s="87"/>
      <c r="T69" s="87"/>
      <c r="U69" s="87"/>
      <c r="V69" s="87"/>
      <c r="W69" s="87"/>
      <c r="X69" s="87"/>
      <c r="Y69" s="87"/>
      <c r="Z69" s="87"/>
      <c r="AA69" s="87"/>
      <c r="AB69" s="106"/>
    </row>
    <row r="70" spans="8:28" ht="15.75" thickTop="1">
      <c r="H70" s="15"/>
      <c r="I70" s="9"/>
      <c r="J70" s="9"/>
      <c r="K70" s="9"/>
      <c r="L70" s="9"/>
      <c r="M70" s="9"/>
      <c r="N70" s="9"/>
      <c r="O70" s="73"/>
      <c r="P70" s="73"/>
      <c r="Q70" s="73"/>
      <c r="R70" s="73"/>
      <c r="S70" s="73"/>
      <c r="T70" s="73"/>
      <c r="U70" s="73"/>
      <c r="V70" s="73"/>
      <c r="W70" s="73"/>
      <c r="X70" s="73"/>
      <c r="Y70" s="73"/>
      <c r="Z70" s="73"/>
      <c r="AA70" s="73"/>
      <c r="AB70" s="73"/>
    </row>
    <row r="71" spans="8:28">
      <c r="H71" s="15"/>
      <c r="I71" s="9"/>
      <c r="J71" s="9"/>
      <c r="K71" s="9"/>
      <c r="L71" s="9"/>
      <c r="M71" s="9"/>
      <c r="N71" s="9"/>
      <c r="O71" s="73"/>
      <c r="P71" s="73"/>
      <c r="Q71" s="73"/>
      <c r="R71" s="73"/>
      <c r="S71" s="73"/>
      <c r="T71" s="73"/>
      <c r="U71" s="73"/>
      <c r="V71" s="73"/>
      <c r="W71" s="73"/>
      <c r="X71" s="73"/>
      <c r="Y71" s="73"/>
      <c r="Z71" s="73"/>
      <c r="AA71" s="73"/>
    </row>
    <row r="72" spans="8:28">
      <c r="H72" s="15"/>
      <c r="I72" s="9"/>
      <c r="J72" s="9"/>
      <c r="K72" s="9"/>
      <c r="L72" s="9"/>
      <c r="M72" s="9"/>
      <c r="N72" s="9"/>
      <c r="O72" s="73"/>
      <c r="P72" s="73"/>
      <c r="Q72" s="73"/>
      <c r="R72" s="73"/>
      <c r="S72" s="73"/>
      <c r="T72" s="73"/>
      <c r="U72" s="73"/>
      <c r="V72" s="73"/>
      <c r="W72" s="73"/>
      <c r="X72" s="73"/>
      <c r="Y72" s="73"/>
      <c r="Z72" s="73"/>
      <c r="AA72" s="73"/>
    </row>
    <row r="73" spans="8:28">
      <c r="H73" s="15"/>
      <c r="I73" s="9"/>
      <c r="J73" s="9"/>
      <c r="K73" s="9"/>
      <c r="L73" s="9"/>
      <c r="M73" s="9"/>
      <c r="N73" s="9"/>
      <c r="O73" s="73"/>
      <c r="P73" s="73"/>
      <c r="Q73" s="73"/>
      <c r="R73" s="73"/>
      <c r="S73" s="73"/>
      <c r="T73" s="73"/>
      <c r="U73" s="73"/>
      <c r="V73" s="73"/>
      <c r="W73" s="73"/>
      <c r="X73" s="73"/>
      <c r="Y73" s="73"/>
      <c r="Z73" s="73"/>
      <c r="AA73" s="73"/>
    </row>
    <row r="74" spans="8:28">
      <c r="H74" s="15"/>
      <c r="I74" s="9"/>
      <c r="J74" s="9"/>
      <c r="K74" s="9"/>
      <c r="L74" s="9"/>
      <c r="M74" s="9"/>
      <c r="N74" s="9"/>
      <c r="O74" s="73"/>
      <c r="P74" s="73"/>
      <c r="Q74" s="73"/>
      <c r="R74" s="73"/>
      <c r="S74" s="73"/>
      <c r="T74" s="73"/>
      <c r="U74" s="73"/>
      <c r="V74" s="73"/>
      <c r="W74" s="73"/>
      <c r="X74" s="73"/>
      <c r="Y74" s="73"/>
      <c r="Z74" s="73"/>
      <c r="AA74" s="73"/>
    </row>
    <row r="75" spans="8:28">
      <c r="H75" s="15"/>
      <c r="I75" s="9"/>
      <c r="J75" s="9"/>
      <c r="K75" s="9"/>
      <c r="L75" s="9"/>
      <c r="M75" s="9"/>
      <c r="N75" s="9"/>
      <c r="O75" s="73"/>
      <c r="P75" s="73"/>
      <c r="Q75" s="73"/>
      <c r="R75" s="73"/>
      <c r="S75" s="73"/>
      <c r="T75" s="73"/>
      <c r="U75" s="73"/>
      <c r="V75" s="73"/>
      <c r="W75" s="73"/>
      <c r="X75" s="73"/>
      <c r="Y75" s="73"/>
      <c r="Z75" s="73"/>
      <c r="AA75" s="73"/>
    </row>
    <row r="76" spans="8:28">
      <c r="H76" s="15"/>
      <c r="I76" s="9"/>
      <c r="J76" s="9"/>
      <c r="K76" s="9"/>
      <c r="L76" s="9"/>
      <c r="M76" s="9"/>
      <c r="N76" s="9"/>
      <c r="O76" s="73"/>
      <c r="P76" s="73"/>
      <c r="Q76" s="73"/>
      <c r="R76" s="73"/>
      <c r="S76" s="73"/>
      <c r="T76" s="73"/>
      <c r="U76" s="73"/>
      <c r="V76" s="73"/>
      <c r="W76" s="73"/>
      <c r="X76" s="73"/>
      <c r="Y76" s="73"/>
      <c r="Z76" s="73"/>
      <c r="AA76" s="73"/>
    </row>
    <row r="77" spans="8:28">
      <c r="H77" s="15"/>
      <c r="I77" s="9"/>
      <c r="J77" s="9"/>
      <c r="K77" s="9"/>
      <c r="L77" s="9"/>
      <c r="M77" s="9"/>
      <c r="N77" s="9"/>
      <c r="O77" s="73"/>
      <c r="P77" s="73"/>
      <c r="Q77" s="73"/>
      <c r="R77" s="73"/>
      <c r="S77" s="73"/>
      <c r="T77" s="73"/>
      <c r="U77" s="73"/>
      <c r="V77" s="73"/>
      <c r="W77" s="73"/>
      <c r="X77" s="73"/>
      <c r="Y77" s="73"/>
      <c r="Z77" s="73"/>
      <c r="AA77" s="73"/>
    </row>
    <row r="78" spans="8:28">
      <c r="H78" s="15"/>
      <c r="I78" s="9"/>
      <c r="J78" s="9"/>
      <c r="K78" s="9"/>
      <c r="L78" s="9"/>
      <c r="M78" s="9"/>
      <c r="N78" s="9"/>
      <c r="O78" s="73"/>
      <c r="P78" s="73"/>
      <c r="Q78" s="73"/>
      <c r="R78" s="73"/>
      <c r="S78" s="73"/>
      <c r="T78" s="73"/>
      <c r="U78" s="73"/>
      <c r="V78" s="73"/>
      <c r="W78" s="73"/>
      <c r="X78" s="73"/>
      <c r="Y78" s="73"/>
      <c r="Z78" s="73"/>
      <c r="AA78" s="73"/>
    </row>
    <row r="79" spans="8:28">
      <c r="H79" s="15"/>
      <c r="I79" s="9"/>
      <c r="J79" s="9"/>
      <c r="K79" s="9"/>
      <c r="L79" s="9"/>
      <c r="M79" s="9"/>
      <c r="N79" s="9"/>
      <c r="O79" s="73"/>
      <c r="P79" s="73"/>
      <c r="Q79" s="73"/>
      <c r="R79" s="73"/>
      <c r="S79" s="73"/>
      <c r="T79" s="73"/>
      <c r="U79" s="73"/>
      <c r="V79" s="73"/>
      <c r="W79" s="73"/>
      <c r="X79" s="73"/>
      <c r="Y79" s="73"/>
      <c r="Z79" s="73"/>
      <c r="AA79" s="73"/>
    </row>
    <row r="80" spans="8:28">
      <c r="H80" s="15"/>
      <c r="I80" s="9"/>
      <c r="J80" s="9"/>
      <c r="K80" s="9"/>
      <c r="L80" s="9"/>
      <c r="M80" s="9"/>
      <c r="N80" s="9"/>
      <c r="O80" s="73"/>
      <c r="P80" s="73"/>
      <c r="Q80" s="73"/>
      <c r="R80" s="73"/>
      <c r="S80" s="73"/>
      <c r="T80" s="73"/>
      <c r="U80" s="73"/>
      <c r="V80" s="73"/>
      <c r="W80" s="73"/>
      <c r="X80" s="73"/>
      <c r="Y80" s="73"/>
      <c r="Z80" s="73"/>
      <c r="AA80" s="73"/>
    </row>
    <row r="81" spans="8:27">
      <c r="H81" s="15"/>
      <c r="I81" s="9"/>
      <c r="J81" s="9"/>
      <c r="K81" s="9"/>
      <c r="L81" s="9"/>
      <c r="M81" s="9"/>
      <c r="N81" s="9"/>
      <c r="O81" s="73"/>
      <c r="P81" s="73"/>
      <c r="Q81" s="73"/>
      <c r="R81" s="73"/>
      <c r="S81" s="73"/>
      <c r="T81" s="73"/>
      <c r="U81" s="73"/>
      <c r="V81" s="73"/>
      <c r="W81" s="73"/>
      <c r="X81" s="73"/>
      <c r="Y81" s="73"/>
      <c r="Z81" s="73"/>
      <c r="AA81" s="73"/>
    </row>
    <row r="82" spans="8:27">
      <c r="H82" s="15"/>
      <c r="I82" s="9"/>
      <c r="J82" s="9"/>
      <c r="K82" s="9"/>
      <c r="L82" s="9"/>
      <c r="M82" s="9"/>
      <c r="N82" s="9"/>
      <c r="O82" s="73"/>
      <c r="P82" s="73"/>
      <c r="Q82" s="73"/>
      <c r="R82" s="73"/>
      <c r="S82" s="73"/>
      <c r="T82" s="73"/>
      <c r="U82" s="73"/>
      <c r="V82" s="73"/>
      <c r="W82" s="73"/>
      <c r="X82" s="73"/>
      <c r="Y82" s="73"/>
      <c r="Z82" s="73"/>
      <c r="AA82" s="73"/>
    </row>
    <row r="83" spans="8:27">
      <c r="H83" s="15"/>
      <c r="I83" s="9"/>
      <c r="J83" s="9"/>
      <c r="K83" s="9"/>
      <c r="L83" s="9"/>
      <c r="M83" s="9"/>
      <c r="N83" s="9"/>
      <c r="O83" s="73"/>
      <c r="P83" s="73"/>
      <c r="Q83" s="73"/>
      <c r="R83" s="73"/>
      <c r="S83" s="73"/>
      <c r="T83" s="73"/>
      <c r="U83" s="73"/>
      <c r="V83" s="73"/>
      <c r="W83" s="73"/>
      <c r="X83" s="73"/>
      <c r="Y83" s="73"/>
      <c r="Z83" s="73"/>
      <c r="AA83" s="73"/>
    </row>
    <row r="84" spans="8:27">
      <c r="H84" s="15"/>
      <c r="I84" s="9"/>
      <c r="J84" s="9"/>
      <c r="K84" s="9"/>
      <c r="L84" s="9"/>
      <c r="M84" s="9"/>
      <c r="N84" s="9"/>
      <c r="O84" s="73"/>
      <c r="P84" s="73"/>
      <c r="Q84" s="73"/>
      <c r="R84" s="73"/>
      <c r="S84" s="73"/>
      <c r="T84" s="73"/>
      <c r="U84" s="73"/>
      <c r="V84" s="73"/>
      <c r="W84" s="73"/>
      <c r="X84" s="73"/>
      <c r="Y84" s="73"/>
      <c r="Z84" s="73"/>
      <c r="AA84" s="73"/>
    </row>
    <row r="85" spans="8:27">
      <c r="H85" s="15"/>
      <c r="I85" s="9"/>
      <c r="J85" s="9"/>
      <c r="K85" s="9"/>
      <c r="L85" s="9"/>
      <c r="M85" s="9"/>
      <c r="N85" s="9"/>
      <c r="O85" s="73"/>
      <c r="P85" s="73"/>
      <c r="Q85" s="73"/>
      <c r="R85" s="73"/>
      <c r="S85" s="73"/>
      <c r="T85" s="73"/>
      <c r="U85" s="73"/>
      <c r="V85" s="73"/>
      <c r="W85" s="73"/>
      <c r="X85" s="73"/>
      <c r="Y85" s="73"/>
      <c r="Z85" s="73"/>
      <c r="AA85" s="73"/>
    </row>
    <row r="86" spans="8:27">
      <c r="H86" s="15"/>
      <c r="I86" s="9"/>
      <c r="J86" s="9"/>
      <c r="K86" s="9"/>
      <c r="L86" s="9"/>
      <c r="M86" s="9"/>
      <c r="N86" s="9"/>
      <c r="O86" s="9"/>
      <c r="P86" s="9"/>
      <c r="Q86" s="9"/>
      <c r="R86" s="9"/>
      <c r="S86" s="9"/>
      <c r="T86" s="9"/>
      <c r="U86" s="9"/>
      <c r="V86" s="9"/>
      <c r="W86" s="9"/>
      <c r="X86" s="9"/>
      <c r="Y86" s="9"/>
      <c r="Z86" s="9"/>
      <c r="AA86" s="9"/>
    </row>
    <row r="87" spans="8:27">
      <c r="H87" s="15"/>
      <c r="I87" s="9"/>
      <c r="J87" s="9"/>
      <c r="K87" s="9"/>
      <c r="L87" s="9"/>
      <c r="M87" s="9"/>
      <c r="N87" s="9"/>
      <c r="O87" s="9"/>
      <c r="P87" s="9"/>
      <c r="Q87" s="9"/>
      <c r="R87" s="9"/>
      <c r="S87" s="9"/>
      <c r="T87" s="9"/>
      <c r="U87" s="9"/>
      <c r="V87" s="9"/>
      <c r="W87" s="9"/>
      <c r="X87" s="9"/>
      <c r="Y87" s="9"/>
      <c r="Z87" s="9"/>
      <c r="AA87" s="9"/>
    </row>
    <row r="88" spans="8:27">
      <c r="H88" s="15"/>
      <c r="I88" s="9"/>
      <c r="J88" s="9"/>
      <c r="K88" s="9"/>
      <c r="L88" s="9"/>
      <c r="M88" s="9"/>
      <c r="N88" s="9"/>
      <c r="O88" s="9"/>
      <c r="P88" s="9"/>
      <c r="Q88" s="9"/>
      <c r="R88" s="9"/>
      <c r="S88" s="9"/>
      <c r="T88" s="9"/>
      <c r="U88" s="9"/>
      <c r="V88" s="9"/>
      <c r="W88" s="9"/>
      <c r="X88" s="9"/>
      <c r="Y88" s="9"/>
      <c r="Z88" s="9"/>
      <c r="AA88" s="9"/>
    </row>
    <row r="89" spans="8:27">
      <c r="H89" s="15"/>
      <c r="I89" s="9"/>
      <c r="J89" s="9"/>
      <c r="K89" s="9"/>
      <c r="L89" s="9"/>
      <c r="M89" s="9"/>
      <c r="N89" s="9"/>
      <c r="O89" s="9"/>
      <c r="P89" s="9"/>
      <c r="Q89" s="9"/>
      <c r="R89" s="9"/>
      <c r="S89" s="9"/>
      <c r="T89" s="9"/>
      <c r="U89" s="9"/>
      <c r="V89" s="9"/>
      <c r="W89" s="9"/>
      <c r="X89" s="9"/>
      <c r="Y89" s="9"/>
      <c r="Z89" s="9"/>
      <c r="AA89" s="9"/>
    </row>
    <row r="90" spans="8:27">
      <c r="H90" s="15"/>
      <c r="I90" s="9"/>
      <c r="J90" s="9"/>
      <c r="K90" s="9"/>
      <c r="L90" s="9"/>
      <c r="M90" s="9"/>
      <c r="N90" s="9"/>
      <c r="O90" s="9"/>
      <c r="P90" s="9"/>
      <c r="Q90" s="9"/>
      <c r="R90" s="9"/>
      <c r="S90" s="9"/>
      <c r="T90" s="9"/>
      <c r="U90" s="9"/>
      <c r="V90" s="9"/>
      <c r="W90" s="9"/>
      <c r="X90" s="9"/>
      <c r="Y90" s="9"/>
      <c r="Z90" s="9"/>
      <c r="AA90" s="9"/>
    </row>
    <row r="91" spans="8:27">
      <c r="H91" s="15"/>
      <c r="I91" s="9"/>
      <c r="J91" s="9"/>
      <c r="K91" s="9"/>
      <c r="L91" s="9"/>
      <c r="M91" s="9"/>
      <c r="N91" s="9"/>
      <c r="O91" s="9"/>
      <c r="P91" s="9"/>
      <c r="Q91" s="9"/>
      <c r="R91" s="9"/>
      <c r="S91" s="9"/>
      <c r="T91" s="9"/>
      <c r="U91" s="9"/>
      <c r="V91" s="9"/>
      <c r="W91" s="9"/>
      <c r="X91" s="9"/>
      <c r="Y91" s="9"/>
      <c r="Z91" s="9"/>
      <c r="AA91" s="9"/>
    </row>
    <row r="92" spans="8:27">
      <c r="H92" s="15"/>
      <c r="I92" s="9"/>
      <c r="J92" s="9"/>
      <c r="K92" s="9"/>
      <c r="L92" s="9"/>
      <c r="M92" s="9"/>
      <c r="N92" s="9"/>
      <c r="O92" s="9"/>
      <c r="P92" s="9"/>
      <c r="Q92" s="9"/>
      <c r="R92" s="9"/>
    </row>
    <row r="93" spans="8:27">
      <c r="H93" s="15"/>
      <c r="I93" s="9"/>
      <c r="J93" s="9"/>
      <c r="K93" s="9"/>
      <c r="L93" s="9"/>
      <c r="M93" s="9"/>
      <c r="N93" s="9"/>
      <c r="O93" s="9"/>
      <c r="P93" s="9"/>
      <c r="Q93" s="9"/>
      <c r="R93" s="9"/>
    </row>
    <row r="94" spans="8:27">
      <c r="H94" s="15"/>
      <c r="P94" s="9"/>
      <c r="Q94" s="9"/>
      <c r="R94" s="9"/>
    </row>
    <row r="95" spans="8:27">
      <c r="H95" s="15"/>
      <c r="P95" s="9"/>
      <c r="Q95" s="9"/>
      <c r="R95" s="9"/>
    </row>
    <row r="96" spans="8:27">
      <c r="H96" s="15"/>
      <c r="P96" s="9"/>
      <c r="Q96" s="9"/>
      <c r="R96" s="9"/>
    </row>
    <row r="97" spans="8:18">
      <c r="H97" s="15"/>
      <c r="P97" s="9"/>
      <c r="Q97" s="9"/>
      <c r="R97" s="9"/>
    </row>
    <row r="98" spans="8:18">
      <c r="H98" s="15"/>
      <c r="P98" s="9"/>
      <c r="Q98" s="9"/>
      <c r="R98" s="9"/>
    </row>
    <row r="99" spans="8:18">
      <c r="H99" s="15"/>
      <c r="P99" s="9"/>
      <c r="Q99" s="9"/>
      <c r="R99" s="9"/>
    </row>
    <row r="100" spans="8:18">
      <c r="H100" s="15"/>
      <c r="P100" s="9"/>
      <c r="Q100" s="9"/>
      <c r="R100" s="9"/>
    </row>
    <row r="101" spans="8:18">
      <c r="H101" s="15"/>
      <c r="P101" s="9"/>
      <c r="Q101" s="9"/>
      <c r="R101" s="9"/>
    </row>
    <row r="102" spans="8:18">
      <c r="H102" s="15"/>
      <c r="P102" s="9"/>
      <c r="Q102" s="9"/>
      <c r="R102" s="9"/>
    </row>
    <row r="103" spans="8:18">
      <c r="H103" s="15"/>
      <c r="P103" s="9"/>
      <c r="Q103" s="9"/>
      <c r="R103" s="9"/>
    </row>
    <row r="104" spans="8:18">
      <c r="H104" s="15"/>
      <c r="P104" s="9"/>
      <c r="Q104" s="9"/>
      <c r="R104" s="9"/>
    </row>
    <row r="105" spans="8:18">
      <c r="H105" s="15"/>
      <c r="P105" s="9"/>
      <c r="Q105" s="9"/>
      <c r="R105" s="9"/>
    </row>
    <row r="106" spans="8:18">
      <c r="H106" s="15"/>
      <c r="P106" s="9"/>
      <c r="Q106" s="9"/>
      <c r="R106" s="9"/>
    </row>
    <row r="107" spans="8:18">
      <c r="H107" s="15"/>
      <c r="P107" s="9"/>
      <c r="Q107" s="9"/>
      <c r="R107" s="9"/>
    </row>
    <row r="108" spans="8:18">
      <c r="H108" s="15"/>
      <c r="P108" s="9"/>
      <c r="Q108" s="9"/>
      <c r="R108" s="9"/>
    </row>
    <row r="109" spans="8:18">
      <c r="H109" s="15"/>
      <c r="P109" s="9"/>
      <c r="Q109" s="9"/>
      <c r="R109" s="9"/>
    </row>
    <row r="110" spans="8:18">
      <c r="H110" s="15"/>
      <c r="P110" s="9"/>
      <c r="Q110" s="9"/>
      <c r="R110" s="9"/>
    </row>
    <row r="111" spans="8:18">
      <c r="H111" s="15"/>
      <c r="P111" s="9"/>
      <c r="Q111" s="9"/>
      <c r="R111" s="9"/>
    </row>
    <row r="112" spans="8:18">
      <c r="H112" s="15"/>
      <c r="P112" s="9"/>
      <c r="Q112" s="9"/>
      <c r="R112" s="9"/>
    </row>
    <row r="113" spans="8:18">
      <c r="H113" s="15"/>
      <c r="P113" s="9"/>
      <c r="Q113" s="9"/>
      <c r="R113" s="9"/>
    </row>
    <row r="114" spans="8:18">
      <c r="H114" s="15"/>
      <c r="P114" s="9"/>
      <c r="Q114" s="9"/>
      <c r="R114" s="9"/>
    </row>
    <row r="115" spans="8:18">
      <c r="H115" s="15"/>
      <c r="P115" s="9"/>
      <c r="Q115" s="9"/>
      <c r="R115" s="9"/>
    </row>
    <row r="116" spans="8:18">
      <c r="H116" s="15"/>
      <c r="P116" s="9"/>
      <c r="Q116" s="9"/>
      <c r="R116" s="9"/>
    </row>
    <row r="117" spans="8:18">
      <c r="H117" s="15"/>
      <c r="P117" s="9"/>
      <c r="Q117" s="9"/>
      <c r="R117" s="9"/>
    </row>
    <row r="118" spans="8:18">
      <c r="H118" s="15"/>
      <c r="P118" s="9"/>
      <c r="Q118" s="9"/>
      <c r="R118" s="9"/>
    </row>
    <row r="119" spans="8:18">
      <c r="H119" s="15"/>
      <c r="P119" s="9"/>
      <c r="Q119" s="9"/>
      <c r="R119" s="9"/>
    </row>
    <row r="120" spans="8:18">
      <c r="H120" s="15"/>
      <c r="P120" s="9"/>
      <c r="Q120" s="9"/>
      <c r="R120" s="9"/>
    </row>
    <row r="121" spans="8:18">
      <c r="H121" s="15"/>
      <c r="P121" s="9"/>
      <c r="Q121" s="9"/>
      <c r="R121" s="9"/>
    </row>
    <row r="122" spans="8:18">
      <c r="H122" s="15"/>
      <c r="P122" s="9"/>
      <c r="Q122" s="9"/>
      <c r="R122" s="9"/>
    </row>
    <row r="123" spans="8:18">
      <c r="H123" s="15"/>
      <c r="P123" s="9"/>
      <c r="Q123" s="9"/>
      <c r="R123" s="9"/>
    </row>
    <row r="124" spans="8:18">
      <c r="H124" s="15"/>
      <c r="P124" s="9"/>
      <c r="Q124" s="9"/>
      <c r="R124" s="9"/>
    </row>
    <row r="125" spans="8:18">
      <c r="H125" s="15"/>
      <c r="P125" s="9"/>
      <c r="Q125" s="9"/>
      <c r="R125" s="9"/>
    </row>
    <row r="126" spans="8:18">
      <c r="H126" s="15"/>
      <c r="P126" s="9"/>
      <c r="Q126" s="9"/>
      <c r="R126" s="9"/>
    </row>
    <row r="127" spans="8:18">
      <c r="H127" s="15"/>
      <c r="P127" s="9"/>
      <c r="Q127" s="9"/>
      <c r="R127" s="9"/>
    </row>
    <row r="128" spans="8:18">
      <c r="H128" s="15"/>
      <c r="P128" s="9"/>
      <c r="Q128" s="9"/>
      <c r="R128" s="9"/>
    </row>
    <row r="129" spans="8:18">
      <c r="H129" s="15"/>
      <c r="P129" s="9"/>
      <c r="Q129" s="9"/>
      <c r="R129" s="9"/>
    </row>
    <row r="130" spans="8:18">
      <c r="H130" s="15"/>
      <c r="P130" s="9"/>
      <c r="Q130" s="9"/>
      <c r="R130" s="9"/>
    </row>
    <row r="131" spans="8:18">
      <c r="H131" s="15"/>
      <c r="P131" s="9"/>
      <c r="Q131" s="9"/>
      <c r="R131" s="9"/>
    </row>
    <row r="132" spans="8:18">
      <c r="H132" s="7"/>
      <c r="P132" s="9"/>
      <c r="Q132" s="9"/>
      <c r="R132" s="9"/>
    </row>
    <row r="133" spans="8:18">
      <c r="H133" s="7"/>
      <c r="P133" s="9"/>
      <c r="Q133" s="9"/>
      <c r="R133" s="9"/>
    </row>
    <row r="134" spans="8:18">
      <c r="P134" s="9"/>
    </row>
    <row r="135" spans="8:18">
      <c r="P135" s="9"/>
    </row>
    <row r="136" spans="8:18">
      <c r="P136" s="9"/>
    </row>
    <row r="137" spans="8:18">
      <c r="P137" s="9"/>
    </row>
    <row r="138" spans="8:18">
      <c r="P138" s="9"/>
    </row>
    <row r="139" spans="8:18">
      <c r="P139" s="9"/>
    </row>
    <row r="140" spans="8:18">
      <c r="P140" s="9"/>
    </row>
    <row r="141" spans="8:18">
      <c r="P141" s="9"/>
    </row>
    <row r="142" spans="8:18">
      <c r="P142" s="9"/>
    </row>
    <row r="143" spans="8:18">
      <c r="P143" s="9"/>
    </row>
    <row r="144" spans="8:18">
      <c r="P144" s="9"/>
    </row>
    <row r="145" spans="16:16">
      <c r="P145" s="9"/>
    </row>
    <row r="146" spans="16:16">
      <c r="P146" s="9"/>
    </row>
    <row r="147" spans="16:16">
      <c r="P147" s="9"/>
    </row>
    <row r="148" spans="16:16">
      <c r="P148" s="9"/>
    </row>
    <row r="149" spans="16:16">
      <c r="P149" s="9"/>
    </row>
    <row r="150" spans="16:16">
      <c r="P150" s="9"/>
    </row>
    <row r="151" spans="16:16">
      <c r="P151" s="9"/>
    </row>
    <row r="152" spans="16:16">
      <c r="P152" s="9"/>
    </row>
    <row r="153" spans="16:16">
      <c r="P153" s="9"/>
    </row>
    <row r="154" spans="16:16">
      <c r="P154" s="9"/>
    </row>
    <row r="155" spans="16:16">
      <c r="P155" s="9"/>
    </row>
    <row r="156" spans="16:16">
      <c r="P156" s="9"/>
    </row>
    <row r="157" spans="16:16">
      <c r="P157" s="9"/>
    </row>
    <row r="158" spans="16:16">
      <c r="P158" s="9"/>
    </row>
    <row r="159" spans="16:16">
      <c r="P159" s="9"/>
    </row>
    <row r="160" spans="16:16">
      <c r="P160" s="9"/>
    </row>
    <row r="161" spans="16:16">
      <c r="P161" s="9"/>
    </row>
    <row r="162" spans="16:16">
      <c r="P162" s="9"/>
    </row>
    <row r="163" spans="16:16">
      <c r="P163" s="9"/>
    </row>
  </sheetData>
  <mergeCells count="15">
    <mergeCell ref="E28:G28"/>
    <mergeCell ref="B22:G22"/>
    <mergeCell ref="B23:G23"/>
    <mergeCell ref="B31:D31"/>
    <mergeCell ref="E31:G31"/>
    <mergeCell ref="B32:D32"/>
    <mergeCell ref="E32:G32"/>
    <mergeCell ref="B29:C29"/>
    <mergeCell ref="B30:D30"/>
    <mergeCell ref="E30:G30"/>
    <mergeCell ref="B9:G9"/>
    <mergeCell ref="B14:G14"/>
    <mergeCell ref="B12:G12"/>
    <mergeCell ref="K21:L21"/>
    <mergeCell ref="B20:G21"/>
  </mergeCells>
  <printOptions horizontalCentered="1"/>
  <pageMargins left="0.39370078740157483" right="0.39370078740157483" top="0.74803149606299213" bottom="0.74803149606299213" header="0.31496062992125984" footer="0.31496062992125984"/>
  <pageSetup paperSize="9" orientation="portrait" r:id="rId1"/>
  <headerFooter>
    <oddFooter>&amp;C&amp;"-,Gras italique"&amp;K02-049CEF - 76 rue des Tiphoines - 91240 SAINT MICHEL SUR ORGE - Tél : &amp;K02-04801.64.49.51.28 - Fax : 01.64.49.82.52 - SAS au capital de 4 000 000€ - RC 75 B 179 - SIRET 302 178 793 00063 - TVA INTRA. FR 96 302 178 793 00063</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EY496"/>
  <sheetViews>
    <sheetView tabSelected="1" zoomScaleNormal="100" zoomScaleSheetLayoutView="100" workbookViewId="0">
      <pane xSplit="7" ySplit="6" topLeftCell="H7" activePane="bottomRight" state="frozen"/>
      <selection activeCell="B12" sqref="B12:G12"/>
      <selection pane="topRight" activeCell="B12" sqref="B12:G12"/>
      <selection pane="bottomLeft" activeCell="B12" sqref="B12:G12"/>
      <selection pane="bottomRight" activeCell="B15" sqref="B15"/>
    </sheetView>
  </sheetViews>
  <sheetFormatPr baseColWidth="10" defaultColWidth="11.5703125" defaultRowHeight="15" outlineLevelCol="2"/>
  <cols>
    <col min="1" max="1" width="3.28515625" style="392" customWidth="1"/>
    <col min="2" max="3" width="10.28515625" style="67" customWidth="1" outlineLevel="1"/>
    <col min="4" max="4" width="11.85546875" style="240" customWidth="1" outlineLevel="1"/>
    <col min="5" max="5" width="5.85546875" style="67" customWidth="1"/>
    <col min="6" max="6" width="50.7109375" style="67" customWidth="1"/>
    <col min="7" max="7" width="3.28515625" style="67" customWidth="1"/>
    <col min="8" max="17" width="8.28515625" style="229" customWidth="1" outlineLevel="2"/>
    <col min="18" max="18" width="2.7109375" style="229" customWidth="1" outlineLevel="1"/>
    <col min="19" max="19" width="11.42578125" style="229" customWidth="1" outlineLevel="2"/>
    <col min="20" max="29" width="8.28515625" style="229" customWidth="1" outlineLevel="2"/>
    <col min="30" max="30" width="2.7109375" style="229" customWidth="1" outlineLevel="1"/>
    <col min="31" max="31" width="11.42578125" style="229" customWidth="1" outlineLevel="2"/>
    <col min="32" max="41" width="8.28515625" style="229" customWidth="1" outlineLevel="2"/>
    <col min="42" max="42" width="2.7109375" style="229" customWidth="1" outlineLevel="1"/>
    <col min="43" max="43" width="11.42578125" style="67" customWidth="1"/>
    <col min="44" max="44" width="12.85546875" style="67" customWidth="1"/>
    <col min="45" max="45" width="14.42578125" style="67" customWidth="1"/>
    <col min="46" max="46" width="2.42578125" style="67" customWidth="1"/>
    <col min="47" max="47" width="13.140625" style="451" customWidth="1"/>
    <col min="48" max="48" width="4.42578125" style="67" customWidth="1"/>
    <col min="49" max="49" width="12.5703125" style="67" customWidth="1"/>
    <col min="50" max="50" width="13" style="67" customWidth="1"/>
    <col min="51" max="52" width="11.5703125" style="67" customWidth="1"/>
    <col min="53" max="53" width="4.42578125" style="67" customWidth="1"/>
    <col min="54" max="55" width="11.5703125" style="67" customWidth="1"/>
    <col min="56" max="56" width="4.42578125" style="67" customWidth="1"/>
    <col min="57" max="58" width="11.5703125" style="67" customWidth="1"/>
    <col min="59" max="59" width="4.42578125" style="67" customWidth="1"/>
    <col min="60" max="61" width="11.5703125" style="67" customWidth="1"/>
    <col min="62" max="62" width="4.42578125" style="67" customWidth="1"/>
    <col min="63" max="64" width="11.5703125" style="67" customWidth="1"/>
    <col min="65" max="65" width="4.42578125" style="67" customWidth="1"/>
    <col min="66" max="67" width="11.5703125" style="67" customWidth="1"/>
    <col min="68" max="68" width="4.42578125" style="67" customWidth="1"/>
    <col min="69" max="70" width="11.5703125" style="67" customWidth="1"/>
    <col min="71" max="71" width="4.42578125" style="67" customWidth="1"/>
    <col min="72" max="76" width="11.5703125" style="67" customWidth="1"/>
    <col min="77" max="77" width="3.140625" style="240" customWidth="1"/>
    <col min="78" max="78" width="11.5703125" style="140"/>
    <col min="79" max="16384" width="11.5703125" style="67"/>
  </cols>
  <sheetData>
    <row r="1" spans="1:155" ht="15.75" thickBot="1">
      <c r="B1" s="392"/>
      <c r="C1" s="392"/>
      <c r="D1" s="243"/>
      <c r="E1" s="245"/>
      <c r="F1" s="245" t="s">
        <v>28</v>
      </c>
      <c r="G1" s="245"/>
      <c r="H1" s="246"/>
      <c r="I1" s="246"/>
      <c r="J1" s="246"/>
      <c r="K1" s="246"/>
      <c r="L1" s="246"/>
      <c r="M1" s="246"/>
      <c r="N1" s="246"/>
      <c r="O1" s="246"/>
      <c r="P1" s="246"/>
      <c r="Q1" s="246"/>
      <c r="R1" s="392"/>
      <c r="S1" s="392"/>
      <c r="T1" s="392"/>
      <c r="U1" s="392"/>
      <c r="V1" s="392"/>
      <c r="W1" s="392"/>
      <c r="X1" s="392"/>
      <c r="Y1" s="392"/>
      <c r="Z1" s="392"/>
      <c r="AA1" s="392"/>
      <c r="AB1" s="392"/>
      <c r="AC1" s="392"/>
      <c r="AD1" s="392"/>
      <c r="AE1" s="392"/>
      <c r="AF1" s="392"/>
      <c r="AG1" s="392"/>
      <c r="AH1" s="392"/>
      <c r="AI1" s="392"/>
      <c r="AJ1" s="392"/>
      <c r="AK1" s="392"/>
      <c r="AL1" s="392"/>
      <c r="AM1" s="392"/>
      <c r="AN1" s="392"/>
      <c r="AO1" s="392"/>
      <c r="AP1" s="392"/>
      <c r="AQ1" s="245"/>
      <c r="AR1" s="245"/>
      <c r="AS1" s="250"/>
      <c r="AT1" s="392"/>
      <c r="AU1" s="452">
        <f>+AS255</f>
        <v>558576.23699999996</v>
      </c>
      <c r="AV1" s="392"/>
      <c r="AW1" s="392"/>
      <c r="AX1" s="392"/>
      <c r="AY1" s="392"/>
      <c r="AZ1" s="392"/>
      <c r="BA1" s="392"/>
      <c r="BB1" s="392"/>
      <c r="BC1" s="392"/>
      <c r="BD1" s="392"/>
      <c r="BE1" s="392"/>
      <c r="BF1" s="392"/>
      <c r="BG1" s="392"/>
      <c r="BH1" s="392"/>
      <c r="BI1" s="392"/>
      <c r="BJ1" s="392"/>
      <c r="BK1" s="392"/>
      <c r="BL1" s="392"/>
      <c r="BM1" s="392"/>
      <c r="BN1" s="392"/>
      <c r="BO1" s="392"/>
      <c r="BP1" s="392"/>
      <c r="BQ1" s="392"/>
      <c r="BR1" s="392"/>
      <c r="BS1" s="392"/>
      <c r="BT1" s="392"/>
      <c r="BU1" s="392"/>
      <c r="BV1" s="392"/>
      <c r="BW1" s="392"/>
      <c r="BX1" s="392"/>
      <c r="BY1" s="392"/>
      <c r="BZ1" s="392"/>
      <c r="CA1" s="392"/>
      <c r="CB1" s="392"/>
      <c r="CC1" s="392"/>
      <c r="CD1" s="392"/>
      <c r="CE1" s="392"/>
      <c r="CF1" s="392"/>
      <c r="CG1" s="392"/>
      <c r="CH1" s="392"/>
      <c r="CI1" s="392"/>
      <c r="CJ1" s="392"/>
      <c r="CK1" s="392"/>
      <c r="CL1" s="392"/>
      <c r="CM1" s="392"/>
      <c r="CN1" s="392"/>
      <c r="CO1" s="392"/>
      <c r="CP1" s="392"/>
      <c r="CQ1" s="392"/>
      <c r="CR1" s="392"/>
      <c r="CS1" s="392"/>
      <c r="CT1" s="392"/>
      <c r="CU1" s="392"/>
      <c r="CV1" s="392"/>
      <c r="CW1" s="392"/>
      <c r="CX1" s="392"/>
      <c r="CY1" s="392"/>
      <c r="CZ1" s="392"/>
      <c r="DA1" s="392"/>
      <c r="DB1" s="392"/>
      <c r="DC1" s="392"/>
      <c r="DD1" s="392"/>
      <c r="DE1" s="392"/>
      <c r="DF1" s="392"/>
      <c r="DG1" s="392"/>
      <c r="DH1" s="392"/>
      <c r="DI1" s="392"/>
      <c r="DJ1" s="392"/>
      <c r="DK1" s="392"/>
      <c r="DL1" s="392"/>
      <c r="DM1" s="392"/>
      <c r="DN1" s="392"/>
      <c r="DO1" s="392"/>
      <c r="DP1" s="392"/>
      <c r="DQ1" s="392"/>
      <c r="DR1" s="240"/>
      <c r="DS1" s="240"/>
      <c r="DT1" s="240"/>
      <c r="DU1" s="240"/>
      <c r="DV1" s="240"/>
      <c r="DW1" s="240"/>
      <c r="DX1" s="240"/>
      <c r="DY1" s="240"/>
      <c r="DZ1" s="240"/>
      <c r="EA1" s="240"/>
      <c r="EB1" s="240"/>
      <c r="EC1" s="240"/>
      <c r="ED1" s="240"/>
      <c r="EE1" s="240"/>
      <c r="EF1" s="240"/>
      <c r="EG1" s="240"/>
      <c r="EH1" s="240"/>
      <c r="EI1" s="240"/>
      <c r="EJ1" s="240"/>
      <c r="EK1" s="240"/>
      <c r="EL1" s="240"/>
      <c r="EM1" s="240"/>
      <c r="EN1" s="240"/>
      <c r="EO1" s="240"/>
      <c r="EP1" s="240"/>
      <c r="EQ1" s="240"/>
      <c r="ER1" s="240"/>
      <c r="ES1" s="240"/>
      <c r="ET1" s="240"/>
      <c r="EU1" s="240"/>
      <c r="EV1" s="240"/>
      <c r="EW1" s="240"/>
      <c r="EX1" s="240"/>
      <c r="EY1" s="240"/>
    </row>
    <row r="2" spans="1:155" ht="15.75" thickBot="1">
      <c r="B2" s="370"/>
      <c r="C2" s="392"/>
      <c r="D2" s="243"/>
      <c r="E2" s="244" t="str">
        <f>+"AFFAIRE : "&amp;PdG!B15</f>
        <v>AFFAIRE : 0080  _PARIS - Rue d'Excel - COMIKSOU</v>
      </c>
      <c r="F2" s="245"/>
      <c r="G2" s="245"/>
      <c r="H2" s="246"/>
      <c r="I2" s="246"/>
      <c r="J2" s="246"/>
      <c r="K2" s="246"/>
      <c r="L2" s="246"/>
      <c r="M2" s="246"/>
      <c r="N2" s="246"/>
      <c r="O2" s="246"/>
      <c r="P2" s="246"/>
      <c r="Q2" s="246"/>
      <c r="R2" s="392"/>
      <c r="S2" s="240"/>
      <c r="T2" s="240"/>
      <c r="U2" s="240"/>
      <c r="V2" s="240"/>
      <c r="W2" s="240"/>
      <c r="X2" s="240"/>
      <c r="Y2" s="240"/>
      <c r="Z2" s="240"/>
      <c r="AA2" s="240"/>
      <c r="AB2" s="240"/>
      <c r="AC2" s="240"/>
      <c r="AD2" s="327"/>
      <c r="AE2" s="240"/>
      <c r="AF2" s="248" t="s">
        <v>129</v>
      </c>
      <c r="AG2" s="249">
        <v>1</v>
      </c>
      <c r="AH2" s="240"/>
      <c r="AI2" s="240"/>
      <c r="AJ2" s="248" t="s">
        <v>128</v>
      </c>
      <c r="AK2" s="249">
        <v>1</v>
      </c>
      <c r="AL2" s="240"/>
      <c r="AM2" s="240"/>
      <c r="AN2" s="248" t="s">
        <v>127</v>
      </c>
      <c r="AO2" s="249">
        <v>1</v>
      </c>
      <c r="AP2" s="240"/>
      <c r="AQ2" s="509" t="str">
        <f>+""&amp;PdG!J22&amp;" - "&amp;PdG!K22&amp;" "&amp;PdG!M22</f>
        <v xml:space="preserve">LOT 01 - TERRASSEMENT - VRD - CLOTURES  </v>
      </c>
      <c r="AR2" s="510"/>
      <c r="AS2" s="511"/>
      <c r="AT2" s="240"/>
      <c r="AU2" s="453" t="str">
        <f>"DÉBOURSÉ "&amp;E2</f>
        <v>DÉBOURSÉ AFFAIRE : 0080  _PARIS - Rue d'Excel - COMIKSOU</v>
      </c>
      <c r="AV2" s="240"/>
      <c r="AW2" s="240"/>
      <c r="AX2" s="240"/>
      <c r="AY2" s="240"/>
      <c r="AZ2" s="240"/>
      <c r="BA2" s="240"/>
      <c r="BB2" s="240"/>
      <c r="BC2" s="240"/>
      <c r="BD2" s="240"/>
      <c r="BE2" s="240"/>
      <c r="BF2" s="240"/>
      <c r="BG2" s="240"/>
      <c r="BH2" s="240"/>
      <c r="BI2" s="240"/>
      <c r="BJ2" s="240"/>
      <c r="BK2" s="240"/>
      <c r="BL2" s="240"/>
      <c r="BM2" s="240"/>
      <c r="BN2" s="240"/>
      <c r="BO2" s="240"/>
      <c r="BP2" s="240"/>
      <c r="BQ2" s="240"/>
      <c r="BR2" s="240"/>
      <c r="BS2" s="240"/>
      <c r="BT2" s="240"/>
      <c r="BU2" s="240"/>
      <c r="BV2" s="240"/>
      <c r="BW2" s="240"/>
      <c r="BX2" s="327"/>
      <c r="BZ2" s="240"/>
      <c r="CA2" s="240"/>
      <c r="CB2" s="240"/>
      <c r="CC2" s="240"/>
      <c r="CD2" s="240"/>
      <c r="CE2" s="240"/>
      <c r="CF2" s="240"/>
      <c r="CG2" s="240"/>
      <c r="CH2" s="240"/>
      <c r="CI2" s="240"/>
      <c r="CJ2" s="240"/>
      <c r="CK2" s="240"/>
      <c r="CL2" s="240"/>
      <c r="CM2" s="240"/>
      <c r="CN2" s="240"/>
      <c r="CO2" s="240"/>
      <c r="CP2" s="240"/>
      <c r="CQ2" s="240"/>
      <c r="CR2" s="240"/>
      <c r="CS2" s="240"/>
      <c r="CT2" s="240"/>
      <c r="CU2" s="240"/>
      <c r="CV2" s="240"/>
      <c r="CW2" s="240"/>
      <c r="CX2" s="240"/>
      <c r="CY2" s="240"/>
      <c r="CZ2" s="240"/>
      <c r="DA2" s="240"/>
      <c r="DB2" s="240"/>
      <c r="DC2" s="240"/>
      <c r="DD2" s="240"/>
      <c r="DE2" s="240"/>
      <c r="DF2" s="240"/>
      <c r="DG2" s="240"/>
      <c r="DH2" s="240"/>
      <c r="DI2" s="240"/>
      <c r="DJ2" s="240"/>
      <c r="DK2" s="240"/>
      <c r="DL2" s="240"/>
      <c r="DM2" s="240"/>
      <c r="DN2" s="240"/>
      <c r="DO2" s="240"/>
      <c r="DP2" s="240"/>
      <c r="DQ2" s="240"/>
      <c r="DR2" s="240"/>
      <c r="DS2" s="240"/>
      <c r="DT2" s="240"/>
      <c r="DU2" s="240"/>
      <c r="DV2" s="240"/>
      <c r="DW2" s="240"/>
      <c r="DX2" s="240"/>
      <c r="DY2" s="240"/>
      <c r="DZ2" s="240"/>
      <c r="EA2" s="240"/>
      <c r="EB2" s="240"/>
      <c r="EC2" s="240"/>
      <c r="ED2" s="240"/>
      <c r="EE2" s="240"/>
      <c r="EF2" s="240"/>
      <c r="EG2" s="240"/>
      <c r="EH2" s="240"/>
      <c r="EI2" s="240"/>
      <c r="EJ2" s="240"/>
      <c r="EK2" s="240"/>
      <c r="EL2" s="240"/>
      <c r="EM2" s="240"/>
      <c r="EN2" s="240"/>
      <c r="EO2" s="240"/>
      <c r="EP2" s="240"/>
      <c r="EQ2" s="240"/>
      <c r="ER2" s="240"/>
      <c r="ES2" s="240"/>
      <c r="ET2" s="240"/>
      <c r="EU2" s="240"/>
      <c r="EV2" s="240"/>
      <c r="EW2" s="240"/>
      <c r="EX2" s="240"/>
      <c r="EY2" s="240"/>
    </row>
    <row r="3" spans="1:155">
      <c r="B3" s="370"/>
      <c r="C3" s="392"/>
      <c r="D3" s="243"/>
      <c r="E3" s="245"/>
      <c r="F3" s="245" t="s">
        <v>28</v>
      </c>
      <c r="G3" s="245"/>
      <c r="H3" s="246"/>
      <c r="I3" s="246"/>
      <c r="J3" s="246"/>
      <c r="K3" s="246"/>
      <c r="L3" s="246"/>
      <c r="M3" s="246"/>
      <c r="N3" s="246"/>
      <c r="O3" s="246"/>
      <c r="P3" s="246"/>
      <c r="Q3" s="246"/>
      <c r="R3" s="392"/>
      <c r="S3" s="240"/>
      <c r="T3" s="240"/>
      <c r="U3" s="240"/>
      <c r="V3" s="240"/>
      <c r="W3" s="240"/>
      <c r="X3" s="240"/>
      <c r="Y3" s="240"/>
      <c r="Z3" s="240"/>
      <c r="AA3" s="240"/>
      <c r="AB3" s="240"/>
      <c r="AC3" s="240"/>
      <c r="AD3" s="327"/>
      <c r="AE3" s="240"/>
      <c r="AF3" s="240"/>
      <c r="AG3" s="240"/>
      <c r="AH3" s="240"/>
      <c r="AI3" s="240"/>
      <c r="AJ3" s="240"/>
      <c r="AK3" s="240"/>
      <c r="AL3" s="240"/>
      <c r="AM3" s="240"/>
      <c r="AN3" s="240"/>
      <c r="AO3" s="240"/>
      <c r="AP3" s="240"/>
      <c r="AQ3" s="245"/>
      <c r="AR3" s="245"/>
      <c r="AS3" s="250"/>
      <c r="AT3" s="240"/>
      <c r="AU3" s="263"/>
      <c r="AV3" s="240"/>
      <c r="AW3" s="240"/>
      <c r="AX3" s="240"/>
      <c r="AY3" s="240"/>
      <c r="AZ3" s="240"/>
      <c r="BA3" s="240"/>
      <c r="BB3" s="240"/>
      <c r="BC3" s="240"/>
      <c r="BD3" s="240"/>
      <c r="BE3" s="240"/>
      <c r="BF3" s="240"/>
      <c r="BG3" s="240"/>
      <c r="BH3" s="240"/>
      <c r="BI3" s="240"/>
      <c r="BJ3" s="240"/>
      <c r="BK3" s="240"/>
      <c r="BL3" s="240"/>
      <c r="BM3" s="240"/>
      <c r="BN3" s="240"/>
      <c r="BO3" s="240"/>
      <c r="BP3" s="240"/>
      <c r="BQ3" s="240"/>
      <c r="BR3" s="240"/>
      <c r="BS3" s="240"/>
      <c r="BT3" s="240"/>
      <c r="BU3" s="240"/>
      <c r="BV3" s="240"/>
      <c r="BW3" s="240"/>
      <c r="BX3" s="327"/>
      <c r="BZ3" s="240"/>
      <c r="CA3" s="240"/>
      <c r="CB3" s="240"/>
      <c r="CC3" s="240"/>
      <c r="CD3" s="240"/>
      <c r="CE3" s="240"/>
      <c r="CF3" s="240"/>
      <c r="CG3" s="240"/>
      <c r="CH3" s="240"/>
      <c r="CI3" s="240"/>
      <c r="CJ3" s="240"/>
      <c r="CK3" s="240"/>
      <c r="CL3" s="240"/>
      <c r="CM3" s="240"/>
      <c r="CN3" s="240"/>
      <c r="CO3" s="240"/>
      <c r="CP3" s="240"/>
      <c r="CQ3" s="240"/>
      <c r="CR3" s="240"/>
      <c r="CS3" s="240"/>
      <c r="CT3" s="240"/>
      <c r="CU3" s="240"/>
      <c r="CV3" s="240"/>
      <c r="CW3" s="240"/>
      <c r="CX3" s="240"/>
      <c r="CY3" s="240"/>
      <c r="CZ3" s="240"/>
      <c r="DA3" s="240"/>
      <c r="DB3" s="240"/>
      <c r="DC3" s="240"/>
      <c r="DD3" s="240"/>
      <c r="DE3" s="240"/>
      <c r="DF3" s="240"/>
      <c r="DG3" s="240"/>
      <c r="DH3" s="240"/>
      <c r="DI3" s="240"/>
      <c r="DJ3" s="240"/>
      <c r="DK3" s="240"/>
      <c r="DL3" s="240"/>
      <c r="DM3" s="240"/>
      <c r="DN3" s="240"/>
      <c r="DO3" s="240"/>
      <c r="DP3" s="240"/>
      <c r="DQ3" s="240"/>
      <c r="DR3" s="240"/>
      <c r="DS3" s="240"/>
      <c r="DT3" s="240"/>
      <c r="DU3" s="240"/>
      <c r="DV3" s="240"/>
      <c r="DW3" s="240"/>
      <c r="DX3" s="240"/>
      <c r="DY3" s="240"/>
      <c r="DZ3" s="240"/>
      <c r="EA3" s="240"/>
      <c r="EB3" s="240"/>
      <c r="EC3" s="240"/>
      <c r="ED3" s="240"/>
      <c r="EE3" s="240"/>
      <c r="EF3" s="240"/>
      <c r="EG3" s="240"/>
      <c r="EH3" s="240"/>
      <c r="EI3" s="240"/>
      <c r="EJ3" s="240"/>
      <c r="EK3" s="240"/>
      <c r="EL3" s="240"/>
      <c r="EM3" s="240"/>
      <c r="EN3" s="240"/>
      <c r="EO3" s="240"/>
      <c r="EP3" s="240"/>
      <c r="EQ3" s="240"/>
      <c r="ER3" s="240"/>
      <c r="ES3" s="240"/>
      <c r="ET3" s="240"/>
      <c r="EU3" s="240"/>
      <c r="EV3" s="240"/>
      <c r="EW3" s="240"/>
      <c r="EX3" s="240"/>
      <c r="EY3" s="240"/>
    </row>
    <row r="4" spans="1:155" s="240" customFormat="1" ht="14.45" customHeight="1">
      <c r="A4" s="392"/>
      <c r="B4" s="482" t="s">
        <v>331</v>
      </c>
      <c r="C4" s="483"/>
      <c r="D4" s="484"/>
      <c r="E4" s="24" t="s">
        <v>28</v>
      </c>
      <c r="F4" s="24"/>
      <c r="G4" s="24"/>
      <c r="H4" s="507" t="s">
        <v>130</v>
      </c>
      <c r="I4" s="491"/>
      <c r="J4" s="491"/>
      <c r="K4" s="491"/>
      <c r="L4" s="491"/>
      <c r="M4" s="491"/>
      <c r="N4" s="491"/>
      <c r="O4" s="491"/>
      <c r="P4" s="491"/>
      <c r="Q4" s="491"/>
      <c r="R4" s="425"/>
      <c r="S4" s="504" t="s">
        <v>65</v>
      </c>
      <c r="T4" s="491" t="s">
        <v>132</v>
      </c>
      <c r="U4" s="491"/>
      <c r="V4" s="491"/>
      <c r="W4" s="491"/>
      <c r="X4" s="491"/>
      <c r="Y4" s="491"/>
      <c r="Z4" s="491"/>
      <c r="AA4" s="491"/>
      <c r="AB4" s="491"/>
      <c r="AC4" s="491"/>
      <c r="AD4" s="425"/>
      <c r="AE4" s="499" t="s">
        <v>59</v>
      </c>
      <c r="AF4" s="507" t="s">
        <v>133</v>
      </c>
      <c r="AG4" s="491"/>
      <c r="AH4" s="491"/>
      <c r="AI4" s="491"/>
      <c r="AJ4" s="491"/>
      <c r="AK4" s="491"/>
      <c r="AL4" s="491"/>
      <c r="AM4" s="491"/>
      <c r="AN4" s="491"/>
      <c r="AO4" s="508"/>
      <c r="AP4" s="332"/>
      <c r="AQ4" s="499" t="s">
        <v>131</v>
      </c>
      <c r="AR4" s="24"/>
      <c r="AS4" s="25"/>
      <c r="AU4" s="512" t="s">
        <v>41</v>
      </c>
      <c r="AV4" s="496" t="s">
        <v>40</v>
      </c>
      <c r="AW4" s="492" t="s">
        <v>14</v>
      </c>
      <c r="AX4" s="515"/>
      <c r="AY4" s="515"/>
      <c r="AZ4" s="493"/>
      <c r="BA4" s="496" t="s">
        <v>40</v>
      </c>
      <c r="BB4" s="492" t="s">
        <v>89</v>
      </c>
      <c r="BC4" s="493"/>
      <c r="BD4" s="496" t="s">
        <v>40</v>
      </c>
      <c r="BE4" s="492" t="s">
        <v>90</v>
      </c>
      <c r="BF4" s="493"/>
      <c r="BG4" s="496" t="s">
        <v>40</v>
      </c>
      <c r="BH4" s="492" t="s">
        <v>91</v>
      </c>
      <c r="BI4" s="493"/>
      <c r="BJ4" s="496" t="s">
        <v>40</v>
      </c>
      <c r="BK4" s="492" t="s">
        <v>92</v>
      </c>
      <c r="BL4" s="493"/>
      <c r="BM4" s="496" t="s">
        <v>40</v>
      </c>
      <c r="BN4" s="492" t="s">
        <v>93</v>
      </c>
      <c r="BO4" s="493"/>
      <c r="BP4" s="496" t="s">
        <v>40</v>
      </c>
      <c r="BQ4" s="492" t="s">
        <v>98</v>
      </c>
      <c r="BR4" s="493"/>
      <c r="BS4" s="496" t="s">
        <v>40</v>
      </c>
      <c r="BT4" s="492" t="s">
        <v>99</v>
      </c>
      <c r="BU4" s="493"/>
      <c r="BV4" s="518" t="s">
        <v>9</v>
      </c>
      <c r="BW4" s="519"/>
      <c r="BX4" s="512" t="s">
        <v>269</v>
      </c>
    </row>
    <row r="5" spans="1:155" s="240" customFormat="1" ht="14.45" customHeight="1">
      <c r="A5" s="392"/>
      <c r="B5" s="485" t="s">
        <v>332</v>
      </c>
      <c r="C5" s="487" t="s">
        <v>334</v>
      </c>
      <c r="D5" s="489" t="s">
        <v>333</v>
      </c>
      <c r="E5" s="26" t="s">
        <v>31</v>
      </c>
      <c r="F5" s="26" t="s">
        <v>32</v>
      </c>
      <c r="G5" s="26" t="s">
        <v>33</v>
      </c>
      <c r="H5" s="489" t="s">
        <v>120</v>
      </c>
      <c r="I5" s="489" t="s">
        <v>121</v>
      </c>
      <c r="J5" s="489" t="s">
        <v>119</v>
      </c>
      <c r="K5" s="489" t="s">
        <v>122</v>
      </c>
      <c r="L5" s="489" t="s">
        <v>123</v>
      </c>
      <c r="M5" s="489" t="s">
        <v>124</v>
      </c>
      <c r="N5" s="489" t="s">
        <v>125</v>
      </c>
      <c r="O5" s="489" t="s">
        <v>126</v>
      </c>
      <c r="P5" s="489" t="s">
        <v>60</v>
      </c>
      <c r="Q5" s="489" t="s">
        <v>66</v>
      </c>
      <c r="R5" s="502"/>
      <c r="S5" s="505"/>
      <c r="T5" s="489" t="s">
        <v>120</v>
      </c>
      <c r="U5" s="489" t="s">
        <v>121</v>
      </c>
      <c r="V5" s="489" t="s">
        <v>119</v>
      </c>
      <c r="W5" s="489" t="s">
        <v>122</v>
      </c>
      <c r="X5" s="489" t="s">
        <v>123</v>
      </c>
      <c r="Y5" s="489" t="s">
        <v>124</v>
      </c>
      <c r="Z5" s="489" t="s">
        <v>125</v>
      </c>
      <c r="AA5" s="489" t="s">
        <v>126</v>
      </c>
      <c r="AB5" s="489" t="s">
        <v>60</v>
      </c>
      <c r="AC5" s="489" t="s">
        <v>66</v>
      </c>
      <c r="AD5" s="502"/>
      <c r="AE5" s="500"/>
      <c r="AF5" s="489" t="s">
        <v>120</v>
      </c>
      <c r="AG5" s="489" t="s">
        <v>121</v>
      </c>
      <c r="AH5" s="489" t="s">
        <v>119</v>
      </c>
      <c r="AI5" s="489" t="s">
        <v>122</v>
      </c>
      <c r="AJ5" s="489" t="s">
        <v>123</v>
      </c>
      <c r="AK5" s="489" t="s">
        <v>124</v>
      </c>
      <c r="AL5" s="489" t="s">
        <v>125</v>
      </c>
      <c r="AM5" s="489" t="s">
        <v>126</v>
      </c>
      <c r="AN5" s="489" t="s">
        <v>60</v>
      </c>
      <c r="AO5" s="489" t="s">
        <v>66</v>
      </c>
      <c r="AP5" s="502"/>
      <c r="AQ5" s="500"/>
      <c r="AR5" s="26" t="s">
        <v>34</v>
      </c>
      <c r="AS5" s="27" t="s">
        <v>35</v>
      </c>
      <c r="AU5" s="513"/>
      <c r="AV5" s="497"/>
      <c r="AW5" s="494"/>
      <c r="AX5" s="516"/>
      <c r="AY5" s="516"/>
      <c r="AZ5" s="495"/>
      <c r="BA5" s="497"/>
      <c r="BB5" s="494"/>
      <c r="BC5" s="495"/>
      <c r="BD5" s="497"/>
      <c r="BE5" s="494"/>
      <c r="BF5" s="495"/>
      <c r="BG5" s="497"/>
      <c r="BH5" s="494"/>
      <c r="BI5" s="495"/>
      <c r="BJ5" s="497"/>
      <c r="BK5" s="494"/>
      <c r="BL5" s="495"/>
      <c r="BM5" s="497"/>
      <c r="BN5" s="494"/>
      <c r="BO5" s="495"/>
      <c r="BP5" s="497"/>
      <c r="BQ5" s="494"/>
      <c r="BR5" s="495"/>
      <c r="BS5" s="497"/>
      <c r="BT5" s="494"/>
      <c r="BU5" s="495"/>
      <c r="BV5" s="520"/>
      <c r="BW5" s="521"/>
      <c r="BX5" s="513"/>
    </row>
    <row r="6" spans="1:155" s="240" customFormat="1">
      <c r="A6" s="392"/>
      <c r="B6" s="486"/>
      <c r="C6" s="488"/>
      <c r="D6" s="490"/>
      <c r="E6" s="28"/>
      <c r="F6" s="28"/>
      <c r="G6" s="28"/>
      <c r="H6" s="490"/>
      <c r="I6" s="490"/>
      <c r="J6" s="490"/>
      <c r="K6" s="490"/>
      <c r="L6" s="490"/>
      <c r="M6" s="490"/>
      <c r="N6" s="490"/>
      <c r="O6" s="490"/>
      <c r="P6" s="490"/>
      <c r="Q6" s="490"/>
      <c r="R6" s="503"/>
      <c r="S6" s="506"/>
      <c r="T6" s="490"/>
      <c r="U6" s="490"/>
      <c r="V6" s="490"/>
      <c r="W6" s="490"/>
      <c r="X6" s="490"/>
      <c r="Y6" s="490"/>
      <c r="Z6" s="490"/>
      <c r="AA6" s="490"/>
      <c r="AB6" s="490"/>
      <c r="AC6" s="490"/>
      <c r="AD6" s="503"/>
      <c r="AE6" s="501"/>
      <c r="AF6" s="490"/>
      <c r="AG6" s="490"/>
      <c r="AH6" s="490"/>
      <c r="AI6" s="490"/>
      <c r="AJ6" s="490"/>
      <c r="AK6" s="490"/>
      <c r="AL6" s="490"/>
      <c r="AM6" s="490"/>
      <c r="AN6" s="490"/>
      <c r="AO6" s="490"/>
      <c r="AP6" s="503"/>
      <c r="AQ6" s="501"/>
      <c r="AR6" s="28"/>
      <c r="AS6" s="29"/>
      <c r="AU6" s="514"/>
      <c r="AV6" s="498"/>
      <c r="AW6" s="118" t="s">
        <v>16</v>
      </c>
      <c r="AX6" s="119" t="s">
        <v>17</v>
      </c>
      <c r="AY6" s="119" t="s">
        <v>18</v>
      </c>
      <c r="AZ6" s="119" t="s">
        <v>19</v>
      </c>
      <c r="BA6" s="498"/>
      <c r="BB6" s="120" t="s">
        <v>20</v>
      </c>
      <c r="BC6" s="119" t="s">
        <v>21</v>
      </c>
      <c r="BD6" s="498"/>
      <c r="BE6" s="120" t="s">
        <v>20</v>
      </c>
      <c r="BF6" s="119" t="s">
        <v>21</v>
      </c>
      <c r="BG6" s="498"/>
      <c r="BH6" s="120" t="s">
        <v>20</v>
      </c>
      <c r="BI6" s="119" t="s">
        <v>21</v>
      </c>
      <c r="BJ6" s="498"/>
      <c r="BK6" s="120" t="s">
        <v>20</v>
      </c>
      <c r="BL6" s="119" t="s">
        <v>21</v>
      </c>
      <c r="BM6" s="498"/>
      <c r="BN6" s="120" t="s">
        <v>20</v>
      </c>
      <c r="BO6" s="119" t="s">
        <v>21</v>
      </c>
      <c r="BP6" s="498"/>
      <c r="BQ6" s="120" t="s">
        <v>20</v>
      </c>
      <c r="BR6" s="119" t="s">
        <v>21</v>
      </c>
      <c r="BS6" s="498"/>
      <c r="BT6" s="120" t="s">
        <v>20</v>
      </c>
      <c r="BU6" s="119" t="s">
        <v>21</v>
      </c>
      <c r="BV6" s="120" t="s">
        <v>22</v>
      </c>
      <c r="BW6" s="119" t="s">
        <v>23</v>
      </c>
      <c r="BX6" s="514"/>
    </row>
    <row r="7" spans="1:155" s="240" customFormat="1" ht="7.15" customHeight="1">
      <c r="A7" s="392"/>
      <c r="B7" s="30"/>
      <c r="C7" s="31"/>
      <c r="D7" s="31"/>
      <c r="E7" s="30"/>
      <c r="F7" s="31"/>
      <c r="G7" s="31"/>
      <c r="H7" s="71"/>
      <c r="I7" s="71"/>
      <c r="J7" s="71"/>
      <c r="K7" s="71"/>
      <c r="L7" s="71"/>
      <c r="M7" s="71"/>
      <c r="N7" s="71"/>
      <c r="O7" s="71"/>
      <c r="P7" s="71"/>
      <c r="Q7" s="71"/>
      <c r="R7" s="71"/>
      <c r="S7" s="415"/>
      <c r="T7" s="281"/>
      <c r="U7" s="281"/>
      <c r="V7" s="281"/>
      <c r="W7" s="281"/>
      <c r="X7" s="281"/>
      <c r="Y7" s="281"/>
      <c r="Z7" s="281"/>
      <c r="AA7" s="281"/>
      <c r="AB7" s="281"/>
      <c r="AC7" s="281"/>
      <c r="AD7" s="71"/>
      <c r="AE7" s="281"/>
      <c r="AF7" s="281"/>
      <c r="AG7" s="281"/>
      <c r="AH7" s="281"/>
      <c r="AI7" s="281"/>
      <c r="AJ7" s="281"/>
      <c r="AK7" s="281"/>
      <c r="AL7" s="281"/>
      <c r="AM7" s="281"/>
      <c r="AN7" s="281"/>
      <c r="AO7" s="281"/>
      <c r="AP7" s="71"/>
      <c r="AQ7" s="32"/>
      <c r="AR7" s="33"/>
      <c r="AS7" s="34"/>
      <c r="AU7" s="277"/>
      <c r="AV7" s="278"/>
      <c r="AW7" s="279"/>
      <c r="AX7" s="279"/>
      <c r="AY7" s="279"/>
      <c r="AZ7" s="279"/>
      <c r="BA7" s="279"/>
      <c r="BB7" s="279"/>
      <c r="BC7" s="279"/>
      <c r="BD7" s="279"/>
      <c r="BE7" s="279"/>
      <c r="BF7" s="279"/>
      <c r="BG7" s="279"/>
      <c r="BH7" s="279"/>
      <c r="BI7" s="279"/>
      <c r="BJ7" s="279"/>
      <c r="BK7" s="279"/>
      <c r="BL7" s="279"/>
      <c r="BM7" s="279"/>
      <c r="BN7" s="279"/>
      <c r="BO7" s="279"/>
      <c r="BP7" s="279"/>
      <c r="BQ7" s="279"/>
      <c r="BR7" s="279"/>
      <c r="BS7" s="279"/>
      <c r="BT7" s="279"/>
      <c r="BU7" s="279"/>
      <c r="BV7" s="279"/>
      <c r="BW7" s="280"/>
      <c r="BX7" s="291"/>
    </row>
    <row r="8" spans="1:155" s="240" customFormat="1">
      <c r="A8" s="392"/>
      <c r="B8" s="328" t="str">
        <f>+E8</f>
        <v>A</v>
      </c>
      <c r="C8" s="41" t="str">
        <f>+F8</f>
        <v>TERRASSEMENT</v>
      </c>
      <c r="D8" s="36"/>
      <c r="E8" s="35" t="s">
        <v>38</v>
      </c>
      <c r="F8" s="41" t="s">
        <v>138</v>
      </c>
      <c r="G8" s="36"/>
      <c r="H8" s="72"/>
      <c r="I8" s="72"/>
      <c r="J8" s="72"/>
      <c r="K8" s="72"/>
      <c r="L8" s="72"/>
      <c r="M8" s="72"/>
      <c r="N8" s="72"/>
      <c r="O8" s="72"/>
      <c r="P8" s="72"/>
      <c r="Q8" s="72"/>
      <c r="R8" s="72"/>
      <c r="S8" s="416"/>
      <c r="T8" s="72"/>
      <c r="U8" s="72"/>
      <c r="V8" s="72"/>
      <c r="W8" s="72"/>
      <c r="X8" s="72"/>
      <c r="Y8" s="72"/>
      <c r="Z8" s="72"/>
      <c r="AA8" s="72"/>
      <c r="AB8" s="72"/>
      <c r="AC8" s="72"/>
      <c r="AD8" s="72"/>
      <c r="AE8" s="72"/>
      <c r="AF8" s="72"/>
      <c r="AG8" s="72"/>
      <c r="AH8" s="72"/>
      <c r="AI8" s="72"/>
      <c r="AJ8" s="72"/>
      <c r="AK8" s="72"/>
      <c r="AL8" s="72"/>
      <c r="AM8" s="72"/>
      <c r="AN8" s="72"/>
      <c r="AO8" s="72"/>
      <c r="AP8" s="72"/>
      <c r="AQ8" s="403"/>
      <c r="AR8" s="38"/>
      <c r="AS8" s="39"/>
      <c r="AU8" s="121" t="str">
        <f>+" Déboursé chapitre : "&amp;F8</f>
        <v xml:space="preserve"> Déboursé chapitre : TERRASSEMENT</v>
      </c>
      <c r="AV8" s="122"/>
      <c r="AW8" s="123"/>
      <c r="AX8" s="123"/>
      <c r="AY8" s="123"/>
      <c r="AZ8" s="123"/>
      <c r="BA8" s="123"/>
      <c r="BB8" s="123"/>
      <c r="BC8" s="123"/>
      <c r="BD8" s="123"/>
      <c r="BE8" s="123"/>
      <c r="BF8" s="123"/>
      <c r="BG8" s="123"/>
      <c r="BH8" s="123"/>
      <c r="BI8" s="123"/>
      <c r="BJ8" s="123"/>
      <c r="BK8" s="123"/>
      <c r="BL8" s="123"/>
      <c r="BM8" s="123"/>
      <c r="BN8" s="123"/>
      <c r="BO8" s="123"/>
      <c r="BP8" s="123"/>
      <c r="BQ8" s="123"/>
      <c r="BR8" s="123"/>
      <c r="BS8" s="123"/>
      <c r="BT8" s="123"/>
      <c r="BU8" s="123"/>
      <c r="BV8" s="123"/>
      <c r="BW8" s="124"/>
      <c r="BX8" s="137"/>
    </row>
    <row r="9" spans="1:155" s="240" customFormat="1">
      <c r="A9" s="392"/>
      <c r="B9" s="258"/>
      <c r="C9" s="238"/>
      <c r="D9" s="396"/>
      <c r="E9" s="400"/>
      <c r="F9" s="127"/>
      <c r="G9" s="17"/>
      <c r="H9" s="114"/>
      <c r="I9" s="114"/>
      <c r="J9" s="114"/>
      <c r="K9" s="114"/>
      <c r="L9" s="114"/>
      <c r="M9" s="114"/>
      <c r="N9" s="114"/>
      <c r="O9" s="114"/>
      <c r="P9" s="114"/>
      <c r="Q9" s="114"/>
      <c r="R9" s="114"/>
      <c r="S9" s="417"/>
      <c r="T9" s="114"/>
      <c r="U9" s="114"/>
      <c r="V9" s="114"/>
      <c r="W9" s="114"/>
      <c r="X9" s="114"/>
      <c r="Y9" s="114"/>
      <c r="Z9" s="114"/>
      <c r="AA9" s="114"/>
      <c r="AB9" s="114"/>
      <c r="AC9" s="114"/>
      <c r="AD9" s="114"/>
      <c r="AE9" s="114"/>
      <c r="AF9" s="114"/>
      <c r="AG9" s="114"/>
      <c r="AH9" s="114"/>
      <c r="AI9" s="114"/>
      <c r="AJ9" s="114"/>
      <c r="AK9" s="114"/>
      <c r="AL9" s="114"/>
      <c r="AM9" s="114"/>
      <c r="AN9" s="114"/>
      <c r="AO9" s="114"/>
      <c r="AP9" s="114"/>
      <c r="AQ9" s="437"/>
      <c r="AR9" s="437"/>
      <c r="AS9" s="438"/>
      <c r="AU9" s="454"/>
      <c r="AV9" s="284"/>
      <c r="AW9" s="128"/>
      <c r="AX9" s="128"/>
      <c r="AY9" s="128"/>
      <c r="AZ9" s="128"/>
      <c r="BA9" s="284"/>
      <c r="BB9" s="128"/>
      <c r="BC9" s="128"/>
      <c r="BD9" s="284"/>
      <c r="BE9" s="128"/>
      <c r="BF9" s="128"/>
      <c r="BG9" s="284"/>
      <c r="BH9" s="128"/>
      <c r="BI9" s="128"/>
      <c r="BJ9" s="284"/>
      <c r="BK9" s="128"/>
      <c r="BL9" s="128"/>
      <c r="BM9" s="284"/>
      <c r="BN9" s="128"/>
      <c r="BO9" s="128"/>
      <c r="BP9" s="284"/>
      <c r="BQ9" s="128"/>
      <c r="BR9" s="128"/>
      <c r="BS9" s="284"/>
      <c r="BT9" s="128"/>
      <c r="BU9" s="128"/>
      <c r="BV9" s="128"/>
      <c r="BW9" s="128"/>
      <c r="BX9" s="128"/>
    </row>
    <row r="10" spans="1:155" s="367" customFormat="1">
      <c r="A10" s="392"/>
      <c r="B10" s="261"/>
      <c r="C10" s="237"/>
      <c r="D10" s="397"/>
      <c r="E10" s="401"/>
      <c r="F10" s="127" t="s">
        <v>300</v>
      </c>
      <c r="G10" s="17"/>
      <c r="H10" s="365"/>
      <c r="I10" s="365"/>
      <c r="J10" s="365"/>
      <c r="K10" s="365"/>
      <c r="L10" s="365"/>
      <c r="M10" s="365"/>
      <c r="N10" s="365"/>
      <c r="O10" s="365"/>
      <c r="P10" s="365"/>
      <c r="Q10" s="365"/>
      <c r="R10" s="365"/>
      <c r="S10" s="418"/>
      <c r="T10" s="365"/>
      <c r="U10" s="365"/>
      <c r="V10" s="365"/>
      <c r="W10" s="365"/>
      <c r="X10" s="365"/>
      <c r="Y10" s="365"/>
      <c r="Z10" s="365"/>
      <c r="AA10" s="365"/>
      <c r="AB10" s="365"/>
      <c r="AC10" s="365"/>
      <c r="AD10" s="365"/>
      <c r="AE10" s="112"/>
      <c r="AF10" s="366"/>
      <c r="AG10" s="366"/>
      <c r="AH10" s="366"/>
      <c r="AI10" s="366"/>
      <c r="AJ10" s="366"/>
      <c r="AK10" s="366"/>
      <c r="AL10" s="366"/>
      <c r="AM10" s="366"/>
      <c r="AN10" s="366"/>
      <c r="AO10" s="366"/>
      <c r="AP10" s="365"/>
      <c r="AQ10" s="439"/>
      <c r="AR10" s="439"/>
      <c r="AS10" s="440"/>
      <c r="AT10" s="255"/>
      <c r="AU10" s="130"/>
      <c r="AV10" s="285"/>
      <c r="AW10" s="286"/>
      <c r="AX10" s="130"/>
      <c r="AY10" s="130"/>
      <c r="AZ10" s="130"/>
      <c r="BA10" s="285"/>
      <c r="BB10" s="286"/>
      <c r="BC10" s="130"/>
      <c r="BD10" s="285"/>
      <c r="BE10" s="286"/>
      <c r="BF10" s="130"/>
      <c r="BG10" s="285"/>
      <c r="BH10" s="286"/>
      <c r="BI10" s="130"/>
      <c r="BJ10" s="287"/>
      <c r="BK10" s="286"/>
      <c r="BL10" s="130"/>
      <c r="BM10" s="287"/>
      <c r="BN10" s="286"/>
      <c r="BO10" s="130"/>
      <c r="BP10" s="287"/>
      <c r="BQ10" s="286"/>
      <c r="BR10" s="130"/>
      <c r="BS10" s="287"/>
      <c r="BT10" s="286"/>
      <c r="BU10" s="130"/>
      <c r="BV10" s="130"/>
      <c r="BW10" s="130"/>
      <c r="BX10" s="130"/>
      <c r="BY10" s="329"/>
    </row>
    <row r="11" spans="1:155" s="367" customFormat="1">
      <c r="A11" s="392"/>
      <c r="B11" s="261"/>
      <c r="C11" s="237"/>
      <c r="D11" s="397"/>
      <c r="E11" s="401"/>
      <c r="F11" s="127" t="s">
        <v>400</v>
      </c>
      <c r="G11" s="17" t="s">
        <v>105</v>
      </c>
      <c r="H11" s="365">
        <f t="shared" ref="H11:Q15" si="0">+T11</f>
        <v>0</v>
      </c>
      <c r="I11" s="365">
        <f t="shared" si="0"/>
        <v>0</v>
      </c>
      <c r="J11" s="365">
        <f t="shared" si="0"/>
        <v>0</v>
      </c>
      <c r="K11" s="365">
        <f t="shared" si="0"/>
        <v>0</v>
      </c>
      <c r="L11" s="365">
        <f t="shared" si="0"/>
        <v>0</v>
      </c>
      <c r="M11" s="365">
        <f t="shared" si="0"/>
        <v>0</v>
      </c>
      <c r="N11" s="365">
        <f t="shared" si="0"/>
        <v>4</v>
      </c>
      <c r="O11" s="365">
        <f t="shared" si="0"/>
        <v>0</v>
      </c>
      <c r="P11" s="365">
        <f t="shared" ref="P11:Q14" si="1">+AB11</f>
        <v>0</v>
      </c>
      <c r="Q11" s="365">
        <f t="shared" si="1"/>
        <v>0</v>
      </c>
      <c r="R11" s="365"/>
      <c r="S11" s="418">
        <f>SUM(T11:AC11)</f>
        <v>4</v>
      </c>
      <c r="T11" s="365">
        <f t="shared" ref="T11:AC13" si="2">ROUND(AF11,ARRONDI_QT)</f>
        <v>0</v>
      </c>
      <c r="U11" s="365">
        <f t="shared" si="2"/>
        <v>0</v>
      </c>
      <c r="V11" s="365">
        <f t="shared" si="2"/>
        <v>0</v>
      </c>
      <c r="W11" s="365">
        <f t="shared" si="2"/>
        <v>0</v>
      </c>
      <c r="X11" s="365">
        <f t="shared" si="2"/>
        <v>0</v>
      </c>
      <c r="Y11" s="365">
        <f t="shared" si="2"/>
        <v>0</v>
      </c>
      <c r="Z11" s="365">
        <f t="shared" si="2"/>
        <v>4</v>
      </c>
      <c r="AA11" s="365">
        <f t="shared" si="2"/>
        <v>0</v>
      </c>
      <c r="AB11" s="365">
        <f t="shared" si="2"/>
        <v>0</v>
      </c>
      <c r="AC11" s="365">
        <f t="shared" si="2"/>
        <v>0</v>
      </c>
      <c r="AD11" s="365"/>
      <c r="AE11" s="112">
        <f>ROUND(SUM(AF11:AO11),ARRONDI_QT)</f>
        <v>4</v>
      </c>
      <c r="AF11" s="366">
        <v>0</v>
      </c>
      <c r="AG11" s="366">
        <v>0</v>
      </c>
      <c r="AH11" s="366">
        <v>0</v>
      </c>
      <c r="AI11" s="366">
        <v>0</v>
      </c>
      <c r="AJ11" s="366">
        <v>0</v>
      </c>
      <c r="AK11" s="366">
        <v>0</v>
      </c>
      <c r="AL11" s="366">
        <v>4</v>
      </c>
      <c r="AM11" s="366">
        <v>0</v>
      </c>
      <c r="AN11" s="366">
        <v>0</v>
      </c>
      <c r="AO11" s="366">
        <v>0</v>
      </c>
      <c r="AP11" s="365"/>
      <c r="AQ11" s="439">
        <f>SUM(H11:Q11)</f>
        <v>4</v>
      </c>
      <c r="AR11" s="439">
        <f>ROUND(AU11+BV11,ARRONDI_PU)</f>
        <v>3885</v>
      </c>
      <c r="AS11" s="440">
        <f>+AR11*AQ11</f>
        <v>15540</v>
      </c>
      <c r="AT11" s="255"/>
      <c r="AU11" s="130">
        <f>+AX11+BB11+BE11+BH11+BK11+BN11+BQ11+BT11</f>
        <v>3500</v>
      </c>
      <c r="AV11" s="285">
        <f>+COEF_MO_INSTALL</f>
        <v>1.3</v>
      </c>
      <c r="AW11" s="286">
        <v>0</v>
      </c>
      <c r="AX11" s="130">
        <f>+AW11*TH_INSTALL</f>
        <v>0</v>
      </c>
      <c r="AY11" s="130">
        <f>+AW11*AE11</f>
        <v>0</v>
      </c>
      <c r="AZ11" s="130">
        <f>IF(AQ11&gt;0,(AX11*AE11),0)</f>
        <v>0</v>
      </c>
      <c r="BA11" s="285">
        <f>+COEF_FOUR1_INSTALL</f>
        <v>1.3</v>
      </c>
      <c r="BB11" s="286">
        <v>0</v>
      </c>
      <c r="BC11" s="130">
        <f>IF(AQ11&gt;0,(BB11*AE11),0)</f>
        <v>0</v>
      </c>
      <c r="BD11" s="285">
        <f>+COEF_FOUR2_INSTALL</f>
        <v>1.3</v>
      </c>
      <c r="BE11" s="286">
        <v>0</v>
      </c>
      <c r="BF11" s="130">
        <f>IF(AQ11&gt;0,(BE11*AE11),0)</f>
        <v>0</v>
      </c>
      <c r="BG11" s="285">
        <f>+COEF_FOUR3_INSTALL</f>
        <v>1.3</v>
      </c>
      <c r="BH11" s="286">
        <v>0</v>
      </c>
      <c r="BI11" s="130">
        <f>IF(AQ11&gt;0,(BH11*AE11),0)</f>
        <v>0</v>
      </c>
      <c r="BJ11" s="287">
        <f>+COEF_MTLLOC_INSTALL</f>
        <v>1.1499999999999999</v>
      </c>
      <c r="BK11" s="286">
        <v>0</v>
      </c>
      <c r="BL11" s="130">
        <f>IF(AQ11&gt;0,(BK11*AE11),0)</f>
        <v>0</v>
      </c>
      <c r="BM11" s="287">
        <f>+COEF_MTLAMR_INSTALL</f>
        <v>1.3</v>
      </c>
      <c r="BN11" s="286">
        <v>0</v>
      </c>
      <c r="BO11" s="130">
        <f>IF(AQ11&gt;0,(BN11*AE11),0)</f>
        <v>0</v>
      </c>
      <c r="BP11" s="287">
        <f>+COEF_ST1_INSTALL</f>
        <v>1.1100000000000001</v>
      </c>
      <c r="BQ11" s="286">
        <v>3500</v>
      </c>
      <c r="BR11" s="130">
        <f>IF(AQ11&gt;0,(BQ11*AE11),0)</f>
        <v>14000</v>
      </c>
      <c r="BS11" s="287">
        <f>+COEF_ST2_INSTALL</f>
        <v>1.1100000000000001</v>
      </c>
      <c r="BT11" s="286">
        <v>0</v>
      </c>
      <c r="BU11" s="130">
        <f>IF(AQ11&gt;0,(BT11*AE11),0)</f>
        <v>0</v>
      </c>
      <c r="BV11" s="130">
        <f>+(((AX11)*AV11)+(BB11*BA11)+(BE11*BD11)+(BH11*BG11)+(BK11*BJ11)+(BN11*BM11)+(BQ11*BP11)+(BT11*BS11)+(BT11*BS11))-(AU11)</f>
        <v>385.00000000000045</v>
      </c>
      <c r="BW11" s="130">
        <f>+BV11*AE11</f>
        <v>1540.0000000000018</v>
      </c>
      <c r="BX11" s="130">
        <f>AS11-(BW11+BU11+BR11+BO11+BL11+BI11+BF11+BC11+AZ11)</f>
        <v>0</v>
      </c>
      <c r="BY11" s="329"/>
    </row>
    <row r="12" spans="1:155" s="367" customFormat="1">
      <c r="A12" s="392"/>
      <c r="B12" s="261"/>
      <c r="C12" s="237"/>
      <c r="D12" s="397"/>
      <c r="E12" s="401"/>
      <c r="F12" s="127" t="s">
        <v>301</v>
      </c>
      <c r="G12" s="17" t="s">
        <v>105</v>
      </c>
      <c r="H12" s="365">
        <f t="shared" si="0"/>
        <v>0</v>
      </c>
      <c r="I12" s="365">
        <f t="shared" si="0"/>
        <v>0</v>
      </c>
      <c r="J12" s="365">
        <f t="shared" si="0"/>
        <v>0</v>
      </c>
      <c r="K12" s="365">
        <f t="shared" si="0"/>
        <v>0</v>
      </c>
      <c r="L12" s="365">
        <f t="shared" si="0"/>
        <v>0</v>
      </c>
      <c r="M12" s="365">
        <f t="shared" si="0"/>
        <v>0</v>
      </c>
      <c r="N12" s="365">
        <f t="shared" si="0"/>
        <v>0</v>
      </c>
      <c r="O12" s="365">
        <f t="shared" si="0"/>
        <v>0</v>
      </c>
      <c r="P12" s="365">
        <f t="shared" si="0"/>
        <v>0</v>
      </c>
      <c r="Q12" s="365">
        <f t="shared" si="0"/>
        <v>0</v>
      </c>
      <c r="R12" s="365"/>
      <c r="S12" s="418">
        <f>SUM(T12:AC12)</f>
        <v>0</v>
      </c>
      <c r="T12" s="365">
        <f t="shared" si="2"/>
        <v>0</v>
      </c>
      <c r="U12" s="365">
        <f t="shared" si="2"/>
        <v>0</v>
      </c>
      <c r="V12" s="365">
        <f t="shared" si="2"/>
        <v>0</v>
      </c>
      <c r="W12" s="365">
        <f t="shared" si="2"/>
        <v>0</v>
      </c>
      <c r="X12" s="365">
        <f t="shared" si="2"/>
        <v>0</v>
      </c>
      <c r="Y12" s="365">
        <f t="shared" si="2"/>
        <v>0</v>
      </c>
      <c r="Z12" s="365">
        <f t="shared" si="2"/>
        <v>0</v>
      </c>
      <c r="AA12" s="365">
        <f t="shared" si="2"/>
        <v>0</v>
      </c>
      <c r="AB12" s="365">
        <f t="shared" si="2"/>
        <v>0</v>
      </c>
      <c r="AC12" s="365">
        <f t="shared" si="2"/>
        <v>0</v>
      </c>
      <c r="AD12" s="365"/>
      <c r="AE12" s="112">
        <f>ROUND(SUM(AF12:AO12),ARRONDI_QT)</f>
        <v>0</v>
      </c>
      <c r="AF12" s="366">
        <v>0</v>
      </c>
      <c r="AG12" s="366">
        <v>0</v>
      </c>
      <c r="AH12" s="366">
        <v>0</v>
      </c>
      <c r="AI12" s="366">
        <v>0</v>
      </c>
      <c r="AJ12" s="366">
        <v>0</v>
      </c>
      <c r="AK12" s="366">
        <v>0</v>
      </c>
      <c r="AL12" s="366">
        <v>0</v>
      </c>
      <c r="AM12" s="366">
        <v>0</v>
      </c>
      <c r="AN12" s="366">
        <v>0</v>
      </c>
      <c r="AO12" s="366">
        <v>0</v>
      </c>
      <c r="AP12" s="365"/>
      <c r="AQ12" s="439">
        <f>SUM(H12:Q12)</f>
        <v>0</v>
      </c>
      <c r="AR12" s="439">
        <f>ROUND(AU12+BV12,ARRONDI_PU)</f>
        <v>0</v>
      </c>
      <c r="AS12" s="440">
        <f>+AR12*AQ12</f>
        <v>0</v>
      </c>
      <c r="AT12" s="255"/>
      <c r="AU12" s="130">
        <f>+AX12+BB12+BE12+BH12+BK12+BN12+BQ12+BT12</f>
        <v>0</v>
      </c>
      <c r="AV12" s="285">
        <f>+COEF_MO_INSTALL</f>
        <v>1.3</v>
      </c>
      <c r="AW12" s="286">
        <v>0</v>
      </c>
      <c r="AX12" s="130">
        <f>+AW12*TH_INSTALL</f>
        <v>0</v>
      </c>
      <c r="AY12" s="130">
        <f>+AW12*AE12</f>
        <v>0</v>
      </c>
      <c r="AZ12" s="130">
        <f>IF(AQ12&gt;0,(AX12*AE12),0)</f>
        <v>0</v>
      </c>
      <c r="BA12" s="285">
        <f>+COEF_FOUR1_INSTALL</f>
        <v>1.3</v>
      </c>
      <c r="BB12" s="286">
        <v>0</v>
      </c>
      <c r="BC12" s="130">
        <f>IF(AQ12&gt;0,(BB12*AE12),0)</f>
        <v>0</v>
      </c>
      <c r="BD12" s="285">
        <f>+COEF_FOUR2_INSTALL</f>
        <v>1.3</v>
      </c>
      <c r="BE12" s="286">
        <v>0</v>
      </c>
      <c r="BF12" s="130">
        <f>IF(AQ12&gt;0,(BE12*AE12),0)</f>
        <v>0</v>
      </c>
      <c r="BG12" s="285">
        <f>+COEF_FOUR3_INSTALL</f>
        <v>1.3</v>
      </c>
      <c r="BH12" s="286">
        <v>0</v>
      </c>
      <c r="BI12" s="130">
        <f>IF(AQ12&gt;0,(BH12*AE12),0)</f>
        <v>0</v>
      </c>
      <c r="BJ12" s="287">
        <f>+COEF_MTLLOC_INSTALL</f>
        <v>1.1499999999999999</v>
      </c>
      <c r="BK12" s="286">
        <v>0</v>
      </c>
      <c r="BL12" s="130">
        <f>IF(AQ12&gt;0,(BK12*AE12),0)</f>
        <v>0</v>
      </c>
      <c r="BM12" s="287">
        <f>+COEF_MTLAMR_INSTALL</f>
        <v>1.3</v>
      </c>
      <c r="BN12" s="286">
        <v>0</v>
      </c>
      <c r="BO12" s="130">
        <f>IF(AQ12&gt;0,(BN12*AE12),0)</f>
        <v>0</v>
      </c>
      <c r="BP12" s="287">
        <f>+COEF_ST1_INSTALL</f>
        <v>1.1100000000000001</v>
      </c>
      <c r="BQ12" s="286">
        <v>0</v>
      </c>
      <c r="BR12" s="130">
        <f>IF(AQ12&gt;0,(BQ12*AE12),0)</f>
        <v>0</v>
      </c>
      <c r="BS12" s="287">
        <f>+COEF_ST2_INSTALL</f>
        <v>1.1100000000000001</v>
      </c>
      <c r="BT12" s="286">
        <v>0</v>
      </c>
      <c r="BU12" s="130">
        <f>IF(AQ12&gt;0,(BT12*AE12),0)</f>
        <v>0</v>
      </c>
      <c r="BV12" s="130">
        <f>+(((AX12)*AV12)+(BB12*BA12)+(BE12*BD12)+(BH12*BG12)+(BK12*BJ12)+(BN12*BM12)+(BQ12*BP12)+(BT12*BS12)+(BT12*BS12))-(AU12)</f>
        <v>0</v>
      </c>
      <c r="BW12" s="130">
        <f>+BV12*AE12</f>
        <v>0</v>
      </c>
      <c r="BX12" s="130">
        <f>AS12-(BW12+BU12+BR12+BO12+BL12+BI12+BF12+BC12+AZ12)</f>
        <v>0</v>
      </c>
      <c r="BY12" s="329"/>
    </row>
    <row r="13" spans="1:155" s="367" customFormat="1">
      <c r="A13" s="392"/>
      <c r="B13" s="261"/>
      <c r="C13" s="237"/>
      <c r="D13" s="397"/>
      <c r="E13" s="401"/>
      <c r="F13" s="127" t="s">
        <v>302</v>
      </c>
      <c r="G13" s="17" t="s">
        <v>105</v>
      </c>
      <c r="H13" s="365">
        <f t="shared" si="0"/>
        <v>0</v>
      </c>
      <c r="I13" s="365">
        <f t="shared" si="0"/>
        <v>0</v>
      </c>
      <c r="J13" s="365">
        <f t="shared" si="0"/>
        <v>0</v>
      </c>
      <c r="K13" s="365">
        <f t="shared" si="0"/>
        <v>0</v>
      </c>
      <c r="L13" s="365">
        <f t="shared" si="0"/>
        <v>0</v>
      </c>
      <c r="M13" s="365">
        <f t="shared" si="0"/>
        <v>0</v>
      </c>
      <c r="N13" s="365">
        <f t="shared" si="0"/>
        <v>1</v>
      </c>
      <c r="O13" s="365">
        <f t="shared" si="0"/>
        <v>0</v>
      </c>
      <c r="P13" s="365">
        <f t="shared" si="1"/>
        <v>0</v>
      </c>
      <c r="Q13" s="365">
        <f t="shared" si="1"/>
        <v>0</v>
      </c>
      <c r="R13" s="365"/>
      <c r="S13" s="418">
        <f>SUM(T13:AC13)</f>
        <v>1</v>
      </c>
      <c r="T13" s="365">
        <f t="shared" si="2"/>
        <v>0</v>
      </c>
      <c r="U13" s="365">
        <f t="shared" si="2"/>
        <v>0</v>
      </c>
      <c r="V13" s="365">
        <f t="shared" si="2"/>
        <v>0</v>
      </c>
      <c r="W13" s="365">
        <f t="shared" si="2"/>
        <v>0</v>
      </c>
      <c r="X13" s="365">
        <f t="shared" si="2"/>
        <v>0</v>
      </c>
      <c r="Y13" s="365">
        <f t="shared" si="2"/>
        <v>0</v>
      </c>
      <c r="Z13" s="365">
        <f t="shared" si="2"/>
        <v>1</v>
      </c>
      <c r="AA13" s="365">
        <f t="shared" si="2"/>
        <v>0</v>
      </c>
      <c r="AB13" s="365">
        <f t="shared" si="2"/>
        <v>0</v>
      </c>
      <c r="AC13" s="365">
        <f t="shared" si="2"/>
        <v>0</v>
      </c>
      <c r="AD13" s="365"/>
      <c r="AE13" s="112">
        <f>ROUND(SUM(AF13:AO13),ARRONDI_QT)</f>
        <v>1</v>
      </c>
      <c r="AF13" s="366">
        <v>0</v>
      </c>
      <c r="AG13" s="366">
        <v>0</v>
      </c>
      <c r="AH13" s="366">
        <v>0</v>
      </c>
      <c r="AI13" s="366">
        <v>0</v>
      </c>
      <c r="AJ13" s="366">
        <v>0</v>
      </c>
      <c r="AK13" s="366">
        <v>0</v>
      </c>
      <c r="AL13" s="366">
        <v>1</v>
      </c>
      <c r="AM13" s="366">
        <v>0</v>
      </c>
      <c r="AN13" s="366">
        <v>0</v>
      </c>
      <c r="AO13" s="366">
        <v>0</v>
      </c>
      <c r="AP13" s="365"/>
      <c r="AQ13" s="439">
        <f>SUM(H13:Q13)</f>
        <v>1</v>
      </c>
      <c r="AR13" s="439">
        <f>ROUND(AU13+BV13,ARRONDI_PU)</f>
        <v>2775</v>
      </c>
      <c r="AS13" s="440">
        <f>+AR13*AQ13</f>
        <v>2775</v>
      </c>
      <c r="AT13" s="255"/>
      <c r="AU13" s="130">
        <f>+AX13+BB13+BE13+BH13+BK13+BN13+BQ13+BT13</f>
        <v>2500</v>
      </c>
      <c r="AV13" s="285">
        <f>+COEF_MO_INSTALL</f>
        <v>1.3</v>
      </c>
      <c r="AW13" s="286">
        <v>0</v>
      </c>
      <c r="AX13" s="130">
        <f>+AW13*TH_INSTALL</f>
        <v>0</v>
      </c>
      <c r="AY13" s="130">
        <f>+AW13*AE13</f>
        <v>0</v>
      </c>
      <c r="AZ13" s="130">
        <f>IF(AQ13&gt;0,(AX13*AE13),0)</f>
        <v>0</v>
      </c>
      <c r="BA13" s="285">
        <f>+COEF_FOUR1_INSTALL</f>
        <v>1.3</v>
      </c>
      <c r="BB13" s="286">
        <v>0</v>
      </c>
      <c r="BC13" s="130">
        <f>IF(AQ13&gt;0,(BB13*AE13),0)</f>
        <v>0</v>
      </c>
      <c r="BD13" s="285">
        <f>+COEF_FOUR2_INSTALL</f>
        <v>1.3</v>
      </c>
      <c r="BE13" s="286">
        <v>0</v>
      </c>
      <c r="BF13" s="130">
        <f>IF(AQ13&gt;0,(BE13*AE13),0)</f>
        <v>0</v>
      </c>
      <c r="BG13" s="285">
        <f>+COEF_FOUR3_INSTALL</f>
        <v>1.3</v>
      </c>
      <c r="BH13" s="286">
        <v>0</v>
      </c>
      <c r="BI13" s="130">
        <f>IF(AQ13&gt;0,(BH13*AE13),0)</f>
        <v>0</v>
      </c>
      <c r="BJ13" s="287">
        <f>+COEF_MTLLOC_INSTALL</f>
        <v>1.1499999999999999</v>
      </c>
      <c r="BK13" s="286">
        <v>0</v>
      </c>
      <c r="BL13" s="130">
        <f>IF(AQ13&gt;0,(BK13*AE13),0)</f>
        <v>0</v>
      </c>
      <c r="BM13" s="287">
        <f>+COEF_MTLAMR_INSTALL</f>
        <v>1.3</v>
      </c>
      <c r="BN13" s="286">
        <v>0</v>
      </c>
      <c r="BO13" s="130">
        <f>IF(AQ13&gt;0,(BN13*AE13),0)</f>
        <v>0</v>
      </c>
      <c r="BP13" s="287">
        <f>+COEF_ST1_INSTALL</f>
        <v>1.1100000000000001</v>
      </c>
      <c r="BQ13" s="286">
        <v>2500</v>
      </c>
      <c r="BR13" s="130">
        <f>IF(AQ13&gt;0,(BQ13*AE13),0)</f>
        <v>2500</v>
      </c>
      <c r="BS13" s="287">
        <f>+COEF_ST2_INSTALL</f>
        <v>1.1100000000000001</v>
      </c>
      <c r="BT13" s="286">
        <v>0</v>
      </c>
      <c r="BU13" s="130">
        <f>IF(AQ13&gt;0,(BT13*AE13),0)</f>
        <v>0</v>
      </c>
      <c r="BV13" s="130">
        <f>+(((AX13)*AV13)+(BB13*BA13)+(BE13*BD13)+(BH13*BG13)+(BK13*BJ13)+(BN13*BM13)+(BQ13*BP13)+(BT13*BS13)+(BT13*BS13))-(AU13)</f>
        <v>275.00000000000045</v>
      </c>
      <c r="BW13" s="130">
        <f>+BV13*AE13</f>
        <v>275.00000000000045</v>
      </c>
      <c r="BX13" s="130">
        <f>AS13-(BW13+BU13+BR13+BO13+BL13+BI13+BF13+BC13+AZ13)</f>
        <v>0</v>
      </c>
      <c r="BY13" s="329"/>
    </row>
    <row r="14" spans="1:155" s="367" customFormat="1">
      <c r="A14" s="392"/>
      <c r="B14" s="261"/>
      <c r="C14" s="237"/>
      <c r="D14" s="397"/>
      <c r="E14" s="401"/>
      <c r="F14" s="127" t="s">
        <v>303</v>
      </c>
      <c r="G14" s="17" t="s">
        <v>105</v>
      </c>
      <c r="H14" s="365">
        <f t="shared" si="0"/>
        <v>0</v>
      </c>
      <c r="I14" s="365">
        <f t="shared" si="0"/>
        <v>0</v>
      </c>
      <c r="J14" s="365">
        <f t="shared" si="0"/>
        <v>0</v>
      </c>
      <c r="K14" s="365">
        <f t="shared" si="0"/>
        <v>0</v>
      </c>
      <c r="L14" s="365">
        <f t="shared" si="0"/>
        <v>0</v>
      </c>
      <c r="M14" s="365">
        <f t="shared" si="0"/>
        <v>0</v>
      </c>
      <c r="N14" s="365">
        <f t="shared" si="0"/>
        <v>1</v>
      </c>
      <c r="O14" s="365">
        <f t="shared" si="0"/>
        <v>0</v>
      </c>
      <c r="P14" s="365">
        <f t="shared" si="1"/>
        <v>0</v>
      </c>
      <c r="Q14" s="365">
        <f t="shared" si="1"/>
        <v>0</v>
      </c>
      <c r="R14" s="365"/>
      <c r="S14" s="418">
        <f>SUM(T14:AC14)</f>
        <v>1</v>
      </c>
      <c r="T14" s="365">
        <f t="shared" ref="T14:AC15" si="3">ROUND(AF14,ARRONDI_QT)</f>
        <v>0</v>
      </c>
      <c r="U14" s="365">
        <f t="shared" si="3"/>
        <v>0</v>
      </c>
      <c r="V14" s="365">
        <f t="shared" si="3"/>
        <v>0</v>
      </c>
      <c r="W14" s="365">
        <f t="shared" si="3"/>
        <v>0</v>
      </c>
      <c r="X14" s="365">
        <f t="shared" si="3"/>
        <v>0</v>
      </c>
      <c r="Y14" s="365">
        <f t="shared" si="3"/>
        <v>0</v>
      </c>
      <c r="Z14" s="365">
        <f t="shared" si="3"/>
        <v>1</v>
      </c>
      <c r="AA14" s="365">
        <f t="shared" si="3"/>
        <v>0</v>
      </c>
      <c r="AB14" s="365">
        <f t="shared" si="3"/>
        <v>0</v>
      </c>
      <c r="AC14" s="365">
        <f t="shared" si="3"/>
        <v>0</v>
      </c>
      <c r="AD14" s="365"/>
      <c r="AE14" s="112">
        <f>ROUND(SUM(AF14:AO14),ARRONDI_QT)</f>
        <v>1</v>
      </c>
      <c r="AF14" s="366">
        <v>0</v>
      </c>
      <c r="AG14" s="366">
        <v>0</v>
      </c>
      <c r="AH14" s="366">
        <v>0</v>
      </c>
      <c r="AI14" s="366">
        <v>0</v>
      </c>
      <c r="AJ14" s="366">
        <v>0</v>
      </c>
      <c r="AK14" s="366">
        <v>0</v>
      </c>
      <c r="AL14" s="366">
        <v>1</v>
      </c>
      <c r="AM14" s="366">
        <v>0</v>
      </c>
      <c r="AN14" s="366">
        <v>0</v>
      </c>
      <c r="AO14" s="366">
        <v>0</v>
      </c>
      <c r="AP14" s="365"/>
      <c r="AQ14" s="439">
        <f>SUM(H14:Q14)</f>
        <v>1</v>
      </c>
      <c r="AR14" s="439">
        <f>ROUND(AU14+BV14,ARRONDI_PU)</f>
        <v>999</v>
      </c>
      <c r="AS14" s="440">
        <f>+AR14*AQ14</f>
        <v>999</v>
      </c>
      <c r="AT14" s="255"/>
      <c r="AU14" s="130">
        <f>+AX14+BB14+BE14+BH14+BK14+BN14+BQ14+BT14</f>
        <v>900</v>
      </c>
      <c r="AV14" s="285">
        <f>+COEF_MO_INSTALL</f>
        <v>1.3</v>
      </c>
      <c r="AW14" s="286">
        <v>0</v>
      </c>
      <c r="AX14" s="130">
        <f>+AW14*TH_INSTALL</f>
        <v>0</v>
      </c>
      <c r="AY14" s="130">
        <f>+AW14*AE14</f>
        <v>0</v>
      </c>
      <c r="AZ14" s="130">
        <f>IF(AQ14&gt;0,(AX14*AE14),0)</f>
        <v>0</v>
      </c>
      <c r="BA14" s="285">
        <f>+COEF_FOUR1_INSTALL</f>
        <v>1.3</v>
      </c>
      <c r="BB14" s="286">
        <v>0</v>
      </c>
      <c r="BC14" s="130">
        <f>IF(AQ14&gt;0,(BB14*AE14),0)</f>
        <v>0</v>
      </c>
      <c r="BD14" s="285">
        <f>+COEF_FOUR2_INSTALL</f>
        <v>1.3</v>
      </c>
      <c r="BE14" s="286">
        <v>0</v>
      </c>
      <c r="BF14" s="130">
        <f>IF(AQ14&gt;0,(BE14*AE14),0)</f>
        <v>0</v>
      </c>
      <c r="BG14" s="285">
        <f>+COEF_FOUR3_INSTALL</f>
        <v>1.3</v>
      </c>
      <c r="BH14" s="286">
        <v>0</v>
      </c>
      <c r="BI14" s="130">
        <f>IF(AQ14&gt;0,(BH14*AE14),0)</f>
        <v>0</v>
      </c>
      <c r="BJ14" s="287">
        <f>+COEF_MTLLOC_INSTALL</f>
        <v>1.1499999999999999</v>
      </c>
      <c r="BK14" s="286">
        <v>0</v>
      </c>
      <c r="BL14" s="130">
        <f>IF(AQ14&gt;0,(BK14*AE14),0)</f>
        <v>0</v>
      </c>
      <c r="BM14" s="287">
        <f>+COEF_MTLAMR_INSTALL</f>
        <v>1.3</v>
      </c>
      <c r="BN14" s="286">
        <v>0</v>
      </c>
      <c r="BO14" s="130">
        <f>IF(AQ14&gt;0,(BN14*AE14),0)</f>
        <v>0</v>
      </c>
      <c r="BP14" s="287">
        <f>+COEF_ST1_INSTALL</f>
        <v>1.1100000000000001</v>
      </c>
      <c r="BQ14" s="286">
        <v>900</v>
      </c>
      <c r="BR14" s="130">
        <f>IF(AQ14&gt;0,(BQ14*AE14),0)</f>
        <v>900</v>
      </c>
      <c r="BS14" s="287">
        <f>+COEF_ST2_INSTALL</f>
        <v>1.1100000000000001</v>
      </c>
      <c r="BT14" s="286">
        <v>0</v>
      </c>
      <c r="BU14" s="130">
        <f>IF(AQ14&gt;0,(BT14*AE14),0)</f>
        <v>0</v>
      </c>
      <c r="BV14" s="130">
        <f>+(((AX14)*AV14)+(BB14*BA14)+(BE14*BD14)+(BH14*BG14)+(BK14*BJ14)+(BN14*BM14)+(BQ14*BP14)+(BT14*BS14)+(BT14*BS14))-(AU14)</f>
        <v>99.000000000000114</v>
      </c>
      <c r="BW14" s="130">
        <f>+BV14*AE14</f>
        <v>99.000000000000114</v>
      </c>
      <c r="BX14" s="130">
        <f>AS14-(BW14+BU14+BR14+BO14+BL14+BI14+BF14+BC14+AZ14)</f>
        <v>0</v>
      </c>
      <c r="BY14" s="329"/>
    </row>
    <row r="15" spans="1:155" s="392" customFormat="1">
      <c r="B15" s="261" t="s">
        <v>444</v>
      </c>
      <c r="C15" s="237" t="s">
        <v>448</v>
      </c>
      <c r="D15" s="397" t="s">
        <v>24</v>
      </c>
      <c r="E15" s="401"/>
      <c r="F15" s="127" t="str">
        <f>+D15</f>
        <v>Fouille en tranchée et trou pour fondations</v>
      </c>
      <c r="G15" s="17" t="s">
        <v>105</v>
      </c>
      <c r="H15" s="365">
        <f t="shared" si="0"/>
        <v>0</v>
      </c>
      <c r="I15" s="365">
        <f t="shared" si="0"/>
        <v>0</v>
      </c>
      <c r="J15" s="365">
        <f t="shared" si="0"/>
        <v>0</v>
      </c>
      <c r="K15" s="365">
        <f t="shared" si="0"/>
        <v>0</v>
      </c>
      <c r="L15" s="365">
        <f t="shared" si="0"/>
        <v>0</v>
      </c>
      <c r="M15" s="365">
        <f t="shared" si="0"/>
        <v>0</v>
      </c>
      <c r="N15" s="365">
        <f t="shared" si="0"/>
        <v>0</v>
      </c>
      <c r="O15" s="365">
        <f t="shared" si="0"/>
        <v>0</v>
      </c>
      <c r="P15" s="365">
        <f t="shared" si="0"/>
        <v>0</v>
      </c>
      <c r="Q15" s="365">
        <f t="shared" si="0"/>
        <v>0</v>
      </c>
      <c r="R15" s="365"/>
      <c r="S15" s="418">
        <f>SUM(T15:AC15)</f>
        <v>0</v>
      </c>
      <c r="T15" s="365">
        <f t="shared" si="3"/>
        <v>0</v>
      </c>
      <c r="U15" s="365">
        <f t="shared" si="3"/>
        <v>0</v>
      </c>
      <c r="V15" s="365">
        <f t="shared" si="3"/>
        <v>0</v>
      </c>
      <c r="W15" s="365">
        <f t="shared" si="3"/>
        <v>0</v>
      </c>
      <c r="X15" s="365">
        <f t="shared" si="3"/>
        <v>0</v>
      </c>
      <c r="Y15" s="365">
        <f t="shared" si="3"/>
        <v>0</v>
      </c>
      <c r="Z15" s="365">
        <f t="shared" si="3"/>
        <v>0</v>
      </c>
      <c r="AA15" s="365">
        <f t="shared" si="3"/>
        <v>0</v>
      </c>
      <c r="AB15" s="365">
        <f t="shared" si="3"/>
        <v>0</v>
      </c>
      <c r="AC15" s="365">
        <f t="shared" si="3"/>
        <v>0</v>
      </c>
      <c r="AD15" s="365"/>
      <c r="AE15" s="112">
        <f>ROUND(SUM(AF15:AO15),ARRONDI_QT)</f>
        <v>0</v>
      </c>
      <c r="AF15" s="366">
        <v>0</v>
      </c>
      <c r="AG15" s="366">
        <v>0</v>
      </c>
      <c r="AH15" s="366">
        <v>0</v>
      </c>
      <c r="AI15" s="366">
        <v>0</v>
      </c>
      <c r="AJ15" s="366">
        <v>0</v>
      </c>
      <c r="AK15" s="366">
        <v>0</v>
      </c>
      <c r="AL15" s="366">
        <v>0</v>
      </c>
      <c r="AM15" s="366">
        <v>0</v>
      </c>
      <c r="AN15" s="366">
        <v>0</v>
      </c>
      <c r="AO15" s="366">
        <v>0</v>
      </c>
      <c r="AP15" s="365"/>
      <c r="AQ15" s="439">
        <f>SUM(H15:Q15)</f>
        <v>0</v>
      </c>
      <c r="AR15" s="439">
        <f>ROUND(AU15+BV15,ARRONDI_PU)</f>
        <v>0</v>
      </c>
      <c r="AS15" s="440">
        <f>+AR15*AQ15</f>
        <v>0</v>
      </c>
      <c r="AT15" s="255"/>
      <c r="AU15" s="130">
        <f>+AX15+BB15+BE15+BH15+BK15+BN15+BQ15+BT15</f>
        <v>0</v>
      </c>
      <c r="AV15" s="285">
        <f>+COEF_MO_INSTALL</f>
        <v>1.3</v>
      </c>
      <c r="AW15" s="286">
        <v>0</v>
      </c>
      <c r="AX15" s="130">
        <f>+AW15*TH_INSTALL</f>
        <v>0</v>
      </c>
      <c r="AY15" s="130">
        <f>+AW15*AE15</f>
        <v>0</v>
      </c>
      <c r="AZ15" s="130">
        <f>IF(AQ15&gt;0,(AX15*AE15),0)</f>
        <v>0</v>
      </c>
      <c r="BA15" s="285">
        <f>+COEF_FOUR1_INSTALL</f>
        <v>1.3</v>
      </c>
      <c r="BB15" s="286">
        <v>0</v>
      </c>
      <c r="BC15" s="130">
        <f>IF(AQ15&gt;0,(BB15*AE15),0)</f>
        <v>0</v>
      </c>
      <c r="BD15" s="285">
        <f>+COEF_FOUR2_INSTALL</f>
        <v>1.3</v>
      </c>
      <c r="BE15" s="286">
        <v>0</v>
      </c>
      <c r="BF15" s="130">
        <f>IF(AQ15&gt;0,(BE15*AE15),0)</f>
        <v>0</v>
      </c>
      <c r="BG15" s="285">
        <f>+COEF_FOUR3_INSTALL</f>
        <v>1.3</v>
      </c>
      <c r="BH15" s="286">
        <v>0</v>
      </c>
      <c r="BI15" s="130">
        <f>IF(AQ15&gt;0,(BH15*AE15),0)</f>
        <v>0</v>
      </c>
      <c r="BJ15" s="287">
        <f>+COEF_MTLLOC_INSTALL</f>
        <v>1.1499999999999999</v>
      </c>
      <c r="BK15" s="286">
        <v>0</v>
      </c>
      <c r="BL15" s="130">
        <f>IF(AQ15&gt;0,(BK15*AE15),0)</f>
        <v>0</v>
      </c>
      <c r="BM15" s="287">
        <f>+COEF_MTLAMR_INSTALL</f>
        <v>1.3</v>
      </c>
      <c r="BN15" s="286">
        <v>0</v>
      </c>
      <c r="BO15" s="130">
        <f>IF(AQ15&gt;0,(BN15*AE15),0)</f>
        <v>0</v>
      </c>
      <c r="BP15" s="287">
        <f>+COEF_ST1_INSTALL</f>
        <v>1.1100000000000001</v>
      </c>
      <c r="BQ15" s="286">
        <v>0</v>
      </c>
      <c r="BR15" s="130">
        <f>IF(AQ15&gt;0,(BQ15*AE15),0)</f>
        <v>0</v>
      </c>
      <c r="BS15" s="287">
        <f>+COEF_ST2_INSTALL</f>
        <v>1.1100000000000001</v>
      </c>
      <c r="BT15" s="286">
        <v>0</v>
      </c>
      <c r="BU15" s="130">
        <f>IF(AQ15&gt;0,(BT15*AE15),0)</f>
        <v>0</v>
      </c>
      <c r="BV15" s="130">
        <f>+(((AX15)*AV15)+(BB15*BA15)+(BE15*BD15)+(BH15*BG15)+(BK15*BJ15)+(BN15*BM15)+(BQ15*BP15)+(BT15*BS15)+(BT15*BS15))-(AU15)</f>
        <v>0</v>
      </c>
      <c r="BW15" s="130">
        <f>+BV15*AE15</f>
        <v>0</v>
      </c>
      <c r="BX15" s="130">
        <f>AS15-(BW15+BU15+BR15+BO15+BL15+BI15+BF15+BC15+AZ15)</f>
        <v>0</v>
      </c>
      <c r="BY15" s="329"/>
    </row>
    <row r="16" spans="1:155" s="240" customFormat="1">
      <c r="A16" s="392"/>
      <c r="B16" s="261"/>
      <c r="C16" s="237"/>
      <c r="D16" s="397"/>
      <c r="E16" s="401" t="s">
        <v>139</v>
      </c>
      <c r="F16" s="127" t="s">
        <v>140</v>
      </c>
      <c r="G16" s="17"/>
      <c r="H16" s="365"/>
      <c r="I16" s="365"/>
      <c r="J16" s="365"/>
      <c r="K16" s="365"/>
      <c r="L16" s="365"/>
      <c r="M16" s="365"/>
      <c r="N16" s="365"/>
      <c r="O16" s="365"/>
      <c r="P16" s="365"/>
      <c r="Q16" s="365"/>
      <c r="R16" s="365"/>
      <c r="S16" s="418"/>
      <c r="T16" s="365"/>
      <c r="U16" s="365"/>
      <c r="V16" s="365"/>
      <c r="W16" s="365"/>
      <c r="X16" s="365"/>
      <c r="Y16" s="365"/>
      <c r="Z16" s="365"/>
      <c r="AA16" s="365"/>
      <c r="AB16" s="365"/>
      <c r="AC16" s="365"/>
      <c r="AD16" s="365"/>
      <c r="AE16" s="112"/>
      <c r="AF16" s="366"/>
      <c r="AG16" s="366"/>
      <c r="AH16" s="366"/>
      <c r="AI16" s="366"/>
      <c r="AJ16" s="366"/>
      <c r="AK16" s="366"/>
      <c r="AL16" s="366"/>
      <c r="AM16" s="366"/>
      <c r="AN16" s="366"/>
      <c r="AO16" s="366"/>
      <c r="AP16" s="365"/>
      <c r="AQ16" s="439"/>
      <c r="AR16" s="439"/>
      <c r="AS16" s="440"/>
      <c r="AT16" s="255"/>
      <c r="AU16" s="130"/>
      <c r="AV16" s="285"/>
      <c r="AW16" s="286"/>
      <c r="AX16" s="130"/>
      <c r="AY16" s="130"/>
      <c r="AZ16" s="130"/>
      <c r="BA16" s="285"/>
      <c r="BB16" s="286"/>
      <c r="BC16" s="130"/>
      <c r="BD16" s="285"/>
      <c r="BE16" s="286"/>
      <c r="BF16" s="130"/>
      <c r="BG16" s="285"/>
      <c r="BH16" s="286"/>
      <c r="BI16" s="130"/>
      <c r="BJ16" s="287"/>
      <c r="BK16" s="286"/>
      <c r="BL16" s="130"/>
      <c r="BM16" s="287"/>
      <c r="BN16" s="286"/>
      <c r="BO16" s="130"/>
      <c r="BP16" s="287"/>
      <c r="BQ16" s="286"/>
      <c r="BR16" s="130"/>
      <c r="BS16" s="287"/>
      <c r="BT16" s="286"/>
      <c r="BU16" s="130"/>
      <c r="BV16" s="130"/>
      <c r="BW16" s="130"/>
      <c r="BX16" s="130"/>
      <c r="BY16" s="329"/>
      <c r="BZ16" s="367"/>
      <c r="CA16" s="367"/>
      <c r="CB16" s="367"/>
      <c r="CC16" s="367"/>
      <c r="CD16" s="367"/>
      <c r="CE16" s="367"/>
      <c r="CF16" s="367"/>
      <c r="CG16" s="367"/>
      <c r="CH16" s="367"/>
      <c r="CI16" s="367"/>
      <c r="CJ16" s="367"/>
      <c r="CK16" s="367"/>
      <c r="CL16" s="367"/>
      <c r="CM16" s="367"/>
      <c r="CN16" s="367"/>
      <c r="CO16" s="367"/>
      <c r="CP16" s="367"/>
      <c r="CQ16" s="367"/>
      <c r="CR16" s="367"/>
      <c r="CS16" s="367"/>
      <c r="CT16" s="367"/>
      <c r="CU16" s="367"/>
    </row>
    <row r="17" spans="1:112" s="240" customFormat="1">
      <c r="A17" s="392"/>
      <c r="B17" s="261"/>
      <c r="C17" s="237"/>
      <c r="D17" s="397"/>
      <c r="E17" s="401" t="s">
        <v>139</v>
      </c>
      <c r="F17" s="127" t="s">
        <v>304</v>
      </c>
      <c r="G17" s="17" t="s">
        <v>105</v>
      </c>
      <c r="H17" s="365">
        <f t="shared" ref="H17:O17" si="4">+T17</f>
        <v>0</v>
      </c>
      <c r="I17" s="365">
        <f t="shared" si="4"/>
        <v>0</v>
      </c>
      <c r="J17" s="365">
        <f t="shared" si="4"/>
        <v>0</v>
      </c>
      <c r="K17" s="365">
        <f t="shared" si="4"/>
        <v>0</v>
      </c>
      <c r="L17" s="365">
        <f t="shared" si="4"/>
        <v>0</v>
      </c>
      <c r="M17" s="365">
        <f t="shared" si="4"/>
        <v>0</v>
      </c>
      <c r="N17" s="365">
        <f t="shared" si="4"/>
        <v>1</v>
      </c>
      <c r="O17" s="365">
        <f t="shared" si="4"/>
        <v>0</v>
      </c>
      <c r="P17" s="365">
        <f t="shared" ref="P17:Q17" si="5">+AB17</f>
        <v>0</v>
      </c>
      <c r="Q17" s="365">
        <f t="shared" si="5"/>
        <v>0</v>
      </c>
      <c r="R17" s="365"/>
      <c r="S17" s="418">
        <f>SUM(T17:AC17)</f>
        <v>1</v>
      </c>
      <c r="T17" s="365">
        <f t="shared" ref="T17:AC17" si="6">ROUND(AF17,ARRONDI_QT)</f>
        <v>0</v>
      </c>
      <c r="U17" s="365">
        <f t="shared" si="6"/>
        <v>0</v>
      </c>
      <c r="V17" s="365">
        <f t="shared" si="6"/>
        <v>0</v>
      </c>
      <c r="W17" s="365">
        <f t="shared" si="6"/>
        <v>0</v>
      </c>
      <c r="X17" s="365">
        <f t="shared" si="6"/>
        <v>0</v>
      </c>
      <c r="Y17" s="365">
        <f t="shared" si="6"/>
        <v>0</v>
      </c>
      <c r="Z17" s="365">
        <f t="shared" si="6"/>
        <v>1</v>
      </c>
      <c r="AA17" s="365">
        <f t="shared" si="6"/>
        <v>0</v>
      </c>
      <c r="AB17" s="365">
        <f t="shared" si="6"/>
        <v>0</v>
      </c>
      <c r="AC17" s="365">
        <f t="shared" si="6"/>
        <v>0</v>
      </c>
      <c r="AD17" s="365"/>
      <c r="AE17" s="112">
        <f>ROUND(SUM(AF17:AO17),ARRONDI_QT)</f>
        <v>1</v>
      </c>
      <c r="AF17" s="366">
        <v>0</v>
      </c>
      <c r="AG17" s="366">
        <v>0</v>
      </c>
      <c r="AH17" s="366">
        <v>0</v>
      </c>
      <c r="AI17" s="366">
        <v>0</v>
      </c>
      <c r="AJ17" s="366">
        <v>0</v>
      </c>
      <c r="AK17" s="366">
        <v>0</v>
      </c>
      <c r="AL17" s="366">
        <v>1</v>
      </c>
      <c r="AM17" s="366">
        <v>0</v>
      </c>
      <c r="AN17" s="366">
        <v>0</v>
      </c>
      <c r="AO17" s="366">
        <v>0</v>
      </c>
      <c r="AP17" s="365"/>
      <c r="AQ17" s="439">
        <f>SUM(H17:Q17)</f>
        <v>1</v>
      </c>
      <c r="AR17" s="439">
        <f>ROUND(AU17+BV17,ARRONDI_PU)</f>
        <v>2664</v>
      </c>
      <c r="AS17" s="440">
        <f>+AR17*AQ17</f>
        <v>2664</v>
      </c>
      <c r="AT17" s="255"/>
      <c r="AU17" s="130">
        <f>+AX17+BB17+BE17+BH17+BK17+BN17+BQ17+BT17</f>
        <v>2400</v>
      </c>
      <c r="AV17" s="285">
        <f>+COEF_MO_INSTALL</f>
        <v>1.3</v>
      </c>
      <c r="AW17" s="286">
        <v>0</v>
      </c>
      <c r="AX17" s="130">
        <f>+AW17*TH_INSTALL</f>
        <v>0</v>
      </c>
      <c r="AY17" s="130">
        <f>+AW17*AE17</f>
        <v>0</v>
      </c>
      <c r="AZ17" s="130">
        <f>IF(AQ17&gt;0,(AX17*AE17),0)</f>
        <v>0</v>
      </c>
      <c r="BA17" s="285">
        <f>+COEF_FOUR1_INSTALL</f>
        <v>1.3</v>
      </c>
      <c r="BB17" s="286">
        <v>0</v>
      </c>
      <c r="BC17" s="130">
        <f>IF(AQ17&gt;0,(BB17*AE17),0)</f>
        <v>0</v>
      </c>
      <c r="BD17" s="285">
        <f>+COEF_FOUR2_INSTALL</f>
        <v>1.3</v>
      </c>
      <c r="BE17" s="286">
        <v>0</v>
      </c>
      <c r="BF17" s="130">
        <f>IF(AQ17&gt;0,(BE17*AE17),0)</f>
        <v>0</v>
      </c>
      <c r="BG17" s="285">
        <f>+COEF_FOUR3_INSTALL</f>
        <v>1.3</v>
      </c>
      <c r="BH17" s="286">
        <v>0</v>
      </c>
      <c r="BI17" s="130">
        <f>IF(AQ17&gt;0,(BH17*AE17),0)</f>
        <v>0</v>
      </c>
      <c r="BJ17" s="287">
        <f>+COEF_MTLLOC_INSTALL</f>
        <v>1.1499999999999999</v>
      </c>
      <c r="BK17" s="286">
        <v>0</v>
      </c>
      <c r="BL17" s="130">
        <f>IF(AQ17&gt;0,(BK17*AE17),0)</f>
        <v>0</v>
      </c>
      <c r="BM17" s="287">
        <f>+COEF_MTLAMR_INSTALL</f>
        <v>1.3</v>
      </c>
      <c r="BN17" s="286">
        <v>0</v>
      </c>
      <c r="BO17" s="130">
        <f>IF(AQ17&gt;0,(BN17*AE17),0)</f>
        <v>0</v>
      </c>
      <c r="BP17" s="287">
        <f>+COEF_ST1_INSTALL</f>
        <v>1.1100000000000001</v>
      </c>
      <c r="BQ17" s="286">
        <v>2400</v>
      </c>
      <c r="BR17" s="130">
        <f>IF(AQ17&gt;0,(BQ17*AE17),0)</f>
        <v>2400</v>
      </c>
      <c r="BS17" s="287">
        <f>+COEF_ST2_INSTALL</f>
        <v>1.1100000000000001</v>
      </c>
      <c r="BT17" s="286">
        <v>0</v>
      </c>
      <c r="BU17" s="130">
        <f>IF(AQ17&gt;0,(BT17*AE17),0)</f>
        <v>0</v>
      </c>
      <c r="BV17" s="130">
        <f>+(((AX17)*AV17)+(BB17*BA17)+(BE17*BD17)+(BH17*BG17)+(BK17*BJ17)+(BN17*BM17)+(BQ17*BP17)+(BT17*BS17)+(BT17*BS17))-(AU17)</f>
        <v>264.00000000000045</v>
      </c>
      <c r="BW17" s="130">
        <f>+BV17*AE17</f>
        <v>264.00000000000045</v>
      </c>
      <c r="BX17" s="130">
        <f>AS17-(BW17+BU17+BR17+BO17+BL17+BI17+BF17+BC17+AZ17)</f>
        <v>0</v>
      </c>
      <c r="BY17" s="329"/>
      <c r="BZ17" s="367"/>
      <c r="CA17" s="367"/>
      <c r="CB17" s="367"/>
      <c r="CC17" s="367"/>
      <c r="CD17" s="367"/>
      <c r="CE17" s="367"/>
      <c r="CF17" s="367"/>
      <c r="CG17" s="367"/>
      <c r="CH17" s="367"/>
      <c r="CI17" s="367"/>
      <c r="CJ17" s="367"/>
      <c r="CK17" s="367"/>
      <c r="CL17" s="367"/>
      <c r="CM17" s="367"/>
      <c r="CN17" s="367"/>
      <c r="CO17" s="367"/>
      <c r="CP17" s="367"/>
      <c r="CQ17" s="367"/>
      <c r="CR17" s="367"/>
      <c r="CS17" s="367"/>
      <c r="CT17" s="367"/>
      <c r="CU17" s="367"/>
    </row>
    <row r="18" spans="1:112" s="327" customFormat="1">
      <c r="A18" s="392"/>
      <c r="B18" s="261"/>
      <c r="C18" s="237"/>
      <c r="D18" s="397"/>
      <c r="E18" s="401"/>
      <c r="F18" s="127"/>
      <c r="G18" s="17"/>
      <c r="H18" s="365"/>
      <c r="I18" s="365"/>
      <c r="J18" s="365"/>
      <c r="K18" s="365"/>
      <c r="L18" s="365"/>
      <c r="M18" s="365"/>
      <c r="N18" s="365"/>
      <c r="O18" s="365"/>
      <c r="P18" s="365"/>
      <c r="Q18" s="365"/>
      <c r="R18" s="365"/>
      <c r="S18" s="418"/>
      <c r="T18" s="365"/>
      <c r="U18" s="365"/>
      <c r="V18" s="365"/>
      <c r="W18" s="365"/>
      <c r="X18" s="365"/>
      <c r="Y18" s="365"/>
      <c r="Z18" s="365"/>
      <c r="AA18" s="365"/>
      <c r="AB18" s="365"/>
      <c r="AC18" s="365"/>
      <c r="AD18" s="365"/>
      <c r="AE18" s="112"/>
      <c r="AF18" s="366"/>
      <c r="AG18" s="366"/>
      <c r="AH18" s="366"/>
      <c r="AI18" s="366"/>
      <c r="AJ18" s="366"/>
      <c r="AK18" s="366"/>
      <c r="AL18" s="366"/>
      <c r="AM18" s="366"/>
      <c r="AN18" s="366"/>
      <c r="AO18" s="366"/>
      <c r="AP18" s="365"/>
      <c r="AQ18" s="439"/>
      <c r="AR18" s="439"/>
      <c r="AS18" s="440"/>
      <c r="AT18" s="255"/>
      <c r="AU18" s="130"/>
      <c r="AV18" s="285"/>
      <c r="AW18" s="286"/>
      <c r="AX18" s="130"/>
      <c r="AY18" s="130"/>
      <c r="AZ18" s="130"/>
      <c r="BA18" s="285"/>
      <c r="BB18" s="286"/>
      <c r="BC18" s="130"/>
      <c r="BD18" s="285"/>
      <c r="BE18" s="286"/>
      <c r="BF18" s="130"/>
      <c r="BG18" s="285"/>
      <c r="BH18" s="286"/>
      <c r="BI18" s="130"/>
      <c r="BJ18" s="287"/>
      <c r="BK18" s="286"/>
      <c r="BL18" s="130"/>
      <c r="BM18" s="287"/>
      <c r="BN18" s="286"/>
      <c r="BO18" s="130"/>
      <c r="BP18" s="287"/>
      <c r="BQ18" s="286"/>
      <c r="BR18" s="130"/>
      <c r="BS18" s="287"/>
      <c r="BT18" s="286"/>
      <c r="BU18" s="130"/>
      <c r="BV18" s="130"/>
      <c r="BW18" s="130"/>
      <c r="BX18" s="130"/>
      <c r="BY18" s="329"/>
      <c r="BZ18" s="367"/>
      <c r="CA18" s="367"/>
      <c r="CB18" s="367"/>
      <c r="CC18" s="367"/>
      <c r="CD18" s="367"/>
      <c r="CE18" s="367"/>
      <c r="CF18" s="367"/>
      <c r="CG18" s="367"/>
      <c r="CH18" s="367"/>
      <c r="CI18" s="367"/>
      <c r="CJ18" s="367"/>
      <c r="CK18" s="367"/>
      <c r="CL18" s="367"/>
      <c r="CM18" s="367"/>
      <c r="CN18" s="367"/>
      <c r="CO18" s="367"/>
      <c r="CP18" s="367"/>
      <c r="CQ18" s="367"/>
      <c r="CR18" s="367"/>
      <c r="CS18" s="367"/>
      <c r="CT18" s="367"/>
      <c r="CU18" s="367"/>
    </row>
    <row r="19" spans="1:112" s="240" customFormat="1">
      <c r="A19" s="392"/>
      <c r="B19" s="261"/>
      <c r="C19" s="237"/>
      <c r="D19" s="397"/>
      <c r="E19" s="401" t="s">
        <v>141</v>
      </c>
      <c r="F19" s="127" t="s">
        <v>181</v>
      </c>
      <c r="G19" s="17"/>
      <c r="H19" s="365"/>
      <c r="I19" s="365"/>
      <c r="J19" s="365"/>
      <c r="K19" s="365"/>
      <c r="L19" s="365"/>
      <c r="M19" s="365"/>
      <c r="N19" s="365"/>
      <c r="O19" s="365"/>
      <c r="P19" s="365"/>
      <c r="Q19" s="365"/>
      <c r="R19" s="365"/>
      <c r="S19" s="418"/>
      <c r="T19" s="365"/>
      <c r="U19" s="365"/>
      <c r="V19" s="365"/>
      <c r="W19" s="365"/>
      <c r="X19" s="365"/>
      <c r="Y19" s="365"/>
      <c r="Z19" s="365"/>
      <c r="AA19" s="365"/>
      <c r="AB19" s="365"/>
      <c r="AC19" s="365"/>
      <c r="AD19" s="365"/>
      <c r="AE19" s="112"/>
      <c r="AF19" s="366"/>
      <c r="AG19" s="366"/>
      <c r="AH19" s="366"/>
      <c r="AI19" s="366"/>
      <c r="AJ19" s="366"/>
      <c r="AK19" s="366"/>
      <c r="AL19" s="366"/>
      <c r="AM19" s="366"/>
      <c r="AN19" s="366"/>
      <c r="AO19" s="366"/>
      <c r="AP19" s="365"/>
      <c r="AQ19" s="439"/>
      <c r="AR19" s="439"/>
      <c r="AS19" s="440"/>
      <c r="AT19" s="255"/>
      <c r="AU19" s="130"/>
      <c r="AV19" s="285"/>
      <c r="AW19" s="286"/>
      <c r="AX19" s="130"/>
      <c r="AY19" s="130"/>
      <c r="AZ19" s="130"/>
      <c r="BA19" s="285"/>
      <c r="BB19" s="286"/>
      <c r="BC19" s="130"/>
      <c r="BD19" s="285"/>
      <c r="BE19" s="286"/>
      <c r="BF19" s="130"/>
      <c r="BG19" s="285"/>
      <c r="BH19" s="286"/>
      <c r="BI19" s="130"/>
      <c r="BJ19" s="287"/>
      <c r="BK19" s="286"/>
      <c r="BL19" s="130"/>
      <c r="BM19" s="287"/>
      <c r="BN19" s="286"/>
      <c r="BO19" s="130"/>
      <c r="BP19" s="287"/>
      <c r="BQ19" s="286"/>
      <c r="BR19" s="130"/>
      <c r="BS19" s="287"/>
      <c r="BT19" s="286"/>
      <c r="BU19" s="130"/>
      <c r="BV19" s="130"/>
      <c r="BW19" s="130"/>
      <c r="BX19" s="130"/>
      <c r="BY19" s="329"/>
      <c r="BZ19" s="367"/>
      <c r="CA19" s="367"/>
      <c r="CB19" s="367"/>
      <c r="CC19" s="367"/>
      <c r="CD19" s="367"/>
      <c r="CE19" s="367"/>
      <c r="CF19" s="367"/>
      <c r="CG19" s="367"/>
      <c r="CH19" s="367"/>
      <c r="CI19" s="367"/>
      <c r="CJ19" s="367"/>
      <c r="CK19" s="367"/>
      <c r="CL19" s="367"/>
      <c r="CM19" s="367"/>
      <c r="CN19" s="367"/>
      <c r="CO19" s="367"/>
      <c r="CP19" s="367"/>
      <c r="CQ19" s="367"/>
      <c r="CR19" s="367"/>
      <c r="CS19" s="367"/>
      <c r="CT19" s="367"/>
      <c r="CU19" s="367"/>
    </row>
    <row r="20" spans="1:112" s="240" customFormat="1">
      <c r="A20" s="392"/>
      <c r="B20" s="261"/>
      <c r="C20" s="237"/>
      <c r="D20" s="397"/>
      <c r="E20" s="401" t="s">
        <v>142</v>
      </c>
      <c r="F20" s="127" t="s">
        <v>350</v>
      </c>
      <c r="G20" s="17" t="s">
        <v>105</v>
      </c>
      <c r="H20" s="365">
        <f t="shared" ref="H20:O20" si="7">+T20</f>
        <v>0</v>
      </c>
      <c r="I20" s="365">
        <f t="shared" si="7"/>
        <v>0</v>
      </c>
      <c r="J20" s="365">
        <f t="shared" si="7"/>
        <v>0</v>
      </c>
      <c r="K20" s="365">
        <f t="shared" si="7"/>
        <v>0</v>
      </c>
      <c r="L20" s="365">
        <f t="shared" si="7"/>
        <v>0</v>
      </c>
      <c r="M20" s="365">
        <f t="shared" si="7"/>
        <v>0</v>
      </c>
      <c r="N20" s="365">
        <f t="shared" si="7"/>
        <v>1</v>
      </c>
      <c r="O20" s="365">
        <f t="shared" si="7"/>
        <v>0</v>
      </c>
      <c r="P20" s="365">
        <f t="shared" ref="P20:Q20" si="8">+AB20</f>
        <v>0</v>
      </c>
      <c r="Q20" s="365">
        <f t="shared" si="8"/>
        <v>0</v>
      </c>
      <c r="R20" s="365"/>
      <c r="S20" s="418">
        <f>SUM(T20:AC20)</f>
        <v>1</v>
      </c>
      <c r="T20" s="365">
        <f t="shared" ref="T20:AC20" si="9">ROUND(AF20,ARRONDI_QT)</f>
        <v>0</v>
      </c>
      <c r="U20" s="365">
        <f t="shared" si="9"/>
        <v>0</v>
      </c>
      <c r="V20" s="365">
        <f t="shared" si="9"/>
        <v>0</v>
      </c>
      <c r="W20" s="365">
        <f t="shared" si="9"/>
        <v>0</v>
      </c>
      <c r="X20" s="365">
        <f t="shared" si="9"/>
        <v>0</v>
      </c>
      <c r="Y20" s="365">
        <f t="shared" si="9"/>
        <v>0</v>
      </c>
      <c r="Z20" s="365">
        <f t="shared" si="9"/>
        <v>1</v>
      </c>
      <c r="AA20" s="365">
        <f t="shared" si="9"/>
        <v>0</v>
      </c>
      <c r="AB20" s="365">
        <f t="shared" si="9"/>
        <v>0</v>
      </c>
      <c r="AC20" s="365">
        <f t="shared" si="9"/>
        <v>0</v>
      </c>
      <c r="AD20" s="365"/>
      <c r="AE20" s="112">
        <f>ROUND(SUM(AF20:AO20),ARRONDI_QT)</f>
        <v>1</v>
      </c>
      <c r="AF20" s="366">
        <v>0</v>
      </c>
      <c r="AG20" s="366">
        <v>0</v>
      </c>
      <c r="AH20" s="366">
        <v>0</v>
      </c>
      <c r="AI20" s="366">
        <v>0</v>
      </c>
      <c r="AJ20" s="366">
        <v>0</v>
      </c>
      <c r="AK20" s="366">
        <v>0</v>
      </c>
      <c r="AL20" s="366">
        <v>1</v>
      </c>
      <c r="AM20" s="366">
        <v>0</v>
      </c>
      <c r="AN20" s="366">
        <v>0</v>
      </c>
      <c r="AO20" s="366">
        <v>0</v>
      </c>
      <c r="AP20" s="365"/>
      <c r="AQ20" s="439">
        <f>SUM(H20:Q20)</f>
        <v>1</v>
      </c>
      <c r="AR20" s="439">
        <f>ROUND(AU20+BV20,ARRONDI_PU)</f>
        <v>1665</v>
      </c>
      <c r="AS20" s="440">
        <f>+AR20*AQ20</f>
        <v>1665</v>
      </c>
      <c r="AT20" s="255"/>
      <c r="AU20" s="130">
        <f>+AX20+BB20+BE20+BH20+BK20+BN20+BQ20+BT20</f>
        <v>1500</v>
      </c>
      <c r="AV20" s="285">
        <f>+COEF_MO_INSTALL</f>
        <v>1.3</v>
      </c>
      <c r="AW20" s="286">
        <v>0</v>
      </c>
      <c r="AX20" s="130">
        <f>+AW20*TH_INSTALL</f>
        <v>0</v>
      </c>
      <c r="AY20" s="130">
        <f>+AW20*AE20</f>
        <v>0</v>
      </c>
      <c r="AZ20" s="130">
        <f>IF(AQ20&gt;0,(AX20*AE20),0)</f>
        <v>0</v>
      </c>
      <c r="BA20" s="285">
        <f>+COEF_FOUR1_INSTALL</f>
        <v>1.3</v>
      </c>
      <c r="BB20" s="286">
        <v>0</v>
      </c>
      <c r="BC20" s="130">
        <f>IF(AQ20&gt;0,(BB20*AE20),0)</f>
        <v>0</v>
      </c>
      <c r="BD20" s="285">
        <f>+COEF_FOUR2_INSTALL</f>
        <v>1.3</v>
      </c>
      <c r="BE20" s="286">
        <v>0</v>
      </c>
      <c r="BF20" s="130">
        <f>IF(AQ20&gt;0,(BE20*AE20),0)</f>
        <v>0</v>
      </c>
      <c r="BG20" s="285">
        <f>+COEF_FOUR3_INSTALL</f>
        <v>1.3</v>
      </c>
      <c r="BH20" s="286">
        <v>0</v>
      </c>
      <c r="BI20" s="130">
        <f>IF(AQ20&gt;0,(BH20*AE20),0)</f>
        <v>0</v>
      </c>
      <c r="BJ20" s="287">
        <f>+COEF_MTLLOC_INSTALL</f>
        <v>1.1499999999999999</v>
      </c>
      <c r="BK20" s="286">
        <v>0</v>
      </c>
      <c r="BL20" s="130">
        <f>IF(AQ20&gt;0,(BK20*AE20),0)</f>
        <v>0</v>
      </c>
      <c r="BM20" s="287">
        <f>+COEF_MTLAMR_INSTALL</f>
        <v>1.3</v>
      </c>
      <c r="BN20" s="286">
        <v>0</v>
      </c>
      <c r="BO20" s="130">
        <f>IF(AQ20&gt;0,(BN20*AE20),0)</f>
        <v>0</v>
      </c>
      <c r="BP20" s="287">
        <f>+COEF_ST1_INSTALL</f>
        <v>1.1100000000000001</v>
      </c>
      <c r="BQ20" s="286">
        <v>1500</v>
      </c>
      <c r="BR20" s="130">
        <f>IF(AQ20&gt;0,(BQ20*AE20),0)</f>
        <v>1500</v>
      </c>
      <c r="BS20" s="287">
        <f>+COEF_ST2_INSTALL</f>
        <v>1.1100000000000001</v>
      </c>
      <c r="BT20" s="286">
        <v>0</v>
      </c>
      <c r="BU20" s="130">
        <f>IF(AQ20&gt;0,(BT20*AE20),0)</f>
        <v>0</v>
      </c>
      <c r="BV20" s="130">
        <f>+(((AX20)*AV20)+(BB20*BA20)+(BE20*BD20)+(BH20*BG20)+(BK20*BJ20)+(BN20*BM20)+(BQ20*BP20)+(BT20*BS20)+(BT20*BS20))-(AU20)</f>
        <v>165.00000000000023</v>
      </c>
      <c r="BW20" s="130">
        <f>+BV20*AE20</f>
        <v>165.00000000000023</v>
      </c>
      <c r="BX20" s="130">
        <f>AS20-(BW20+BU20+BR20+BO20+BL20+BI20+BF20+BC20+AZ20)</f>
        <v>0</v>
      </c>
      <c r="BY20" s="329"/>
      <c r="BZ20" s="367"/>
      <c r="CA20" s="367"/>
      <c r="CB20" s="367"/>
      <c r="CC20" s="367"/>
      <c r="CD20" s="367"/>
      <c r="CE20" s="367"/>
      <c r="CF20" s="367"/>
      <c r="CG20" s="367"/>
      <c r="CH20" s="367"/>
      <c r="CI20" s="367"/>
      <c r="CJ20" s="367"/>
      <c r="CK20" s="367"/>
      <c r="CL20" s="367"/>
      <c r="CM20" s="367"/>
      <c r="CN20" s="367"/>
      <c r="CO20" s="367"/>
      <c r="CP20" s="367"/>
      <c r="CQ20" s="367"/>
      <c r="CR20" s="367"/>
      <c r="CS20" s="367"/>
      <c r="CT20" s="367"/>
      <c r="CU20" s="367"/>
    </row>
    <row r="21" spans="1:112" s="240" customFormat="1">
      <c r="A21" s="392"/>
      <c r="B21" s="261"/>
      <c r="C21" s="237"/>
      <c r="D21" s="397"/>
      <c r="E21" s="401" t="s">
        <v>143</v>
      </c>
      <c r="F21" s="127" t="s">
        <v>349</v>
      </c>
      <c r="G21" s="17" t="s">
        <v>144</v>
      </c>
      <c r="H21" s="365"/>
      <c r="I21" s="365"/>
      <c r="J21" s="365"/>
      <c r="K21" s="365"/>
      <c r="L21" s="365"/>
      <c r="M21" s="365"/>
      <c r="N21" s="365"/>
      <c r="O21" s="365"/>
      <c r="P21" s="365"/>
      <c r="Q21" s="365"/>
      <c r="R21" s="365"/>
      <c r="S21" s="418"/>
      <c r="T21" s="365"/>
      <c r="U21" s="365"/>
      <c r="V21" s="365"/>
      <c r="W21" s="365"/>
      <c r="X21" s="365"/>
      <c r="Y21" s="365"/>
      <c r="Z21" s="365"/>
      <c r="AA21" s="365"/>
      <c r="AB21" s="365"/>
      <c r="AC21" s="365"/>
      <c r="AD21" s="365"/>
      <c r="AE21" s="112"/>
      <c r="AF21" s="366"/>
      <c r="AG21" s="366"/>
      <c r="AH21" s="366"/>
      <c r="AI21" s="366"/>
      <c r="AJ21" s="366"/>
      <c r="AK21" s="366"/>
      <c r="AL21" s="366"/>
      <c r="AM21" s="366"/>
      <c r="AN21" s="366"/>
      <c r="AO21" s="366"/>
      <c r="AP21" s="365"/>
      <c r="AQ21" s="116" t="s">
        <v>401</v>
      </c>
      <c r="AR21" s="441" t="str">
        <f>+AQ21</f>
        <v>Compris</v>
      </c>
      <c r="AS21" s="442" t="str">
        <f>+AR21</f>
        <v>Compris</v>
      </c>
      <c r="AT21" s="255"/>
      <c r="AU21" s="130"/>
      <c r="AV21" s="285"/>
      <c r="AW21" s="286"/>
      <c r="AX21" s="130"/>
      <c r="AY21" s="130"/>
      <c r="AZ21" s="130"/>
      <c r="BA21" s="285"/>
      <c r="BB21" s="286"/>
      <c r="BC21" s="130"/>
      <c r="BD21" s="285"/>
      <c r="BE21" s="286"/>
      <c r="BF21" s="130"/>
      <c r="BG21" s="285"/>
      <c r="BH21" s="286"/>
      <c r="BI21" s="130"/>
      <c r="BJ21" s="287"/>
      <c r="BK21" s="286"/>
      <c r="BL21" s="130"/>
      <c r="BM21" s="287"/>
      <c r="BN21" s="286"/>
      <c r="BO21" s="130"/>
      <c r="BP21" s="287"/>
      <c r="BQ21" s="286"/>
      <c r="BR21" s="130"/>
      <c r="BS21" s="287"/>
      <c r="BT21" s="286"/>
      <c r="BU21" s="130"/>
      <c r="BV21" s="130"/>
      <c r="BW21" s="130"/>
      <c r="BX21" s="130"/>
      <c r="BY21" s="329"/>
      <c r="BZ21" s="367"/>
      <c r="CA21" s="367"/>
      <c r="CB21" s="367"/>
      <c r="CC21" s="367"/>
      <c r="CD21" s="367"/>
      <c r="CE21" s="367"/>
      <c r="CF21" s="367"/>
      <c r="CG21" s="367"/>
      <c r="CH21" s="367"/>
      <c r="CI21" s="367"/>
      <c r="CJ21" s="367"/>
      <c r="CK21" s="367"/>
      <c r="CL21" s="367"/>
      <c r="CM21" s="367"/>
      <c r="CN21" s="367"/>
      <c r="CO21" s="367"/>
      <c r="CP21" s="367"/>
      <c r="CQ21" s="367"/>
      <c r="CR21" s="367"/>
      <c r="CS21" s="367"/>
      <c r="CT21" s="367"/>
      <c r="CU21" s="367"/>
    </row>
    <row r="22" spans="1:112" s="240" customFormat="1">
      <c r="A22" s="392"/>
      <c r="B22" s="261"/>
      <c r="C22" s="237"/>
      <c r="D22" s="397"/>
      <c r="E22" s="401" t="s">
        <v>145</v>
      </c>
      <c r="F22" s="127" t="s">
        <v>348</v>
      </c>
      <c r="G22" s="17" t="s">
        <v>105</v>
      </c>
      <c r="H22" s="365">
        <f t="shared" ref="H22:O23" si="10">+T22</f>
        <v>0</v>
      </c>
      <c r="I22" s="365">
        <f t="shared" si="10"/>
        <v>0</v>
      </c>
      <c r="J22" s="365">
        <f t="shared" si="10"/>
        <v>0</v>
      </c>
      <c r="K22" s="365">
        <f t="shared" si="10"/>
        <v>0</v>
      </c>
      <c r="L22" s="365">
        <f t="shared" si="10"/>
        <v>0</v>
      </c>
      <c r="M22" s="365">
        <f t="shared" si="10"/>
        <v>0</v>
      </c>
      <c r="N22" s="365">
        <f t="shared" si="10"/>
        <v>1</v>
      </c>
      <c r="O22" s="365">
        <f t="shared" si="10"/>
        <v>0</v>
      </c>
      <c r="P22" s="365">
        <f t="shared" ref="P22:Q23" si="11">+AB22</f>
        <v>0</v>
      </c>
      <c r="Q22" s="365">
        <f t="shared" si="11"/>
        <v>0</v>
      </c>
      <c r="R22" s="365"/>
      <c r="S22" s="418">
        <f>SUM(T22:AC22)</f>
        <v>1</v>
      </c>
      <c r="T22" s="365">
        <f t="shared" ref="T22:AC23" si="12">ROUND(AF22,ARRONDI_QT)</f>
        <v>0</v>
      </c>
      <c r="U22" s="365">
        <f t="shared" si="12"/>
        <v>0</v>
      </c>
      <c r="V22" s="365">
        <f t="shared" si="12"/>
        <v>0</v>
      </c>
      <c r="W22" s="365">
        <f t="shared" si="12"/>
        <v>0</v>
      </c>
      <c r="X22" s="365">
        <f t="shared" si="12"/>
        <v>0</v>
      </c>
      <c r="Y22" s="365">
        <f t="shared" si="12"/>
        <v>0</v>
      </c>
      <c r="Z22" s="365">
        <f t="shared" si="12"/>
        <v>1</v>
      </c>
      <c r="AA22" s="365">
        <f t="shared" si="12"/>
        <v>0</v>
      </c>
      <c r="AB22" s="365">
        <f t="shared" si="12"/>
        <v>0</v>
      </c>
      <c r="AC22" s="365">
        <f t="shared" si="12"/>
        <v>0</v>
      </c>
      <c r="AD22" s="365"/>
      <c r="AE22" s="112">
        <f>ROUND(SUM(AF22:AO22),ARRONDI_QT)</f>
        <v>1</v>
      </c>
      <c r="AF22" s="366">
        <v>0</v>
      </c>
      <c r="AG22" s="366">
        <v>0</v>
      </c>
      <c r="AH22" s="366">
        <v>0</v>
      </c>
      <c r="AI22" s="366">
        <v>0</v>
      </c>
      <c r="AJ22" s="366">
        <v>0</v>
      </c>
      <c r="AK22" s="366">
        <v>0</v>
      </c>
      <c r="AL22" s="366">
        <v>1</v>
      </c>
      <c r="AM22" s="366">
        <v>0</v>
      </c>
      <c r="AN22" s="366">
        <v>0</v>
      </c>
      <c r="AO22" s="366">
        <v>0</v>
      </c>
      <c r="AP22" s="365"/>
      <c r="AQ22" s="439">
        <f>SUM(H22:Q22)</f>
        <v>1</v>
      </c>
      <c r="AR22" s="439">
        <f>ROUND(AU22+BV22,ARRONDI_PU)</f>
        <v>3330</v>
      </c>
      <c r="AS22" s="440">
        <f>+AR22*AQ22</f>
        <v>3330</v>
      </c>
      <c r="AT22" s="255"/>
      <c r="AU22" s="130">
        <f>+AX22+BB22+BE22+BH22+BK22+BN22+BQ22+BT22</f>
        <v>3000</v>
      </c>
      <c r="AV22" s="285">
        <f>+COEF_MO_INSTALL</f>
        <v>1.3</v>
      </c>
      <c r="AW22" s="286">
        <v>0</v>
      </c>
      <c r="AX22" s="130">
        <f>+AW22*TH_INSTALL</f>
        <v>0</v>
      </c>
      <c r="AY22" s="130">
        <f>+AW22*AE22</f>
        <v>0</v>
      </c>
      <c r="AZ22" s="130">
        <f>IF(AQ22&gt;0,(AX22*AE22),0)</f>
        <v>0</v>
      </c>
      <c r="BA22" s="285">
        <f>+COEF_FOUR1_INSTALL</f>
        <v>1.3</v>
      </c>
      <c r="BB22" s="286">
        <v>0</v>
      </c>
      <c r="BC22" s="130">
        <f>IF(AQ22&gt;0,(BB22*AE22),0)</f>
        <v>0</v>
      </c>
      <c r="BD22" s="285">
        <f>+COEF_FOUR2_INSTALL</f>
        <v>1.3</v>
      </c>
      <c r="BE22" s="286">
        <v>0</v>
      </c>
      <c r="BF22" s="130">
        <f>IF(AQ22&gt;0,(BE22*AE22),0)</f>
        <v>0</v>
      </c>
      <c r="BG22" s="285">
        <f>+COEF_FOUR3_INSTALL</f>
        <v>1.3</v>
      </c>
      <c r="BH22" s="286">
        <v>0</v>
      </c>
      <c r="BI22" s="130">
        <f>IF(AQ22&gt;0,(BH22*AE22),0)</f>
        <v>0</v>
      </c>
      <c r="BJ22" s="287">
        <f>+COEF_MTLLOC_INSTALL</f>
        <v>1.1499999999999999</v>
      </c>
      <c r="BK22" s="286">
        <v>0</v>
      </c>
      <c r="BL22" s="130">
        <f>IF(AQ22&gt;0,(BK22*AE22),0)</f>
        <v>0</v>
      </c>
      <c r="BM22" s="287">
        <f>+COEF_MTLAMR_INSTALL</f>
        <v>1.3</v>
      </c>
      <c r="BN22" s="286">
        <v>0</v>
      </c>
      <c r="BO22" s="130">
        <f>IF(AQ22&gt;0,(BN22*AE22),0)</f>
        <v>0</v>
      </c>
      <c r="BP22" s="287">
        <f>+COEF_ST1_INSTALL</f>
        <v>1.1100000000000001</v>
      </c>
      <c r="BQ22" s="286">
        <v>3000</v>
      </c>
      <c r="BR22" s="130">
        <f>IF(AQ22&gt;0,(BQ22*AE22),0)</f>
        <v>3000</v>
      </c>
      <c r="BS22" s="287">
        <f>+COEF_ST2_INSTALL</f>
        <v>1.1100000000000001</v>
      </c>
      <c r="BT22" s="286">
        <v>0</v>
      </c>
      <c r="BU22" s="130">
        <f>IF(AQ22&gt;0,(BT22*AE22),0)</f>
        <v>0</v>
      </c>
      <c r="BV22" s="130">
        <f>+(((AX22)*AV22)+(BB22*BA22)+(BE22*BD22)+(BH22*BG22)+(BK22*BJ22)+(BN22*BM22)+(BQ22*BP22)+(BT22*BS22)+(BT22*BS22))-(AU22)</f>
        <v>330.00000000000045</v>
      </c>
      <c r="BW22" s="130">
        <f>+BV22*AE22</f>
        <v>330.00000000000045</v>
      </c>
      <c r="BX22" s="130">
        <f>AS22-(BW22+BU22+BR22+BO22+BL22+BI22+BF22+BC22+AZ22)</f>
        <v>0</v>
      </c>
      <c r="BY22" s="329"/>
      <c r="BZ22" s="367"/>
      <c r="CA22" s="367"/>
      <c r="CB22" s="367"/>
      <c r="CC22" s="367"/>
      <c r="CD22" s="367"/>
      <c r="CE22" s="367"/>
      <c r="CF22" s="367"/>
      <c r="CG22" s="367"/>
      <c r="CH22" s="367"/>
      <c r="CI22" s="367"/>
      <c r="CJ22" s="367"/>
      <c r="CK22" s="367"/>
      <c r="CL22" s="367"/>
      <c r="CM22" s="367"/>
      <c r="CN22" s="367"/>
      <c r="CO22" s="367"/>
      <c r="CP22" s="367"/>
      <c r="CQ22" s="367"/>
      <c r="CR22" s="367"/>
      <c r="CS22" s="367"/>
      <c r="CT22" s="367"/>
      <c r="CU22" s="367"/>
      <c r="CV22" s="367"/>
      <c r="CW22" s="367"/>
      <c r="CX22" s="367"/>
      <c r="CY22" s="367"/>
      <c r="CZ22" s="367"/>
      <c r="DA22" s="367"/>
      <c r="DB22" s="367"/>
      <c r="DC22" s="367"/>
      <c r="DD22" s="367"/>
      <c r="DE22" s="367"/>
      <c r="DF22" s="367"/>
      <c r="DG22" s="367"/>
      <c r="DH22" s="367"/>
    </row>
    <row r="23" spans="1:112" s="240" customFormat="1">
      <c r="A23" s="392"/>
      <c r="B23" s="261"/>
      <c r="C23" s="237"/>
      <c r="D23" s="397"/>
      <c r="E23" s="401" t="s">
        <v>146</v>
      </c>
      <c r="F23" s="127" t="s">
        <v>176</v>
      </c>
      <c r="G23" s="17" t="s">
        <v>26</v>
      </c>
      <c r="H23" s="365">
        <f t="shared" si="10"/>
        <v>0</v>
      </c>
      <c r="I23" s="365">
        <f t="shared" si="10"/>
        <v>0</v>
      </c>
      <c r="J23" s="365">
        <f t="shared" si="10"/>
        <v>0</v>
      </c>
      <c r="K23" s="365">
        <f t="shared" si="10"/>
        <v>0</v>
      </c>
      <c r="L23" s="365">
        <f t="shared" si="10"/>
        <v>0</v>
      </c>
      <c r="M23" s="365">
        <f t="shared" si="10"/>
        <v>0</v>
      </c>
      <c r="N23" s="365">
        <f t="shared" si="10"/>
        <v>1</v>
      </c>
      <c r="O23" s="365">
        <f t="shared" si="10"/>
        <v>0</v>
      </c>
      <c r="P23" s="365">
        <f t="shared" si="11"/>
        <v>0</v>
      </c>
      <c r="Q23" s="365">
        <f t="shared" si="11"/>
        <v>0</v>
      </c>
      <c r="R23" s="365"/>
      <c r="S23" s="418">
        <f>SUM(T23:AC23)</f>
        <v>1</v>
      </c>
      <c r="T23" s="365">
        <f t="shared" si="12"/>
        <v>0</v>
      </c>
      <c r="U23" s="365">
        <f t="shared" si="12"/>
        <v>0</v>
      </c>
      <c r="V23" s="365">
        <f t="shared" si="12"/>
        <v>0</v>
      </c>
      <c r="W23" s="365">
        <f t="shared" si="12"/>
        <v>0</v>
      </c>
      <c r="X23" s="365">
        <f t="shared" si="12"/>
        <v>0</v>
      </c>
      <c r="Y23" s="365">
        <f t="shared" si="12"/>
        <v>0</v>
      </c>
      <c r="Z23" s="365">
        <f t="shared" si="12"/>
        <v>1</v>
      </c>
      <c r="AA23" s="365">
        <f t="shared" si="12"/>
        <v>0</v>
      </c>
      <c r="AB23" s="365">
        <f t="shared" si="12"/>
        <v>0</v>
      </c>
      <c r="AC23" s="365">
        <f t="shared" si="12"/>
        <v>0</v>
      </c>
      <c r="AD23" s="365"/>
      <c r="AE23" s="112">
        <f>ROUND(SUM(AF23:AO23),ARRONDI_QT)</f>
        <v>1</v>
      </c>
      <c r="AF23" s="366">
        <v>0</v>
      </c>
      <c r="AG23" s="366">
        <v>0</v>
      </c>
      <c r="AH23" s="366">
        <v>0</v>
      </c>
      <c r="AI23" s="366">
        <v>0</v>
      </c>
      <c r="AJ23" s="366">
        <v>0</v>
      </c>
      <c r="AK23" s="366">
        <v>0</v>
      </c>
      <c r="AL23" s="366">
        <v>1</v>
      </c>
      <c r="AM23" s="366">
        <v>0</v>
      </c>
      <c r="AN23" s="366">
        <v>0</v>
      </c>
      <c r="AO23" s="366">
        <v>0</v>
      </c>
      <c r="AP23" s="365"/>
      <c r="AQ23" s="439">
        <f>SUM(H23:Q23)</f>
        <v>1</v>
      </c>
      <c r="AR23" s="439">
        <f>ROUND(AU23+BV23,ARRONDI_PU)</f>
        <v>2910.864</v>
      </c>
      <c r="AS23" s="440">
        <f>+AR23*AQ23</f>
        <v>2910.864</v>
      </c>
      <c r="AT23" s="255"/>
      <c r="AU23" s="130">
        <f>+AX23+BB23+BE23+BH23+BK23+BN23+BQ23+BT23</f>
        <v>2622.4</v>
      </c>
      <c r="AV23" s="285">
        <f>+COEF_MO_INSTALL</f>
        <v>1.3</v>
      </c>
      <c r="AW23" s="286">
        <v>0</v>
      </c>
      <c r="AX23" s="130">
        <f>+AW23*TH_INSTALL</f>
        <v>0</v>
      </c>
      <c r="AY23" s="130">
        <f>+AW23*AE23</f>
        <v>0</v>
      </c>
      <c r="AZ23" s="130">
        <f>IF(AQ23&gt;0,(AX23*AE23),0)</f>
        <v>0</v>
      </c>
      <c r="BA23" s="285">
        <f>+COEF_FOUR1_INSTALL</f>
        <v>1.3</v>
      </c>
      <c r="BB23" s="286">
        <v>0</v>
      </c>
      <c r="BC23" s="130">
        <f>IF(AQ23&gt;0,(BB23*AE23),0)</f>
        <v>0</v>
      </c>
      <c r="BD23" s="285">
        <f>+COEF_FOUR2_INSTALL</f>
        <v>1.3</v>
      </c>
      <c r="BE23" s="286">
        <v>0</v>
      </c>
      <c r="BF23" s="130">
        <f>IF(AQ23&gt;0,(BE23*AE23),0)</f>
        <v>0</v>
      </c>
      <c r="BG23" s="285">
        <f>+COEF_FOUR3_INSTALL</f>
        <v>1.3</v>
      </c>
      <c r="BH23" s="286">
        <v>0</v>
      </c>
      <c r="BI23" s="130">
        <f>IF(AQ23&gt;0,(BH23*AE23),0)</f>
        <v>0</v>
      </c>
      <c r="BJ23" s="287">
        <f>+COEF_MTLLOC_INSTALL</f>
        <v>1.1499999999999999</v>
      </c>
      <c r="BK23" s="286">
        <v>0</v>
      </c>
      <c r="BL23" s="130">
        <f>IF(AQ23&gt;0,(BK23*AE23),0)</f>
        <v>0</v>
      </c>
      <c r="BM23" s="287">
        <f>+COEF_MTLAMR_INSTALL</f>
        <v>1.3</v>
      </c>
      <c r="BN23" s="286">
        <v>0</v>
      </c>
      <c r="BO23" s="130">
        <f>IF(AQ23&gt;0,(BN23*AE23),0)</f>
        <v>0</v>
      </c>
      <c r="BP23" s="287">
        <f>+COEF_ST1_INSTALL</f>
        <v>1.1100000000000001</v>
      </c>
      <c r="BQ23" s="286">
        <v>2622.4</v>
      </c>
      <c r="BR23" s="130">
        <f>IF(AQ23&gt;0,(BQ23*AE23),0)</f>
        <v>2622.4</v>
      </c>
      <c r="BS23" s="287">
        <f>+COEF_ST2_INSTALL</f>
        <v>1.1100000000000001</v>
      </c>
      <c r="BT23" s="286">
        <v>0</v>
      </c>
      <c r="BU23" s="130">
        <f>IF(AQ23&gt;0,(BT23*AE23),0)</f>
        <v>0</v>
      </c>
      <c r="BV23" s="130">
        <f>+(((AX23)*AV23)+(BB23*BA23)+(BE23*BD23)+(BH23*BG23)+(BK23*BJ23)+(BN23*BM23)+(BQ23*BP23)+(BT23*BS23)+(BT23*BS23))-(AU23)</f>
        <v>288.4640000000004</v>
      </c>
      <c r="BW23" s="130">
        <f>+BV23*AE23</f>
        <v>288.4640000000004</v>
      </c>
      <c r="BX23" s="130">
        <f>AS23-(BW23+BU23+BR23+BO23+BL23+BI23+BF23+BC23+AZ23)</f>
        <v>0</v>
      </c>
      <c r="BY23" s="329"/>
      <c r="BZ23" s="367"/>
      <c r="CA23" s="367"/>
      <c r="CB23" s="367"/>
      <c r="CC23" s="367"/>
      <c r="CD23" s="367"/>
      <c r="CE23" s="367"/>
      <c r="CF23" s="367"/>
      <c r="CG23" s="367"/>
      <c r="CH23" s="367"/>
      <c r="CI23" s="367"/>
      <c r="CJ23" s="367"/>
      <c r="CK23" s="367"/>
      <c r="CL23" s="367"/>
      <c r="CM23" s="367"/>
      <c r="CN23" s="367"/>
      <c r="CO23" s="367"/>
      <c r="CP23" s="367"/>
      <c r="CQ23" s="367"/>
      <c r="CR23" s="367"/>
      <c r="CS23" s="367"/>
      <c r="CT23" s="367"/>
      <c r="CU23" s="367"/>
    </row>
    <row r="24" spans="1:112" s="240" customFormat="1">
      <c r="A24" s="392"/>
      <c r="B24" s="261"/>
      <c r="C24" s="237"/>
      <c r="D24" s="397"/>
      <c r="E24" s="401"/>
      <c r="F24" s="127"/>
      <c r="G24" s="17"/>
      <c r="H24" s="365"/>
      <c r="I24" s="365"/>
      <c r="J24" s="365"/>
      <c r="K24" s="365"/>
      <c r="L24" s="365"/>
      <c r="M24" s="365"/>
      <c r="N24" s="365"/>
      <c r="O24" s="365"/>
      <c r="P24" s="365"/>
      <c r="Q24" s="365"/>
      <c r="R24" s="365"/>
      <c r="S24" s="418"/>
      <c r="T24" s="365"/>
      <c r="U24" s="365"/>
      <c r="V24" s="365"/>
      <c r="W24" s="365"/>
      <c r="X24" s="365"/>
      <c r="Y24" s="365"/>
      <c r="Z24" s="365"/>
      <c r="AA24" s="365"/>
      <c r="AB24" s="365"/>
      <c r="AC24" s="365"/>
      <c r="AD24" s="365"/>
      <c r="AE24" s="112"/>
      <c r="AF24" s="366"/>
      <c r="AG24" s="366"/>
      <c r="AH24" s="366"/>
      <c r="AI24" s="366"/>
      <c r="AJ24" s="366"/>
      <c r="AK24" s="366"/>
      <c r="AL24" s="366"/>
      <c r="AM24" s="366"/>
      <c r="AN24" s="366"/>
      <c r="AO24" s="366"/>
      <c r="AP24" s="365"/>
      <c r="AQ24" s="439"/>
      <c r="AR24" s="439"/>
      <c r="AS24" s="440"/>
      <c r="AT24" s="255"/>
      <c r="AU24" s="130"/>
      <c r="AV24" s="285"/>
      <c r="AW24" s="286"/>
      <c r="AX24" s="130"/>
      <c r="AY24" s="130"/>
      <c r="AZ24" s="130"/>
      <c r="BA24" s="285"/>
      <c r="BB24" s="286"/>
      <c r="BC24" s="130"/>
      <c r="BD24" s="285"/>
      <c r="BE24" s="286"/>
      <c r="BF24" s="130"/>
      <c r="BG24" s="285"/>
      <c r="BH24" s="286"/>
      <c r="BI24" s="130"/>
      <c r="BJ24" s="287"/>
      <c r="BK24" s="286"/>
      <c r="BL24" s="130"/>
      <c r="BM24" s="287"/>
      <c r="BN24" s="286"/>
      <c r="BO24" s="130"/>
      <c r="BP24" s="287"/>
      <c r="BQ24" s="286"/>
      <c r="BR24" s="130"/>
      <c r="BS24" s="287"/>
      <c r="BT24" s="286"/>
      <c r="BU24" s="130"/>
      <c r="BV24" s="130"/>
      <c r="BW24" s="130"/>
      <c r="BX24" s="130"/>
      <c r="BY24" s="329"/>
      <c r="BZ24" s="367"/>
      <c r="CA24" s="367"/>
      <c r="CB24" s="367"/>
      <c r="CC24" s="367"/>
      <c r="CD24" s="367"/>
      <c r="CE24" s="367"/>
      <c r="CF24" s="367"/>
      <c r="CG24" s="367"/>
      <c r="CH24" s="367"/>
      <c r="CI24" s="367"/>
      <c r="CJ24" s="367"/>
      <c r="CK24" s="367"/>
      <c r="CL24" s="367"/>
      <c r="CM24" s="367"/>
      <c r="CN24" s="367"/>
      <c r="CO24" s="367"/>
      <c r="CP24" s="367"/>
      <c r="CQ24" s="367"/>
      <c r="CR24" s="367"/>
      <c r="CS24" s="367"/>
      <c r="CT24" s="367"/>
      <c r="CU24" s="367"/>
    </row>
    <row r="25" spans="1:112" s="240" customFormat="1">
      <c r="A25" s="392"/>
      <c r="B25" s="261"/>
      <c r="C25" s="237"/>
      <c r="D25" s="397"/>
      <c r="E25" s="401" t="s">
        <v>147</v>
      </c>
      <c r="F25" s="127" t="s">
        <v>180</v>
      </c>
      <c r="G25" s="17"/>
      <c r="H25" s="365"/>
      <c r="I25" s="365"/>
      <c r="J25" s="365"/>
      <c r="K25" s="365"/>
      <c r="L25" s="365"/>
      <c r="M25" s="365"/>
      <c r="N25" s="365"/>
      <c r="O25" s="365"/>
      <c r="P25" s="365"/>
      <c r="Q25" s="365"/>
      <c r="R25" s="365"/>
      <c r="S25" s="418"/>
      <c r="T25" s="365"/>
      <c r="U25" s="365"/>
      <c r="V25" s="365"/>
      <c r="W25" s="365"/>
      <c r="X25" s="365"/>
      <c r="Y25" s="365"/>
      <c r="Z25" s="365"/>
      <c r="AA25" s="365"/>
      <c r="AB25" s="365"/>
      <c r="AC25" s="365"/>
      <c r="AD25" s="365"/>
      <c r="AE25" s="112"/>
      <c r="AF25" s="366"/>
      <c r="AG25" s="366"/>
      <c r="AH25" s="366"/>
      <c r="AI25" s="366"/>
      <c r="AJ25" s="366"/>
      <c r="AK25" s="366"/>
      <c r="AL25" s="366"/>
      <c r="AM25" s="366"/>
      <c r="AN25" s="366"/>
      <c r="AO25" s="366"/>
      <c r="AP25" s="365"/>
      <c r="AQ25" s="439"/>
      <c r="AR25" s="439"/>
      <c r="AS25" s="440"/>
      <c r="AT25" s="255"/>
      <c r="AU25" s="130"/>
      <c r="AV25" s="285"/>
      <c r="AW25" s="286"/>
      <c r="AX25" s="130"/>
      <c r="AY25" s="130"/>
      <c r="AZ25" s="130"/>
      <c r="BA25" s="285"/>
      <c r="BB25" s="286"/>
      <c r="BC25" s="130"/>
      <c r="BD25" s="285"/>
      <c r="BE25" s="286"/>
      <c r="BF25" s="130"/>
      <c r="BG25" s="285"/>
      <c r="BH25" s="286"/>
      <c r="BI25" s="130"/>
      <c r="BJ25" s="287"/>
      <c r="BK25" s="286"/>
      <c r="BL25" s="130"/>
      <c r="BM25" s="287"/>
      <c r="BN25" s="286"/>
      <c r="BO25" s="130"/>
      <c r="BP25" s="287"/>
      <c r="BQ25" s="286"/>
      <c r="BR25" s="130"/>
      <c r="BS25" s="287"/>
      <c r="BT25" s="286"/>
      <c r="BU25" s="130"/>
      <c r="BV25" s="130"/>
      <c r="BW25" s="130"/>
      <c r="BX25" s="130"/>
      <c r="BY25" s="329"/>
      <c r="BZ25" s="367"/>
      <c r="CA25" s="367"/>
      <c r="CB25" s="367"/>
      <c r="CC25" s="367"/>
      <c r="CD25" s="367"/>
      <c r="CE25" s="367"/>
      <c r="CF25" s="367"/>
      <c r="CG25" s="367"/>
      <c r="CH25" s="367"/>
      <c r="CI25" s="367"/>
      <c r="CJ25" s="367"/>
      <c r="CK25" s="367"/>
      <c r="CL25" s="367"/>
      <c r="CM25" s="367"/>
      <c r="CN25" s="367"/>
      <c r="CO25" s="367"/>
      <c r="CP25" s="367"/>
      <c r="CQ25" s="367"/>
      <c r="CR25" s="367"/>
      <c r="CS25" s="367"/>
      <c r="CT25" s="367"/>
      <c r="CU25" s="367"/>
    </row>
    <row r="26" spans="1:112" s="240" customFormat="1">
      <c r="A26" s="392"/>
      <c r="B26" s="261"/>
      <c r="C26" s="237"/>
      <c r="D26" s="397"/>
      <c r="E26" s="401" t="s">
        <v>148</v>
      </c>
      <c r="F26" s="127" t="s">
        <v>307</v>
      </c>
      <c r="G26" s="17" t="s">
        <v>105</v>
      </c>
      <c r="H26" s="365"/>
      <c r="I26" s="365"/>
      <c r="J26" s="365"/>
      <c r="K26" s="365"/>
      <c r="L26" s="365"/>
      <c r="M26" s="365"/>
      <c r="N26" s="365"/>
      <c r="O26" s="365"/>
      <c r="P26" s="365">
        <f t="shared" ref="P26:Q26" si="13">+AB26</f>
        <v>0</v>
      </c>
      <c r="Q26" s="365">
        <f t="shared" si="13"/>
        <v>0</v>
      </c>
      <c r="R26" s="365"/>
      <c r="S26" s="418"/>
      <c r="T26" s="365"/>
      <c r="U26" s="365"/>
      <c r="V26" s="365"/>
      <c r="W26" s="365"/>
      <c r="X26" s="365"/>
      <c r="Y26" s="365"/>
      <c r="Z26" s="365"/>
      <c r="AA26" s="365"/>
      <c r="AB26" s="365"/>
      <c r="AC26" s="365"/>
      <c r="AD26" s="365"/>
      <c r="AE26" s="112"/>
      <c r="AF26" s="366"/>
      <c r="AG26" s="366"/>
      <c r="AH26" s="366"/>
      <c r="AI26" s="366"/>
      <c r="AJ26" s="366"/>
      <c r="AK26" s="366"/>
      <c r="AL26" s="366"/>
      <c r="AM26" s="366"/>
      <c r="AN26" s="366"/>
      <c r="AO26" s="366"/>
      <c r="AP26" s="365"/>
      <c r="AQ26" s="441" t="s">
        <v>305</v>
      </c>
      <c r="AR26" s="441" t="str">
        <f>+AQ26</f>
        <v>à définir</v>
      </c>
      <c r="AS26" s="442" t="str">
        <f>+AR26</f>
        <v>à définir</v>
      </c>
      <c r="AT26" s="255"/>
      <c r="AU26" s="130"/>
      <c r="AV26" s="285"/>
      <c r="AW26" s="286"/>
      <c r="AX26" s="130"/>
      <c r="AY26" s="130"/>
      <c r="AZ26" s="130"/>
      <c r="BA26" s="285"/>
      <c r="BB26" s="286"/>
      <c r="BC26" s="130"/>
      <c r="BD26" s="285"/>
      <c r="BE26" s="286"/>
      <c r="BF26" s="130"/>
      <c r="BG26" s="285"/>
      <c r="BH26" s="286"/>
      <c r="BI26" s="130"/>
      <c r="BJ26" s="287"/>
      <c r="BK26" s="286"/>
      <c r="BL26" s="130"/>
      <c r="BM26" s="287"/>
      <c r="BN26" s="286"/>
      <c r="BO26" s="130"/>
      <c r="BP26" s="287"/>
      <c r="BQ26" s="286"/>
      <c r="BR26" s="130"/>
      <c r="BS26" s="287"/>
      <c r="BT26" s="286"/>
      <c r="BU26" s="130"/>
      <c r="BV26" s="130"/>
      <c r="BW26" s="130"/>
      <c r="BX26" s="130"/>
      <c r="BY26" s="329"/>
      <c r="BZ26" s="367"/>
      <c r="CA26" s="367"/>
      <c r="CB26" s="367"/>
      <c r="CC26" s="367"/>
      <c r="CD26" s="367"/>
      <c r="CE26" s="367"/>
      <c r="CF26" s="367"/>
      <c r="CG26" s="367"/>
      <c r="CH26" s="367"/>
      <c r="CI26" s="367"/>
      <c r="CJ26" s="367"/>
      <c r="CK26" s="367"/>
      <c r="CL26" s="367"/>
      <c r="CM26" s="367"/>
      <c r="CN26" s="367"/>
      <c r="CO26" s="367"/>
      <c r="CP26" s="367"/>
      <c r="CQ26" s="367"/>
      <c r="CR26" s="367"/>
      <c r="CS26" s="367"/>
      <c r="CT26" s="367"/>
      <c r="CU26" s="367"/>
    </row>
    <row r="27" spans="1:112" s="367" customFormat="1">
      <c r="A27" s="392"/>
      <c r="B27" s="261"/>
      <c r="C27" s="237"/>
      <c r="D27" s="397"/>
      <c r="E27" s="401" t="s">
        <v>308</v>
      </c>
      <c r="F27" s="127" t="s">
        <v>309</v>
      </c>
      <c r="G27" s="17" t="s">
        <v>26</v>
      </c>
      <c r="H27" s="365"/>
      <c r="I27" s="365"/>
      <c r="J27" s="365"/>
      <c r="K27" s="365"/>
      <c r="L27" s="365"/>
      <c r="M27" s="365"/>
      <c r="N27" s="365"/>
      <c r="O27" s="365"/>
      <c r="P27" s="365"/>
      <c r="Q27" s="365"/>
      <c r="R27" s="365"/>
      <c r="S27" s="418"/>
      <c r="T27" s="365"/>
      <c r="U27" s="365"/>
      <c r="V27" s="365"/>
      <c r="W27" s="365"/>
      <c r="X27" s="365"/>
      <c r="Y27" s="365"/>
      <c r="Z27" s="365"/>
      <c r="AA27" s="365"/>
      <c r="AB27" s="365"/>
      <c r="AC27" s="365"/>
      <c r="AD27" s="365"/>
      <c r="AE27" s="112"/>
      <c r="AF27" s="366"/>
      <c r="AG27" s="366"/>
      <c r="AH27" s="366"/>
      <c r="AI27" s="366"/>
      <c r="AJ27" s="366"/>
      <c r="AK27" s="366"/>
      <c r="AL27" s="366"/>
      <c r="AM27" s="366"/>
      <c r="AN27" s="366"/>
      <c r="AO27" s="366"/>
      <c r="AP27" s="365"/>
      <c r="AQ27" s="441" t="s">
        <v>305</v>
      </c>
      <c r="AR27" s="441" t="str">
        <f>+AQ27</f>
        <v>à définir</v>
      </c>
      <c r="AS27" s="442" t="str">
        <f>+AR27</f>
        <v>à définir</v>
      </c>
      <c r="AT27" s="255"/>
      <c r="AU27" s="130"/>
      <c r="AV27" s="285"/>
      <c r="AW27" s="286"/>
      <c r="AX27" s="130"/>
      <c r="AY27" s="130"/>
      <c r="AZ27" s="130"/>
      <c r="BA27" s="285"/>
      <c r="BB27" s="286"/>
      <c r="BC27" s="130"/>
      <c r="BD27" s="285"/>
      <c r="BE27" s="286"/>
      <c r="BF27" s="130"/>
      <c r="BG27" s="285"/>
      <c r="BH27" s="286"/>
      <c r="BI27" s="130"/>
      <c r="BJ27" s="287"/>
      <c r="BK27" s="286"/>
      <c r="BL27" s="130"/>
      <c r="BM27" s="287"/>
      <c r="BN27" s="286"/>
      <c r="BO27" s="130"/>
      <c r="BP27" s="287"/>
      <c r="BQ27" s="286"/>
      <c r="BR27" s="130"/>
      <c r="BS27" s="287"/>
      <c r="BT27" s="286"/>
      <c r="BU27" s="130"/>
      <c r="BV27" s="130"/>
      <c r="BW27" s="130"/>
      <c r="BX27" s="130"/>
      <c r="BY27" s="329"/>
    </row>
    <row r="28" spans="1:112" s="367" customFormat="1">
      <c r="A28" s="392"/>
      <c r="B28" s="261"/>
      <c r="C28" s="237"/>
      <c r="D28" s="397"/>
      <c r="E28" s="401"/>
      <c r="F28" s="127"/>
      <c r="G28" s="17"/>
      <c r="H28" s="365"/>
      <c r="I28" s="365"/>
      <c r="J28" s="365"/>
      <c r="K28" s="365"/>
      <c r="L28" s="365"/>
      <c r="M28" s="365"/>
      <c r="N28" s="365"/>
      <c r="O28" s="365"/>
      <c r="P28" s="365"/>
      <c r="Q28" s="365"/>
      <c r="R28" s="365"/>
      <c r="S28" s="418"/>
      <c r="T28" s="365"/>
      <c r="U28" s="365"/>
      <c r="V28" s="365"/>
      <c r="W28" s="365"/>
      <c r="X28" s="365"/>
      <c r="Y28" s="365"/>
      <c r="Z28" s="365"/>
      <c r="AA28" s="365"/>
      <c r="AB28" s="365"/>
      <c r="AC28" s="365"/>
      <c r="AD28" s="365"/>
      <c r="AE28" s="112"/>
      <c r="AF28" s="366"/>
      <c r="AG28" s="366"/>
      <c r="AH28" s="366"/>
      <c r="AI28" s="366"/>
      <c r="AJ28" s="366"/>
      <c r="AK28" s="366"/>
      <c r="AL28" s="366"/>
      <c r="AM28" s="366"/>
      <c r="AN28" s="366"/>
      <c r="AO28" s="366"/>
      <c r="AP28" s="365"/>
      <c r="AQ28" s="441"/>
      <c r="AR28" s="441"/>
      <c r="AS28" s="442"/>
      <c r="AT28" s="255"/>
      <c r="AU28" s="130">
        <f>SUM(AS30:AS34)</f>
        <v>31960.589000000004</v>
      </c>
      <c r="AV28" s="285"/>
      <c r="AW28" s="286"/>
      <c r="AX28" s="130"/>
      <c r="AY28" s="130"/>
      <c r="AZ28" s="130"/>
      <c r="BA28" s="285"/>
      <c r="BB28" s="286"/>
      <c r="BC28" s="130"/>
      <c r="BD28" s="285"/>
      <c r="BE28" s="286"/>
      <c r="BF28" s="130"/>
      <c r="BG28" s="285"/>
      <c r="BH28" s="286"/>
      <c r="BI28" s="130"/>
      <c r="BJ28" s="287"/>
      <c r="BK28" s="286"/>
      <c r="BL28" s="130"/>
      <c r="BM28" s="287"/>
      <c r="BN28" s="286"/>
      <c r="BO28" s="130"/>
      <c r="BP28" s="287"/>
      <c r="BQ28" s="286"/>
      <c r="BR28" s="130"/>
      <c r="BS28" s="287"/>
      <c r="BT28" s="286"/>
      <c r="BU28" s="130"/>
      <c r="BV28" s="130"/>
      <c r="BW28" s="130"/>
      <c r="BX28" s="130"/>
      <c r="BY28" s="329"/>
    </row>
    <row r="29" spans="1:112" s="240" customFormat="1">
      <c r="A29" s="392"/>
      <c r="B29" s="261"/>
      <c r="C29" s="237"/>
      <c r="D29" s="397"/>
      <c r="E29" s="401" t="s">
        <v>149</v>
      </c>
      <c r="F29" s="127" t="s">
        <v>310</v>
      </c>
      <c r="G29" s="17"/>
      <c r="H29" s="17"/>
      <c r="I29" s="365"/>
      <c r="J29" s="365"/>
      <c r="K29" s="365"/>
      <c r="L29" s="365"/>
      <c r="M29" s="365"/>
      <c r="N29" s="365"/>
      <c r="O29" s="365"/>
      <c r="P29" s="365"/>
      <c r="Q29" s="365"/>
      <c r="R29" s="365"/>
      <c r="S29" s="329"/>
      <c r="T29" s="112"/>
      <c r="U29" s="365"/>
      <c r="V29" s="365"/>
      <c r="W29" s="365"/>
      <c r="X29" s="365"/>
      <c r="Y29" s="365"/>
      <c r="Z29" s="365"/>
      <c r="AA29" s="365"/>
      <c r="AB29" s="365"/>
      <c r="AC29" s="365"/>
      <c r="AD29" s="365"/>
      <c r="AE29" s="367"/>
      <c r="AF29" s="112"/>
      <c r="AG29" s="366"/>
      <c r="AH29" s="366"/>
      <c r="AI29" s="366"/>
      <c r="AJ29" s="366"/>
      <c r="AK29" s="366"/>
      <c r="AL29" s="366"/>
      <c r="AM29" s="366"/>
      <c r="AN29" s="366"/>
      <c r="AO29" s="366"/>
      <c r="AP29" s="365"/>
      <c r="AQ29" s="439"/>
      <c r="AR29" s="441"/>
      <c r="AS29" s="441"/>
      <c r="AT29" s="117"/>
      <c r="AU29" s="329"/>
      <c r="AV29" s="228"/>
      <c r="AW29" s="285"/>
      <c r="AX29" s="286"/>
      <c r="AY29" s="130"/>
      <c r="AZ29" s="130"/>
      <c r="BA29" s="130"/>
      <c r="BB29" s="285"/>
      <c r="BC29" s="286"/>
      <c r="BD29" s="130"/>
      <c r="BE29" s="285"/>
      <c r="BF29" s="286"/>
      <c r="BG29" s="130"/>
      <c r="BH29" s="285"/>
      <c r="BI29" s="286"/>
      <c r="BJ29" s="130"/>
      <c r="BK29" s="287"/>
      <c r="BL29" s="286"/>
      <c r="BM29" s="130"/>
      <c r="BN29" s="287"/>
      <c r="BO29" s="130"/>
      <c r="BP29" s="130"/>
      <c r="BQ29" s="287"/>
      <c r="BR29" s="286"/>
      <c r="BS29" s="130"/>
      <c r="BT29" s="287"/>
      <c r="BU29" s="286"/>
      <c r="BV29" s="130"/>
      <c r="BW29" s="130"/>
      <c r="BX29" s="130"/>
      <c r="BY29" s="329"/>
      <c r="BZ29" s="392"/>
      <c r="CA29" s="367"/>
      <c r="CB29" s="367"/>
      <c r="CC29" s="367"/>
      <c r="CD29" s="367"/>
      <c r="CE29" s="367"/>
      <c r="CF29" s="367"/>
      <c r="CG29" s="367"/>
      <c r="CH29" s="367"/>
      <c r="CI29" s="367"/>
      <c r="CJ29" s="367"/>
      <c r="CK29" s="367"/>
      <c r="CL29" s="367"/>
      <c r="CM29" s="367"/>
      <c r="CN29" s="367"/>
      <c r="CO29" s="367"/>
      <c r="CP29" s="367"/>
      <c r="CQ29" s="367"/>
      <c r="CR29" s="367"/>
      <c r="CS29" s="367"/>
      <c r="CT29" s="367"/>
      <c r="CU29" s="367"/>
    </row>
    <row r="30" spans="1:112" s="367" customFormat="1">
      <c r="A30" s="392"/>
      <c r="B30" s="261"/>
      <c r="C30" s="237"/>
      <c r="D30" s="397"/>
      <c r="E30" s="401"/>
      <c r="F30" s="127" t="s">
        <v>311</v>
      </c>
      <c r="G30" s="17" t="s">
        <v>26</v>
      </c>
      <c r="H30" s="365">
        <f t="shared" ref="H30:O34" si="14">+T30</f>
        <v>0</v>
      </c>
      <c r="I30" s="365">
        <f t="shared" si="14"/>
        <v>0</v>
      </c>
      <c r="J30" s="365">
        <f t="shared" si="14"/>
        <v>0</v>
      </c>
      <c r="K30" s="365">
        <f t="shared" si="14"/>
        <v>0</v>
      </c>
      <c r="L30" s="365">
        <f t="shared" si="14"/>
        <v>0</v>
      </c>
      <c r="M30" s="365">
        <f t="shared" si="14"/>
        <v>0</v>
      </c>
      <c r="N30" s="365">
        <f t="shared" si="14"/>
        <v>276</v>
      </c>
      <c r="O30" s="365">
        <f t="shared" si="14"/>
        <v>0</v>
      </c>
      <c r="P30" s="365">
        <f t="shared" ref="P30:Q34" si="15">+AB30</f>
        <v>0</v>
      </c>
      <c r="Q30" s="365">
        <f t="shared" si="15"/>
        <v>0</v>
      </c>
      <c r="R30" s="365"/>
      <c r="S30" s="418">
        <f t="shared" ref="S30:S34" si="16">SUM(T30:AC30)</f>
        <v>276</v>
      </c>
      <c r="T30" s="365">
        <f t="shared" ref="T30:T34" si="17">ROUND(AF30,ARRONDI_QT)</f>
        <v>0</v>
      </c>
      <c r="U30" s="365">
        <f t="shared" ref="U30:U34" si="18">ROUND(AG30,ARRONDI_QT)</f>
        <v>0</v>
      </c>
      <c r="V30" s="365">
        <f t="shared" ref="V30:V34" si="19">ROUND(AH30,ARRONDI_QT)</f>
        <v>0</v>
      </c>
      <c r="W30" s="365">
        <f t="shared" ref="W30:W34" si="20">ROUND(AI30,ARRONDI_QT)</f>
        <v>0</v>
      </c>
      <c r="X30" s="365">
        <f t="shared" ref="X30:X34" si="21">ROUND(AJ30,ARRONDI_QT)</f>
        <v>0</v>
      </c>
      <c r="Y30" s="365">
        <f t="shared" ref="Y30:Y34" si="22">ROUND(AK30,ARRONDI_QT)</f>
        <v>0</v>
      </c>
      <c r="Z30" s="365">
        <f t="shared" ref="Z30:Z34" si="23">ROUND(AL30,ARRONDI_QT)</f>
        <v>276</v>
      </c>
      <c r="AA30" s="365">
        <f t="shared" ref="AA30:AA34" si="24">ROUND(AM30,ARRONDI_QT)</f>
        <v>0</v>
      </c>
      <c r="AB30" s="365">
        <f t="shared" ref="AB30:AB34" si="25">ROUND(AN30,ARRONDI_QT)</f>
        <v>0</v>
      </c>
      <c r="AC30" s="365">
        <f t="shared" ref="AC30:AC34" si="26">ROUND(AO30,ARRONDI_QT)</f>
        <v>0</v>
      </c>
      <c r="AD30" s="365"/>
      <c r="AE30" s="112">
        <f>ROUND(SUM(AF30:AO30),ARRONDI_QT)</f>
        <v>276</v>
      </c>
      <c r="AF30" s="366">
        <v>0</v>
      </c>
      <c r="AG30" s="366">
        <v>0</v>
      </c>
      <c r="AH30" s="366">
        <v>0</v>
      </c>
      <c r="AI30" s="366">
        <v>0</v>
      </c>
      <c r="AJ30" s="366">
        <v>0</v>
      </c>
      <c r="AK30" s="366">
        <v>0</v>
      </c>
      <c r="AL30" s="366">
        <f>230*1.2</f>
        <v>276</v>
      </c>
      <c r="AM30" s="366">
        <v>0</v>
      </c>
      <c r="AN30" s="366">
        <v>0</v>
      </c>
      <c r="AO30" s="366">
        <v>0</v>
      </c>
      <c r="AP30" s="365"/>
      <c r="AQ30" s="439">
        <f>SUM(H30:Q30)</f>
        <v>276</v>
      </c>
      <c r="AR30" s="439">
        <f>ROUND(AU30+BV30,ARRONDI_PU)</f>
        <v>5.1059999999999999</v>
      </c>
      <c r="AS30" s="440">
        <f t="shared" ref="AS30:AS34" si="27">+AR30*AQ30</f>
        <v>1409.2559999999999</v>
      </c>
      <c r="AT30" s="255"/>
      <c r="AU30" s="130">
        <f t="shared" ref="AU30:AU34" si="28">+AX30+BB30+BE30+BH30+BK30+BN30+BQ30+BT30</f>
        <v>4.5999999999999996</v>
      </c>
      <c r="AV30" s="285">
        <f>+COEF_MO_INSTALL</f>
        <v>1.3</v>
      </c>
      <c r="AW30" s="286">
        <v>0</v>
      </c>
      <c r="AX30" s="130">
        <f>+AW30*TH_INSTALL</f>
        <v>0</v>
      </c>
      <c r="AY30" s="130">
        <f>+AW30*AE30</f>
        <v>0</v>
      </c>
      <c r="AZ30" s="130">
        <f>IF(AQ30&gt;0,(AX30*AE30),0)</f>
        <v>0</v>
      </c>
      <c r="BA30" s="285">
        <f>+COEF_FOUR1_INSTALL</f>
        <v>1.3</v>
      </c>
      <c r="BB30" s="286">
        <v>0</v>
      </c>
      <c r="BC30" s="130">
        <f>IF(AQ30&gt;0,(BB30*AE30),0)</f>
        <v>0</v>
      </c>
      <c r="BD30" s="285">
        <f>+COEF_FOUR2_INSTALL</f>
        <v>1.3</v>
      </c>
      <c r="BE30" s="286">
        <v>0</v>
      </c>
      <c r="BF30" s="130">
        <f>IF(AQ30&gt;0,(BE30*AE30),0)</f>
        <v>0</v>
      </c>
      <c r="BG30" s="285">
        <f>+COEF_FOUR3_INSTALL</f>
        <v>1.3</v>
      </c>
      <c r="BH30" s="286">
        <v>0</v>
      </c>
      <c r="BI30" s="130">
        <f>IF(AQ30&gt;0,(BH30*AE30),0)</f>
        <v>0</v>
      </c>
      <c r="BJ30" s="287">
        <f>+COEF_MTLLOC_INSTALL</f>
        <v>1.1499999999999999</v>
      </c>
      <c r="BK30" s="286">
        <v>0</v>
      </c>
      <c r="BL30" s="130">
        <f>IF(AQ30&gt;0,(BK30*AE30),0)</f>
        <v>0</v>
      </c>
      <c r="BM30" s="287">
        <f>+COEF_MTLAMR_INSTALL</f>
        <v>1.3</v>
      </c>
      <c r="BN30" s="286">
        <v>0</v>
      </c>
      <c r="BO30" s="130">
        <f>IF(AQ30&gt;0,(BN30*AE30),0)</f>
        <v>0</v>
      </c>
      <c r="BP30" s="287">
        <f>+COEF_ST1_INSTALL</f>
        <v>1.1100000000000001</v>
      </c>
      <c r="BQ30" s="286">
        <f>4.6</f>
        <v>4.5999999999999996</v>
      </c>
      <c r="BR30" s="130">
        <f>IF(AQ30&gt;0,(BQ30*AE30),0)</f>
        <v>1269.5999999999999</v>
      </c>
      <c r="BS30" s="287">
        <f>+COEF_ST2_INSTALL</f>
        <v>1.1100000000000001</v>
      </c>
      <c r="BT30" s="286">
        <v>0</v>
      </c>
      <c r="BU30" s="130">
        <f>IF(AQ30&gt;0,(BT30*AE30),0)</f>
        <v>0</v>
      </c>
      <c r="BV30" s="130">
        <f t="shared" ref="BV30:BV34" si="29">+(((AX30)*AV30)+(BB30*BA30)+(BE30*BD30)+(BH30*BG30)+(BK30*BJ30)+(BN30*BM30)+(BQ30*BP30)+(BT30*BS30)+(BT30*BS30))-(AU30)</f>
        <v>0.50600000000000023</v>
      </c>
      <c r="BW30" s="130">
        <f>+BV30*AE30</f>
        <v>139.65600000000006</v>
      </c>
      <c r="BX30" s="130">
        <f t="shared" ref="BX30:BX34" si="30">AS30-(BW30+BU30+BR30+BO30+BL30+BI30+BF30+BC30+AZ30)</f>
        <v>0</v>
      </c>
      <c r="BY30" s="329"/>
    </row>
    <row r="31" spans="1:112" s="367" customFormat="1">
      <c r="A31" s="392"/>
      <c r="B31" s="261"/>
      <c r="C31" s="237"/>
      <c r="D31" s="397"/>
      <c r="E31" s="401"/>
      <c r="F31" s="127" t="s">
        <v>312</v>
      </c>
      <c r="G31" s="17" t="s">
        <v>26</v>
      </c>
      <c r="H31" s="365">
        <f t="shared" si="14"/>
        <v>0</v>
      </c>
      <c r="I31" s="365">
        <f t="shared" si="14"/>
        <v>0</v>
      </c>
      <c r="J31" s="365">
        <f t="shared" si="14"/>
        <v>0</v>
      </c>
      <c r="K31" s="365">
        <f t="shared" si="14"/>
        <v>0</v>
      </c>
      <c r="L31" s="365">
        <f t="shared" si="14"/>
        <v>0</v>
      </c>
      <c r="M31" s="365">
        <f t="shared" si="14"/>
        <v>0</v>
      </c>
      <c r="N31" s="365">
        <f t="shared" si="14"/>
        <v>276</v>
      </c>
      <c r="O31" s="365">
        <f t="shared" si="14"/>
        <v>0</v>
      </c>
      <c r="P31" s="365">
        <f t="shared" si="15"/>
        <v>0</v>
      </c>
      <c r="Q31" s="365">
        <f t="shared" si="15"/>
        <v>0</v>
      </c>
      <c r="R31" s="365"/>
      <c r="S31" s="418">
        <f t="shared" si="16"/>
        <v>276</v>
      </c>
      <c r="T31" s="365">
        <f t="shared" si="17"/>
        <v>0</v>
      </c>
      <c r="U31" s="365">
        <f t="shared" si="18"/>
        <v>0</v>
      </c>
      <c r="V31" s="365">
        <f t="shared" si="19"/>
        <v>0</v>
      </c>
      <c r="W31" s="365">
        <f t="shared" si="20"/>
        <v>0</v>
      </c>
      <c r="X31" s="365">
        <f t="shared" si="21"/>
        <v>0</v>
      </c>
      <c r="Y31" s="365">
        <f t="shared" si="22"/>
        <v>0</v>
      </c>
      <c r="Z31" s="365">
        <f t="shared" si="23"/>
        <v>276</v>
      </c>
      <c r="AA31" s="365">
        <f t="shared" si="24"/>
        <v>0</v>
      </c>
      <c r="AB31" s="365">
        <f t="shared" si="25"/>
        <v>0</v>
      </c>
      <c r="AC31" s="365">
        <f t="shared" si="26"/>
        <v>0</v>
      </c>
      <c r="AD31" s="365"/>
      <c r="AE31" s="112">
        <f>ROUND(SUM(AF31:AO31),ARRONDI_QT)</f>
        <v>276</v>
      </c>
      <c r="AF31" s="366">
        <v>0</v>
      </c>
      <c r="AG31" s="366">
        <v>0</v>
      </c>
      <c r="AH31" s="366">
        <v>0</v>
      </c>
      <c r="AI31" s="366">
        <v>0</v>
      </c>
      <c r="AJ31" s="366">
        <v>0</v>
      </c>
      <c r="AK31" s="366">
        <v>0</v>
      </c>
      <c r="AL31" s="366">
        <f>230*1.2</f>
        <v>276</v>
      </c>
      <c r="AM31" s="366">
        <v>0</v>
      </c>
      <c r="AN31" s="366">
        <v>0</v>
      </c>
      <c r="AO31" s="366">
        <v>0</v>
      </c>
      <c r="AP31" s="365"/>
      <c r="AQ31" s="439">
        <f>SUM(H31:Q31)</f>
        <v>276</v>
      </c>
      <c r="AR31" s="439">
        <f>ROUND(AU31+BV31,ARRONDI_PU)</f>
        <v>23.31</v>
      </c>
      <c r="AS31" s="440">
        <f t="shared" si="27"/>
        <v>6433.5599999999995</v>
      </c>
      <c r="AT31" s="255"/>
      <c r="AU31" s="130">
        <f t="shared" si="28"/>
        <v>21</v>
      </c>
      <c r="AV31" s="285">
        <f>+COEF_MO_INSTALL</f>
        <v>1.3</v>
      </c>
      <c r="AW31" s="286">
        <v>0</v>
      </c>
      <c r="AX31" s="130">
        <f>+AW31*TH_INSTALL</f>
        <v>0</v>
      </c>
      <c r="AY31" s="130">
        <f>+AW31*AE31</f>
        <v>0</v>
      </c>
      <c r="AZ31" s="130">
        <f>IF(AQ31&gt;0,(AX31*AE31),0)</f>
        <v>0</v>
      </c>
      <c r="BA31" s="285">
        <f>+COEF_FOUR1_INSTALL</f>
        <v>1.3</v>
      </c>
      <c r="BB31" s="286">
        <v>0</v>
      </c>
      <c r="BC31" s="130">
        <f>IF(AQ31&gt;0,(BB31*AE31),0)</f>
        <v>0</v>
      </c>
      <c r="BD31" s="285">
        <f>+COEF_FOUR2_INSTALL</f>
        <v>1.3</v>
      </c>
      <c r="BE31" s="286">
        <v>0</v>
      </c>
      <c r="BF31" s="130">
        <f>IF(AQ31&gt;0,(BE31*AE31),0)</f>
        <v>0</v>
      </c>
      <c r="BG31" s="285">
        <f>+COEF_FOUR3_INSTALL</f>
        <v>1.3</v>
      </c>
      <c r="BH31" s="286">
        <v>0</v>
      </c>
      <c r="BI31" s="130">
        <f>IF(AQ31&gt;0,(BH31*AE31),0)</f>
        <v>0</v>
      </c>
      <c r="BJ31" s="287">
        <f>+COEF_MTLLOC_INSTALL</f>
        <v>1.1499999999999999</v>
      </c>
      <c r="BK31" s="286">
        <v>0</v>
      </c>
      <c r="BL31" s="130">
        <f>IF(AQ31&gt;0,(BK31*AE31),0)</f>
        <v>0</v>
      </c>
      <c r="BM31" s="287">
        <f>+COEF_MTLAMR_INSTALL</f>
        <v>1.3</v>
      </c>
      <c r="BN31" s="286">
        <v>0</v>
      </c>
      <c r="BO31" s="130">
        <f>IF(AQ31&gt;0,(BN31*AE31),0)</f>
        <v>0</v>
      </c>
      <c r="BP31" s="287">
        <f>+COEF_ST1_INSTALL</f>
        <v>1.1100000000000001</v>
      </c>
      <c r="BQ31" s="286">
        <v>21</v>
      </c>
      <c r="BR31" s="130">
        <f>IF(AQ31&gt;0,(BQ31*AE31),0)</f>
        <v>5796</v>
      </c>
      <c r="BS31" s="287">
        <f>+COEF_ST2_INSTALL</f>
        <v>1.1100000000000001</v>
      </c>
      <c r="BT31" s="286">
        <v>0</v>
      </c>
      <c r="BU31" s="130">
        <f>IF(AQ31&gt;0,(BT31*AE31),0)</f>
        <v>0</v>
      </c>
      <c r="BV31" s="130">
        <f t="shared" si="29"/>
        <v>2.3100000000000023</v>
      </c>
      <c r="BW31" s="130">
        <f>+BV31*AE31</f>
        <v>637.56000000000063</v>
      </c>
      <c r="BX31" s="130">
        <f t="shared" si="30"/>
        <v>0</v>
      </c>
      <c r="BY31" s="329"/>
    </row>
    <row r="32" spans="1:112" s="263" customFormat="1" ht="25.5">
      <c r="B32" s="395"/>
      <c r="C32" s="394"/>
      <c r="D32" s="397"/>
      <c r="E32" s="402"/>
      <c r="F32" s="369" t="s">
        <v>314</v>
      </c>
      <c r="G32" s="17" t="s">
        <v>108</v>
      </c>
      <c r="H32" s="365">
        <f t="shared" si="14"/>
        <v>0</v>
      </c>
      <c r="I32" s="365">
        <f t="shared" si="14"/>
        <v>0</v>
      </c>
      <c r="J32" s="365">
        <f t="shared" si="14"/>
        <v>0</v>
      </c>
      <c r="K32" s="365">
        <f t="shared" si="14"/>
        <v>0</v>
      </c>
      <c r="L32" s="365">
        <f t="shared" si="14"/>
        <v>0</v>
      </c>
      <c r="M32" s="365">
        <f t="shared" si="14"/>
        <v>0</v>
      </c>
      <c r="N32" s="365">
        <f t="shared" si="14"/>
        <v>230</v>
      </c>
      <c r="O32" s="365">
        <f t="shared" si="14"/>
        <v>0</v>
      </c>
      <c r="P32" s="365">
        <f t="shared" si="15"/>
        <v>0</v>
      </c>
      <c r="Q32" s="365">
        <f t="shared" si="15"/>
        <v>0</v>
      </c>
      <c r="R32" s="365"/>
      <c r="S32" s="418">
        <f t="shared" si="16"/>
        <v>230</v>
      </c>
      <c r="T32" s="365">
        <f t="shared" si="17"/>
        <v>0</v>
      </c>
      <c r="U32" s="365">
        <f t="shared" si="18"/>
        <v>0</v>
      </c>
      <c r="V32" s="365">
        <f t="shared" si="19"/>
        <v>0</v>
      </c>
      <c r="W32" s="365">
        <f t="shared" si="20"/>
        <v>0</v>
      </c>
      <c r="X32" s="365">
        <f t="shared" si="21"/>
        <v>0</v>
      </c>
      <c r="Y32" s="365">
        <f t="shared" si="22"/>
        <v>0</v>
      </c>
      <c r="Z32" s="365">
        <f t="shared" si="23"/>
        <v>230</v>
      </c>
      <c r="AA32" s="365">
        <f t="shared" si="24"/>
        <v>0</v>
      </c>
      <c r="AB32" s="365">
        <f t="shared" si="25"/>
        <v>0</v>
      </c>
      <c r="AC32" s="365">
        <f t="shared" si="26"/>
        <v>0</v>
      </c>
      <c r="AD32" s="365"/>
      <c r="AE32" s="112">
        <f>ROUND(SUM(AF32:AO32),ARRONDI_QT)</f>
        <v>230</v>
      </c>
      <c r="AF32" s="366">
        <v>0</v>
      </c>
      <c r="AG32" s="366">
        <v>0</v>
      </c>
      <c r="AH32" s="366">
        <v>0</v>
      </c>
      <c r="AI32" s="366">
        <v>0</v>
      </c>
      <c r="AJ32" s="366">
        <v>0</v>
      </c>
      <c r="AK32" s="366">
        <v>0</v>
      </c>
      <c r="AL32" s="366">
        <f>(27*8.5)+0.5</f>
        <v>230</v>
      </c>
      <c r="AM32" s="366">
        <v>0</v>
      </c>
      <c r="AN32" s="366">
        <v>0</v>
      </c>
      <c r="AO32" s="366">
        <v>0</v>
      </c>
      <c r="AP32" s="365"/>
      <c r="AQ32" s="439">
        <f>SUM(H32:Q32)</f>
        <v>230</v>
      </c>
      <c r="AR32" s="439">
        <f>ROUND(AU32+BV32,ARRONDI_PU)</f>
        <v>5.1870000000000003</v>
      </c>
      <c r="AS32" s="440">
        <f t="shared" si="27"/>
        <v>1193.01</v>
      </c>
      <c r="AT32" s="256"/>
      <c r="AU32" s="130">
        <f t="shared" si="28"/>
        <v>3.99</v>
      </c>
      <c r="AV32" s="285">
        <f>+COEF_MO_INSTALL</f>
        <v>1.3</v>
      </c>
      <c r="AW32" s="286">
        <v>0.06</v>
      </c>
      <c r="AX32" s="130">
        <f>+AW32*TH_INSTALL</f>
        <v>1.77</v>
      </c>
      <c r="AY32" s="130">
        <f>+AW32*AE32</f>
        <v>13.799999999999999</v>
      </c>
      <c r="AZ32" s="130">
        <f>IF(AQ32&gt;0,(AX32*AE32),0)</f>
        <v>407.1</v>
      </c>
      <c r="BA32" s="285">
        <f>+COEF_FOUR1_INSTALL</f>
        <v>1.3</v>
      </c>
      <c r="BB32" s="286">
        <v>2</v>
      </c>
      <c r="BC32" s="130">
        <f>IF(AQ32&gt;0,(BB32*AE32),0)</f>
        <v>460</v>
      </c>
      <c r="BD32" s="285">
        <f>+COEF_FOUR2_INSTALL</f>
        <v>1.3</v>
      </c>
      <c r="BE32" s="286">
        <v>0.2</v>
      </c>
      <c r="BF32" s="130">
        <f>IF(AQ32&gt;0,(BE32*AE32),0)</f>
        <v>46</v>
      </c>
      <c r="BG32" s="285">
        <f>+COEF_FOUR3_INSTALL</f>
        <v>1.3</v>
      </c>
      <c r="BH32" s="286">
        <v>0.02</v>
      </c>
      <c r="BI32" s="130">
        <f>IF(AQ32&gt;0,(BH32*AE32),0)</f>
        <v>4.6000000000000005</v>
      </c>
      <c r="BJ32" s="287">
        <f>+COEF_MTLLOC_INSTALL</f>
        <v>1.1499999999999999</v>
      </c>
      <c r="BK32" s="286">
        <v>0</v>
      </c>
      <c r="BL32" s="130">
        <f>IF(AQ32&gt;0,(BK32*AE32),0)</f>
        <v>0</v>
      </c>
      <c r="BM32" s="287">
        <f>+COEF_MTLAMR_INSTALL</f>
        <v>1.3</v>
      </c>
      <c r="BN32" s="286">
        <v>0</v>
      </c>
      <c r="BO32" s="130">
        <f>IF(AQ32&gt;0,(BN32*AE32),0)</f>
        <v>0</v>
      </c>
      <c r="BP32" s="287">
        <f>+COEF_ST1_INSTALL</f>
        <v>1.1100000000000001</v>
      </c>
      <c r="BQ32" s="286">
        <v>0</v>
      </c>
      <c r="BR32" s="130">
        <f>IF(AQ32&gt;0,(BQ32*AE32),0)</f>
        <v>0</v>
      </c>
      <c r="BS32" s="287">
        <f>+COEF_ST2_INSTALL</f>
        <v>1.1100000000000001</v>
      </c>
      <c r="BT32" s="286">
        <v>0</v>
      </c>
      <c r="BU32" s="130">
        <f>IF(AQ32&gt;0,(BT32*AE32),0)</f>
        <v>0</v>
      </c>
      <c r="BV32" s="130">
        <f t="shared" si="29"/>
        <v>1.1969999999999992</v>
      </c>
      <c r="BW32" s="130">
        <f>+BV32*AE32</f>
        <v>275.30999999999983</v>
      </c>
      <c r="BX32" s="130">
        <f t="shared" si="30"/>
        <v>0</v>
      </c>
      <c r="BY32" s="329"/>
    </row>
    <row r="33" spans="1:99" s="367" customFormat="1" ht="26.25">
      <c r="A33" s="392"/>
      <c r="B33" s="261"/>
      <c r="C33" s="237"/>
      <c r="D33" s="397"/>
      <c r="E33" s="401"/>
      <c r="F33" s="368" t="s">
        <v>313</v>
      </c>
      <c r="G33" s="17" t="s">
        <v>315</v>
      </c>
      <c r="H33" s="365">
        <f t="shared" si="14"/>
        <v>0</v>
      </c>
      <c r="I33" s="365">
        <f t="shared" si="14"/>
        <v>0</v>
      </c>
      <c r="J33" s="365">
        <f t="shared" si="14"/>
        <v>0</v>
      </c>
      <c r="K33" s="365">
        <f t="shared" si="14"/>
        <v>0</v>
      </c>
      <c r="L33" s="365">
        <f t="shared" si="14"/>
        <v>0</v>
      </c>
      <c r="M33" s="365">
        <f t="shared" si="14"/>
        <v>0</v>
      </c>
      <c r="N33" s="365">
        <f t="shared" si="14"/>
        <v>226</v>
      </c>
      <c r="O33" s="365">
        <f t="shared" si="14"/>
        <v>0</v>
      </c>
      <c r="P33" s="365">
        <f t="shared" si="15"/>
        <v>0</v>
      </c>
      <c r="Q33" s="365">
        <f t="shared" si="15"/>
        <v>0</v>
      </c>
      <c r="R33" s="365"/>
      <c r="S33" s="418">
        <f t="shared" si="16"/>
        <v>226</v>
      </c>
      <c r="T33" s="365">
        <f t="shared" si="17"/>
        <v>0</v>
      </c>
      <c r="U33" s="365">
        <f t="shared" si="18"/>
        <v>0</v>
      </c>
      <c r="V33" s="365">
        <f t="shared" si="19"/>
        <v>0</v>
      </c>
      <c r="W33" s="365">
        <f t="shared" si="20"/>
        <v>0</v>
      </c>
      <c r="X33" s="365">
        <f t="shared" si="21"/>
        <v>0</v>
      </c>
      <c r="Y33" s="365">
        <f t="shared" si="22"/>
        <v>0</v>
      </c>
      <c r="Z33" s="365">
        <f t="shared" si="23"/>
        <v>226</v>
      </c>
      <c r="AA33" s="365">
        <f t="shared" si="24"/>
        <v>0</v>
      </c>
      <c r="AB33" s="365">
        <f t="shared" si="25"/>
        <v>0</v>
      </c>
      <c r="AC33" s="365">
        <f t="shared" si="26"/>
        <v>0</v>
      </c>
      <c r="AD33" s="365"/>
      <c r="AE33" s="112">
        <f>ROUND(SUM(AF33:AO33),ARRONDI_QT)</f>
        <v>226</v>
      </c>
      <c r="AF33" s="366">
        <v>0</v>
      </c>
      <c r="AG33" s="366">
        <v>0</v>
      </c>
      <c r="AH33" s="366">
        <v>0</v>
      </c>
      <c r="AI33" s="366">
        <v>0</v>
      </c>
      <c r="AJ33" s="366">
        <v>0</v>
      </c>
      <c r="AK33" s="366">
        <v>0</v>
      </c>
      <c r="AL33" s="366">
        <f>(27*8.5)+0.5*1-4</f>
        <v>226</v>
      </c>
      <c r="AM33" s="366">
        <v>0</v>
      </c>
      <c r="AN33" s="366">
        <v>0</v>
      </c>
      <c r="AO33" s="366">
        <v>0</v>
      </c>
      <c r="AP33" s="365"/>
      <c r="AQ33" s="439">
        <f>SUM(H33:Q33)</f>
        <v>226</v>
      </c>
      <c r="AR33" s="439">
        <f>ROUND(AU33+BV33,ARRONDI_PU)</f>
        <v>80.153000000000006</v>
      </c>
      <c r="AS33" s="440">
        <f t="shared" si="27"/>
        <v>18114.578000000001</v>
      </c>
      <c r="AT33" s="255"/>
      <c r="AU33" s="130">
        <f t="shared" si="28"/>
        <v>62.059999999999995</v>
      </c>
      <c r="AV33" s="285">
        <f>+COEF_MO_INSTALL</f>
        <v>1.3</v>
      </c>
      <c r="AW33" s="286">
        <v>0.08</v>
      </c>
      <c r="AX33" s="130">
        <f>+AW33*TH_INSTALL</f>
        <v>2.36</v>
      </c>
      <c r="AY33" s="130">
        <f>+AW33*AE33</f>
        <v>18.080000000000002</v>
      </c>
      <c r="AZ33" s="130">
        <f>IF(AQ33&gt;0,(AX33*AE33),0)</f>
        <v>533.36</v>
      </c>
      <c r="BA33" s="285">
        <f>+COEF_FOUR1_INSTALL</f>
        <v>1.3</v>
      </c>
      <c r="BB33" s="286">
        <f>(((42*0.9)*25)*1+450)/25</f>
        <v>55.8</v>
      </c>
      <c r="BC33" s="130">
        <f>IF(AQ33&gt;0,(BB33*AE33),0)</f>
        <v>12610.8</v>
      </c>
      <c r="BD33" s="285">
        <f>+COEF_FOUR2_INSTALL</f>
        <v>1.3</v>
      </c>
      <c r="BE33" s="286">
        <v>0</v>
      </c>
      <c r="BF33" s="130">
        <f>IF(AQ33&gt;0,(BE33*AE33),0)</f>
        <v>0</v>
      </c>
      <c r="BG33" s="285">
        <f>+COEF_FOUR3_INSTALL</f>
        <v>1.3</v>
      </c>
      <c r="BH33" s="286">
        <v>0.4</v>
      </c>
      <c r="BI33" s="130">
        <f>IF(AQ33&gt;0,(BH33*AE33),0)</f>
        <v>90.4</v>
      </c>
      <c r="BJ33" s="287">
        <f>+COEF_MTLLOC_INSTALL</f>
        <v>1.1499999999999999</v>
      </c>
      <c r="BK33" s="286">
        <v>3.5</v>
      </c>
      <c r="BL33" s="130">
        <f>IF(AQ33&gt;0,(BK33*AE33),0)</f>
        <v>791</v>
      </c>
      <c r="BM33" s="287">
        <f>+COEF_MTLAMR_INSTALL</f>
        <v>1.3</v>
      </c>
      <c r="BN33" s="286">
        <v>0</v>
      </c>
      <c r="BO33" s="130">
        <f>IF(AQ33&gt;0,(BN33*AE33),0)</f>
        <v>0</v>
      </c>
      <c r="BP33" s="287">
        <f>+COEF_ST1_INSTALL</f>
        <v>1.1100000000000001</v>
      </c>
      <c r="BQ33" s="286">
        <v>0</v>
      </c>
      <c r="BR33" s="130">
        <f>IF(AQ33&gt;0,(BQ33*AE33),0)</f>
        <v>0</v>
      </c>
      <c r="BS33" s="287">
        <f>+COEF_ST2_INSTALL</f>
        <v>1.1100000000000001</v>
      </c>
      <c r="BT33" s="286">
        <v>0</v>
      </c>
      <c r="BU33" s="130">
        <f>IF(AQ33&gt;0,(BT33*AE33),0)</f>
        <v>0</v>
      </c>
      <c r="BV33" s="130">
        <f t="shared" si="29"/>
        <v>18.092999999999996</v>
      </c>
      <c r="BW33" s="130">
        <f>+BV33*AE33</f>
        <v>4089.0179999999991</v>
      </c>
      <c r="BX33" s="130">
        <f t="shared" si="30"/>
        <v>0</v>
      </c>
      <c r="BY33" s="329"/>
    </row>
    <row r="34" spans="1:99" s="367" customFormat="1" ht="39">
      <c r="A34" s="392"/>
      <c r="B34" s="261"/>
      <c r="C34" s="237"/>
      <c r="D34" s="397"/>
      <c r="E34" s="401"/>
      <c r="F34" s="368" t="s">
        <v>316</v>
      </c>
      <c r="G34" s="17" t="s">
        <v>105</v>
      </c>
      <c r="H34" s="365">
        <f t="shared" si="14"/>
        <v>0</v>
      </c>
      <c r="I34" s="365">
        <f t="shared" si="14"/>
        <v>0</v>
      </c>
      <c r="J34" s="365">
        <f t="shared" si="14"/>
        <v>0</v>
      </c>
      <c r="K34" s="365">
        <f t="shared" si="14"/>
        <v>0</v>
      </c>
      <c r="L34" s="365">
        <f t="shared" si="14"/>
        <v>0</v>
      </c>
      <c r="M34" s="365">
        <f t="shared" si="14"/>
        <v>0</v>
      </c>
      <c r="N34" s="365">
        <f t="shared" si="14"/>
        <v>1</v>
      </c>
      <c r="O34" s="365">
        <f t="shared" si="14"/>
        <v>0</v>
      </c>
      <c r="P34" s="365">
        <f t="shared" si="15"/>
        <v>0</v>
      </c>
      <c r="Q34" s="365">
        <f t="shared" si="15"/>
        <v>0</v>
      </c>
      <c r="R34" s="365"/>
      <c r="S34" s="418">
        <f t="shared" si="16"/>
        <v>1</v>
      </c>
      <c r="T34" s="365">
        <f t="shared" si="17"/>
        <v>0</v>
      </c>
      <c r="U34" s="365">
        <f t="shared" si="18"/>
        <v>0</v>
      </c>
      <c r="V34" s="365">
        <f t="shared" si="19"/>
        <v>0</v>
      </c>
      <c r="W34" s="365">
        <f t="shared" si="20"/>
        <v>0</v>
      </c>
      <c r="X34" s="365">
        <f t="shared" si="21"/>
        <v>0</v>
      </c>
      <c r="Y34" s="365">
        <f t="shared" si="22"/>
        <v>0</v>
      </c>
      <c r="Z34" s="365">
        <f t="shared" si="23"/>
        <v>1</v>
      </c>
      <c r="AA34" s="365">
        <f t="shared" si="24"/>
        <v>0</v>
      </c>
      <c r="AB34" s="365">
        <f t="shared" si="25"/>
        <v>0</v>
      </c>
      <c r="AC34" s="365">
        <f t="shared" si="26"/>
        <v>0</v>
      </c>
      <c r="AD34" s="365"/>
      <c r="AE34" s="112">
        <f>ROUND(SUM(AF34:AO34),ARRONDI_QT)</f>
        <v>1</v>
      </c>
      <c r="AF34" s="366">
        <v>0</v>
      </c>
      <c r="AG34" s="366">
        <v>0</v>
      </c>
      <c r="AH34" s="366">
        <v>0</v>
      </c>
      <c r="AI34" s="366">
        <v>0</v>
      </c>
      <c r="AJ34" s="366">
        <v>0</v>
      </c>
      <c r="AK34" s="366">
        <v>0</v>
      </c>
      <c r="AL34" s="366">
        <v>1</v>
      </c>
      <c r="AM34" s="366">
        <v>0</v>
      </c>
      <c r="AN34" s="366">
        <v>0</v>
      </c>
      <c r="AO34" s="366">
        <v>0</v>
      </c>
      <c r="AP34" s="365"/>
      <c r="AQ34" s="439">
        <f>SUM(H34:Q34)</f>
        <v>1</v>
      </c>
      <c r="AR34" s="439">
        <f>ROUND(AU34+BV34,ARRONDI_PU)</f>
        <v>4810.1850000000004</v>
      </c>
      <c r="AS34" s="440">
        <f t="shared" si="27"/>
        <v>4810.1850000000004</v>
      </c>
      <c r="AT34" s="255"/>
      <c r="AU34" s="130">
        <f t="shared" si="28"/>
        <v>4333.5</v>
      </c>
      <c r="AV34" s="285">
        <f>+COEF_MO_INSTALL</f>
        <v>1.3</v>
      </c>
      <c r="AW34" s="286">
        <v>0</v>
      </c>
      <c r="AX34" s="130">
        <f>+AW34*TH_INSTALL</f>
        <v>0</v>
      </c>
      <c r="AY34" s="130">
        <f>+AW34*AE34</f>
        <v>0</v>
      </c>
      <c r="AZ34" s="130">
        <f>IF(AQ34&gt;0,(AX34*AE34),0)</f>
        <v>0</v>
      </c>
      <c r="BA34" s="285">
        <f>+COEF_FOUR1_INSTALL</f>
        <v>1.3</v>
      </c>
      <c r="BB34" s="286">
        <v>0</v>
      </c>
      <c r="BC34" s="130">
        <f>IF(AQ34&gt;0,(BB34*AE34),0)</f>
        <v>0</v>
      </c>
      <c r="BD34" s="285">
        <f>+COEF_FOUR2_INSTALL</f>
        <v>1.3</v>
      </c>
      <c r="BE34" s="286">
        <v>0</v>
      </c>
      <c r="BF34" s="130">
        <f>IF(AQ34&gt;0,(BE34*AE34),0)</f>
        <v>0</v>
      </c>
      <c r="BG34" s="285">
        <f>+COEF_FOUR3_INSTALL</f>
        <v>1.3</v>
      </c>
      <c r="BH34" s="286">
        <v>0</v>
      </c>
      <c r="BI34" s="130">
        <f>IF(AQ34&gt;0,(BH34*AE34),0)</f>
        <v>0</v>
      </c>
      <c r="BJ34" s="287">
        <f>+COEF_MTLLOC_INSTALL</f>
        <v>1.1499999999999999</v>
      </c>
      <c r="BK34" s="286">
        <v>0</v>
      </c>
      <c r="BL34" s="130">
        <f>IF(AQ34&gt;0,(BK34*AE34),0)</f>
        <v>0</v>
      </c>
      <c r="BM34" s="287">
        <f>+COEF_MTLAMR_INSTALL</f>
        <v>1.3</v>
      </c>
      <c r="BN34" s="286">
        <v>0</v>
      </c>
      <c r="BO34" s="130">
        <f>IF(AQ34&gt;0,(BN34*AE34),0)</f>
        <v>0</v>
      </c>
      <c r="BP34" s="287">
        <f>+COEF_ST1_INSTALL</f>
        <v>1.1100000000000001</v>
      </c>
      <c r="BQ34" s="286">
        <f>3*15*96.3</f>
        <v>4333.5</v>
      </c>
      <c r="BR34" s="130">
        <f>IF(AQ34&gt;0,(BQ34*AE34),0)</f>
        <v>4333.5</v>
      </c>
      <c r="BS34" s="287">
        <f>+COEF_ST2_INSTALL</f>
        <v>1.1100000000000001</v>
      </c>
      <c r="BT34" s="286">
        <v>0</v>
      </c>
      <c r="BU34" s="130">
        <f>IF(AQ34&gt;0,(BT34*AE34),0)</f>
        <v>0</v>
      </c>
      <c r="BV34" s="130">
        <f t="shared" si="29"/>
        <v>476.6850000000004</v>
      </c>
      <c r="BW34" s="130">
        <f>+BV34*AE34</f>
        <v>476.6850000000004</v>
      </c>
      <c r="BX34" s="130">
        <f t="shared" si="30"/>
        <v>0</v>
      </c>
      <c r="BY34" s="329"/>
    </row>
    <row r="35" spans="1:99" s="426" customFormat="1" ht="26.25">
      <c r="B35" s="261"/>
      <c r="C35" s="237"/>
      <c r="D35" s="397"/>
      <c r="E35" s="447" t="s">
        <v>327</v>
      </c>
      <c r="F35" s="446" t="s">
        <v>408</v>
      </c>
      <c r="G35" s="17"/>
      <c r="H35" s="365"/>
      <c r="I35" s="365"/>
      <c r="J35" s="365"/>
      <c r="K35" s="365"/>
      <c r="L35" s="365"/>
      <c r="M35" s="365"/>
      <c r="N35" s="365"/>
      <c r="O35" s="365"/>
      <c r="P35" s="365"/>
      <c r="Q35" s="365"/>
      <c r="R35" s="365"/>
      <c r="S35" s="418"/>
      <c r="T35" s="365"/>
      <c r="U35" s="365"/>
      <c r="V35" s="365"/>
      <c r="W35" s="365"/>
      <c r="X35" s="365"/>
      <c r="Y35" s="365"/>
      <c r="Z35" s="365"/>
      <c r="AA35" s="365"/>
      <c r="AB35" s="365"/>
      <c r="AC35" s="365"/>
      <c r="AD35" s="365"/>
      <c r="AE35" s="112"/>
      <c r="AF35" s="366"/>
      <c r="AG35" s="366"/>
      <c r="AH35" s="366"/>
      <c r="AI35" s="366"/>
      <c r="AJ35" s="366"/>
      <c r="AK35" s="366"/>
      <c r="AL35" s="366"/>
      <c r="AM35" s="366"/>
      <c r="AN35" s="366"/>
      <c r="AO35" s="366"/>
      <c r="AP35" s="365"/>
      <c r="AQ35" s="439"/>
      <c r="AR35" s="439"/>
      <c r="AS35" s="440"/>
      <c r="AT35" s="255"/>
      <c r="AU35" s="130"/>
      <c r="AV35" s="285"/>
      <c r="AW35" s="286"/>
      <c r="AX35" s="130"/>
      <c r="AY35" s="130"/>
      <c r="AZ35" s="130"/>
      <c r="BA35" s="285"/>
      <c r="BB35" s="286"/>
      <c r="BC35" s="130"/>
      <c r="BD35" s="285"/>
      <c r="BE35" s="286"/>
      <c r="BF35" s="130"/>
      <c r="BG35" s="285"/>
      <c r="BH35" s="286"/>
      <c r="BI35" s="130"/>
      <c r="BJ35" s="287"/>
      <c r="BK35" s="286"/>
      <c r="BL35" s="130"/>
      <c r="BM35" s="287"/>
      <c r="BN35" s="286"/>
      <c r="BO35" s="130"/>
      <c r="BP35" s="287"/>
      <c r="BQ35" s="286"/>
      <c r="BR35" s="130"/>
      <c r="BS35" s="287"/>
      <c r="BT35" s="286"/>
      <c r="BU35" s="130"/>
      <c r="BV35" s="130"/>
      <c r="BW35" s="130"/>
      <c r="BX35" s="130"/>
      <c r="BY35" s="329"/>
    </row>
    <row r="36" spans="1:99" s="444" customFormat="1">
      <c r="B36" s="261"/>
      <c r="C36" s="237"/>
      <c r="D36" s="397"/>
      <c r="E36" s="428"/>
      <c r="F36" s="427"/>
      <c r="G36" s="17"/>
      <c r="H36" s="365"/>
      <c r="I36" s="365"/>
      <c r="J36" s="365"/>
      <c r="K36" s="365"/>
      <c r="L36" s="365"/>
      <c r="M36" s="365"/>
      <c r="N36" s="365"/>
      <c r="O36" s="365"/>
      <c r="P36" s="365"/>
      <c r="Q36" s="365"/>
      <c r="R36" s="365"/>
      <c r="S36" s="418"/>
      <c r="T36" s="365"/>
      <c r="U36" s="365"/>
      <c r="V36" s="365"/>
      <c r="W36" s="365"/>
      <c r="X36" s="365"/>
      <c r="Y36" s="365"/>
      <c r="Z36" s="365"/>
      <c r="AA36" s="365"/>
      <c r="AB36" s="365"/>
      <c r="AC36" s="365"/>
      <c r="AD36" s="365"/>
      <c r="AE36" s="112"/>
      <c r="AF36" s="366"/>
      <c r="AG36" s="366"/>
      <c r="AH36" s="366"/>
      <c r="AI36" s="366"/>
      <c r="AJ36" s="366"/>
      <c r="AK36" s="366"/>
      <c r="AL36" s="366"/>
      <c r="AM36" s="366"/>
      <c r="AN36" s="366"/>
      <c r="AO36" s="366"/>
      <c r="AP36" s="365"/>
      <c r="AQ36" s="439"/>
      <c r="AR36" s="439"/>
      <c r="AS36" s="440"/>
      <c r="AT36" s="255"/>
      <c r="AU36" s="130"/>
      <c r="AV36" s="285"/>
      <c r="AW36" s="286"/>
      <c r="AX36" s="130"/>
      <c r="AY36" s="130"/>
      <c r="AZ36" s="130"/>
      <c r="BA36" s="285"/>
      <c r="BB36" s="286"/>
      <c r="BC36" s="130"/>
      <c r="BD36" s="285"/>
      <c r="BE36" s="286"/>
      <c r="BF36" s="130"/>
      <c r="BG36" s="285"/>
      <c r="BH36" s="286"/>
      <c r="BI36" s="130"/>
      <c r="BJ36" s="287"/>
      <c r="BK36" s="286"/>
      <c r="BL36" s="130"/>
      <c r="BM36" s="287"/>
      <c r="BN36" s="286"/>
      <c r="BO36" s="130"/>
      <c r="BP36" s="287"/>
      <c r="BQ36" s="286"/>
      <c r="BR36" s="130"/>
      <c r="BS36" s="287"/>
      <c r="BT36" s="286"/>
      <c r="BU36" s="130"/>
      <c r="BV36" s="130"/>
      <c r="BW36" s="130"/>
      <c r="BX36" s="130"/>
      <c r="BY36" s="329"/>
    </row>
    <row r="37" spans="1:99" s="240" customFormat="1">
      <c r="A37" s="392"/>
      <c r="B37" s="261"/>
      <c r="C37" s="237"/>
      <c r="D37" s="397"/>
      <c r="E37" s="401" t="s">
        <v>150</v>
      </c>
      <c r="F37" s="127" t="s">
        <v>151</v>
      </c>
      <c r="G37" s="17"/>
      <c r="H37" s="365"/>
      <c r="I37" s="365"/>
      <c r="J37" s="365"/>
      <c r="K37" s="365"/>
      <c r="L37" s="365"/>
      <c r="M37" s="365"/>
      <c r="N37" s="365"/>
      <c r="O37" s="365"/>
      <c r="P37" s="365"/>
      <c r="Q37" s="365"/>
      <c r="R37" s="365"/>
      <c r="S37" s="418"/>
      <c r="T37" s="365"/>
      <c r="U37" s="365"/>
      <c r="V37" s="365"/>
      <c r="W37" s="365"/>
      <c r="X37" s="365"/>
      <c r="Y37" s="365"/>
      <c r="Z37" s="365"/>
      <c r="AA37" s="365"/>
      <c r="AB37" s="365"/>
      <c r="AC37" s="365"/>
      <c r="AD37" s="365"/>
      <c r="AE37" s="112"/>
      <c r="AF37" s="366"/>
      <c r="AG37" s="366"/>
      <c r="AH37" s="366"/>
      <c r="AI37" s="366"/>
      <c r="AJ37" s="366"/>
      <c r="AK37" s="366"/>
      <c r="AL37" s="366"/>
      <c r="AM37" s="366"/>
      <c r="AN37" s="366"/>
      <c r="AO37" s="366"/>
      <c r="AP37" s="365"/>
      <c r="AQ37" s="439"/>
      <c r="AR37" s="439"/>
      <c r="AS37" s="440"/>
      <c r="AT37" s="255"/>
      <c r="AU37" s="130"/>
      <c r="AV37" s="285"/>
      <c r="AW37" s="286"/>
      <c r="AX37" s="130"/>
      <c r="AY37" s="130"/>
      <c r="AZ37" s="130"/>
      <c r="BA37" s="285"/>
      <c r="BB37" s="286"/>
      <c r="BC37" s="130"/>
      <c r="BD37" s="285"/>
      <c r="BE37" s="286"/>
      <c r="BF37" s="130"/>
      <c r="BG37" s="285"/>
      <c r="BH37" s="286"/>
      <c r="BI37" s="130"/>
      <c r="BJ37" s="287"/>
      <c r="BK37" s="286"/>
      <c r="BL37" s="130"/>
      <c r="BM37" s="287"/>
      <c r="BN37" s="286"/>
      <c r="BO37" s="130"/>
      <c r="BP37" s="287"/>
      <c r="BQ37" s="286"/>
      <c r="BR37" s="130"/>
      <c r="BS37" s="287"/>
      <c r="BT37" s="286"/>
      <c r="BU37" s="130"/>
      <c r="BV37" s="130"/>
      <c r="BW37" s="130"/>
      <c r="BX37" s="130"/>
      <c r="BY37" s="329"/>
      <c r="BZ37" s="367"/>
      <c r="CA37" s="367"/>
      <c r="CB37" s="367"/>
      <c r="CC37" s="367"/>
      <c r="CD37" s="367"/>
      <c r="CE37" s="367"/>
      <c r="CF37" s="367"/>
      <c r="CG37" s="367"/>
      <c r="CH37" s="367"/>
      <c r="CI37" s="367"/>
      <c r="CJ37" s="367"/>
      <c r="CK37" s="367"/>
      <c r="CL37" s="367"/>
      <c r="CM37" s="367"/>
      <c r="CN37" s="367"/>
      <c r="CO37" s="367"/>
      <c r="CP37" s="367"/>
      <c r="CQ37" s="367"/>
      <c r="CR37" s="367"/>
      <c r="CS37" s="367"/>
      <c r="CT37" s="367"/>
      <c r="CU37" s="367"/>
    </row>
    <row r="38" spans="1:99" s="263" customFormat="1" ht="25.5">
      <c r="B38" s="395"/>
      <c r="C38" s="394"/>
      <c r="D38" s="397"/>
      <c r="E38" s="402" t="s">
        <v>152</v>
      </c>
      <c r="F38" s="369" t="s">
        <v>405</v>
      </c>
      <c r="G38" s="17" t="s">
        <v>26</v>
      </c>
      <c r="H38" s="365">
        <f t="shared" ref="H38:O38" si="31">+T38</f>
        <v>0</v>
      </c>
      <c r="I38" s="365">
        <f t="shared" si="31"/>
        <v>0</v>
      </c>
      <c r="J38" s="365">
        <f t="shared" si="31"/>
        <v>0</v>
      </c>
      <c r="K38" s="365">
        <f t="shared" si="31"/>
        <v>0</v>
      </c>
      <c r="L38" s="365">
        <f t="shared" si="31"/>
        <v>0</v>
      </c>
      <c r="M38" s="365">
        <f t="shared" si="31"/>
        <v>0</v>
      </c>
      <c r="N38" s="365">
        <f t="shared" si="31"/>
        <v>406</v>
      </c>
      <c r="O38" s="365">
        <f t="shared" si="31"/>
        <v>0</v>
      </c>
      <c r="P38" s="365">
        <f t="shared" ref="P38:Q39" si="32">+AB38</f>
        <v>0</v>
      </c>
      <c r="Q38" s="365">
        <f t="shared" si="32"/>
        <v>0</v>
      </c>
      <c r="R38" s="365"/>
      <c r="S38" s="418">
        <f>SUM(T38:AC38)</f>
        <v>406</v>
      </c>
      <c r="T38" s="365">
        <f t="shared" ref="T38:AC38" si="33">ROUND(AF38,ARRONDI_QT)</f>
        <v>0</v>
      </c>
      <c r="U38" s="365">
        <f t="shared" si="33"/>
        <v>0</v>
      </c>
      <c r="V38" s="365">
        <f t="shared" si="33"/>
        <v>0</v>
      </c>
      <c r="W38" s="365">
        <f t="shared" si="33"/>
        <v>0</v>
      </c>
      <c r="X38" s="365">
        <f t="shared" si="33"/>
        <v>0</v>
      </c>
      <c r="Y38" s="365">
        <f t="shared" si="33"/>
        <v>0</v>
      </c>
      <c r="Z38" s="365">
        <f t="shared" si="33"/>
        <v>406</v>
      </c>
      <c r="AA38" s="365">
        <f t="shared" si="33"/>
        <v>0</v>
      </c>
      <c r="AB38" s="365">
        <f t="shared" si="33"/>
        <v>0</v>
      </c>
      <c r="AC38" s="365">
        <f t="shared" si="33"/>
        <v>0</v>
      </c>
      <c r="AD38" s="365"/>
      <c r="AE38" s="112">
        <f>ROUND(SUM(AF38:AO38),ARRONDI_QT)</f>
        <v>406</v>
      </c>
      <c r="AF38" s="366">
        <v>0</v>
      </c>
      <c r="AG38" s="366">
        <v>0</v>
      </c>
      <c r="AH38" s="366">
        <v>0</v>
      </c>
      <c r="AI38" s="366">
        <v>0</v>
      </c>
      <c r="AJ38" s="366">
        <v>0</v>
      </c>
      <c r="AK38" s="366">
        <v>0</v>
      </c>
      <c r="AL38" s="366">
        <f>1353*0.3+0.1</f>
        <v>406</v>
      </c>
      <c r="AM38" s="366">
        <v>0</v>
      </c>
      <c r="AN38" s="366">
        <v>0</v>
      </c>
      <c r="AO38" s="366">
        <v>0</v>
      </c>
      <c r="AP38" s="365"/>
      <c r="AQ38" s="439">
        <f>SUM(H38:Q38)</f>
        <v>406</v>
      </c>
      <c r="AR38" s="439">
        <f>ROUND(AU38+BV38,ARRONDI_PU)</f>
        <v>37.185000000000002</v>
      </c>
      <c r="AS38" s="440">
        <f>+AR38*AQ38</f>
        <v>15097.11</v>
      </c>
      <c r="AT38" s="256"/>
      <c r="AU38" s="130">
        <f>+AX38+BB38+BE38+BH38+BK38+BN38+BQ38+BT38</f>
        <v>33.5</v>
      </c>
      <c r="AV38" s="285">
        <f>+COEF_MO_INSTALL</f>
        <v>1.3</v>
      </c>
      <c r="AW38" s="286">
        <v>0</v>
      </c>
      <c r="AX38" s="130">
        <f>+AW38*TH_INSTALL</f>
        <v>0</v>
      </c>
      <c r="AY38" s="130">
        <f>+AW38*AE38</f>
        <v>0</v>
      </c>
      <c r="AZ38" s="130">
        <f>IF(AQ38&gt;0,(AX38*AE38),0)</f>
        <v>0</v>
      </c>
      <c r="BA38" s="285">
        <f>+COEF_FOUR1_INSTALL</f>
        <v>1.3</v>
      </c>
      <c r="BB38" s="286">
        <v>0</v>
      </c>
      <c r="BC38" s="130">
        <f>IF(AQ38&gt;0,(BB38*AE38),0)</f>
        <v>0</v>
      </c>
      <c r="BD38" s="285">
        <f>+COEF_FOUR2_INSTALL</f>
        <v>1.3</v>
      </c>
      <c r="BE38" s="286">
        <v>0</v>
      </c>
      <c r="BF38" s="130">
        <f>IF(AQ38&gt;0,(BE38*AE38),0)</f>
        <v>0</v>
      </c>
      <c r="BG38" s="285">
        <f>+COEF_FOUR3_INSTALL</f>
        <v>1.3</v>
      </c>
      <c r="BH38" s="286">
        <v>0</v>
      </c>
      <c r="BI38" s="130">
        <f>IF(AQ38&gt;0,(BH38*AE38),0)</f>
        <v>0</v>
      </c>
      <c r="BJ38" s="287">
        <f>+COEF_MTLLOC_INSTALL</f>
        <v>1.1499999999999999</v>
      </c>
      <c r="BK38" s="286">
        <v>0</v>
      </c>
      <c r="BL38" s="130">
        <f>IF(AQ38&gt;0,(BK38*AE38),0)</f>
        <v>0</v>
      </c>
      <c r="BM38" s="287">
        <f>+COEF_MTLAMR_INSTALL</f>
        <v>1.3</v>
      </c>
      <c r="BN38" s="286">
        <v>0</v>
      </c>
      <c r="BO38" s="130">
        <f>IF(AQ38&gt;0,(BN38*AE38),0)</f>
        <v>0</v>
      </c>
      <c r="BP38" s="287">
        <f>+COEF_ST1_INSTALL</f>
        <v>1.1100000000000001</v>
      </c>
      <c r="BQ38" s="286">
        <v>33.5</v>
      </c>
      <c r="BR38" s="130">
        <f>IF(AQ38&gt;0,(BQ38*AE38),0)</f>
        <v>13601</v>
      </c>
      <c r="BS38" s="287">
        <f>+COEF_ST2_INSTALL</f>
        <v>1.1100000000000001</v>
      </c>
      <c r="BT38" s="286">
        <v>0</v>
      </c>
      <c r="BU38" s="130">
        <f>IF(AQ38&gt;0,(BT38*AE38),0)</f>
        <v>0</v>
      </c>
      <c r="BV38" s="130">
        <f>+(((AX38)*AV38)+(BB38*BA38)+(BE38*BD38)+(BH38*BG38)+(BK38*BJ38)+(BN38*BM38)+(BQ38*BP38)+(BT38*BS38)+(BT38*BS38))-(AU38)</f>
        <v>3.6850000000000023</v>
      </c>
      <c r="BW38" s="130">
        <f>+BV38*AE38</f>
        <v>1496.110000000001</v>
      </c>
      <c r="BX38" s="130">
        <f>AS38-(BW38+BU38+BR38+BO38+BL38+BI38+BF38+BC38+AZ38)</f>
        <v>0</v>
      </c>
      <c r="BY38" s="329"/>
    </row>
    <row r="39" spans="1:99" s="240" customFormat="1">
      <c r="A39" s="392"/>
      <c r="B39" s="261"/>
      <c r="C39" s="237"/>
      <c r="D39" s="397"/>
      <c r="E39" s="401" t="s">
        <v>153</v>
      </c>
      <c r="F39" s="127" t="s">
        <v>317</v>
      </c>
      <c r="G39" s="17" t="s">
        <v>26</v>
      </c>
      <c r="H39" s="365"/>
      <c r="I39" s="365"/>
      <c r="J39" s="365"/>
      <c r="K39" s="365"/>
      <c r="L39" s="365"/>
      <c r="M39" s="365"/>
      <c r="N39" s="365"/>
      <c r="O39" s="365"/>
      <c r="P39" s="365">
        <f t="shared" si="32"/>
        <v>0</v>
      </c>
      <c r="Q39" s="365">
        <f t="shared" si="32"/>
        <v>0</v>
      </c>
      <c r="R39" s="365"/>
      <c r="S39" s="418"/>
      <c r="T39" s="365"/>
      <c r="U39" s="365"/>
      <c r="V39" s="365"/>
      <c r="W39" s="365"/>
      <c r="X39" s="365"/>
      <c r="Y39" s="365"/>
      <c r="Z39" s="365"/>
      <c r="AA39" s="365"/>
      <c r="AB39" s="365"/>
      <c r="AC39" s="365"/>
      <c r="AD39" s="365"/>
      <c r="AE39" s="112"/>
      <c r="AF39" s="366"/>
      <c r="AG39" s="366"/>
      <c r="AH39" s="366"/>
      <c r="AI39" s="366"/>
      <c r="AJ39" s="366"/>
      <c r="AK39" s="366"/>
      <c r="AL39" s="445"/>
      <c r="AM39" s="366"/>
      <c r="AN39" s="366"/>
      <c r="AO39" s="366"/>
      <c r="AP39" s="365"/>
      <c r="AQ39" s="116" t="s">
        <v>401</v>
      </c>
      <c r="AR39" s="441" t="str">
        <f>+AQ39</f>
        <v>Compris</v>
      </c>
      <c r="AS39" s="442" t="str">
        <f>+AR39</f>
        <v>Compris</v>
      </c>
      <c r="AT39" s="255"/>
      <c r="AU39" s="130"/>
      <c r="AV39" s="285"/>
      <c r="AW39" s="286"/>
      <c r="AX39" s="130"/>
      <c r="AY39" s="130"/>
      <c r="AZ39" s="130"/>
      <c r="BA39" s="285"/>
      <c r="BB39" s="286"/>
      <c r="BC39" s="130"/>
      <c r="BD39" s="285"/>
      <c r="BE39" s="286"/>
      <c r="BF39" s="130"/>
      <c r="BG39" s="285"/>
      <c r="BH39" s="286"/>
      <c r="BI39" s="130"/>
      <c r="BJ39" s="287"/>
      <c r="BK39" s="286"/>
      <c r="BL39" s="130"/>
      <c r="BM39" s="287"/>
      <c r="BN39" s="286"/>
      <c r="BO39" s="130"/>
      <c r="BP39" s="287"/>
      <c r="BQ39" s="286"/>
      <c r="BR39" s="130"/>
      <c r="BS39" s="287"/>
      <c r="BT39" s="286"/>
      <c r="BU39" s="130"/>
      <c r="BV39" s="130"/>
      <c r="BW39" s="130"/>
      <c r="BX39" s="130"/>
      <c r="BY39" s="329"/>
      <c r="BZ39" s="367"/>
      <c r="CA39" s="367"/>
      <c r="CB39" s="367"/>
      <c r="CC39" s="367"/>
      <c r="CD39" s="367"/>
      <c r="CE39" s="367"/>
      <c r="CF39" s="367"/>
      <c r="CG39" s="367"/>
      <c r="CH39" s="367"/>
      <c r="CI39" s="367"/>
      <c r="CJ39" s="367"/>
      <c r="CK39" s="367"/>
      <c r="CL39" s="367"/>
      <c r="CM39" s="367"/>
      <c r="CN39" s="367"/>
      <c r="CO39" s="367"/>
      <c r="CP39" s="367"/>
      <c r="CQ39" s="367"/>
      <c r="CR39" s="367"/>
      <c r="CS39" s="367"/>
      <c r="CT39" s="367"/>
      <c r="CU39" s="367"/>
    </row>
    <row r="40" spans="1:99" s="240" customFormat="1">
      <c r="A40" s="392"/>
      <c r="B40" s="261"/>
      <c r="C40" s="237"/>
      <c r="D40" s="397"/>
      <c r="E40" s="401"/>
      <c r="F40" s="127"/>
      <c r="G40" s="17"/>
      <c r="H40" s="365"/>
      <c r="I40" s="365"/>
      <c r="J40" s="365"/>
      <c r="K40" s="365"/>
      <c r="L40" s="365"/>
      <c r="M40" s="365"/>
      <c r="N40" s="365"/>
      <c r="O40" s="365"/>
      <c r="P40" s="365"/>
      <c r="Q40" s="365"/>
      <c r="R40" s="365"/>
      <c r="S40" s="418"/>
      <c r="T40" s="365"/>
      <c r="U40" s="365"/>
      <c r="V40" s="365"/>
      <c r="W40" s="365"/>
      <c r="X40" s="365"/>
      <c r="Y40" s="365"/>
      <c r="Z40" s="365"/>
      <c r="AA40" s="365"/>
      <c r="AB40" s="365"/>
      <c r="AC40" s="365"/>
      <c r="AD40" s="365"/>
      <c r="AE40" s="112"/>
      <c r="AF40" s="366"/>
      <c r="AG40" s="366"/>
      <c r="AH40" s="366"/>
      <c r="AI40" s="366"/>
      <c r="AJ40" s="366"/>
      <c r="AK40" s="366"/>
      <c r="AL40" s="366"/>
      <c r="AM40" s="366"/>
      <c r="AN40" s="366"/>
      <c r="AO40" s="366"/>
      <c r="AP40" s="365"/>
      <c r="AQ40" s="439"/>
      <c r="AR40" s="439"/>
      <c r="AS40" s="440"/>
      <c r="AT40" s="255"/>
      <c r="AU40" s="130"/>
      <c r="AV40" s="285"/>
      <c r="AW40" s="286"/>
      <c r="AX40" s="130"/>
      <c r="AY40" s="130"/>
      <c r="AZ40" s="130"/>
      <c r="BA40" s="285"/>
      <c r="BB40" s="286"/>
      <c r="BC40" s="130"/>
      <c r="BD40" s="285"/>
      <c r="BE40" s="286"/>
      <c r="BF40" s="130"/>
      <c r="BG40" s="285"/>
      <c r="BH40" s="286"/>
      <c r="BI40" s="130"/>
      <c r="BJ40" s="287"/>
      <c r="BK40" s="286"/>
      <c r="BL40" s="130"/>
      <c r="BM40" s="287"/>
      <c r="BN40" s="286"/>
      <c r="BO40" s="130"/>
      <c r="BP40" s="287"/>
      <c r="BQ40" s="286"/>
      <c r="BR40" s="130"/>
      <c r="BS40" s="287"/>
      <c r="BT40" s="286"/>
      <c r="BU40" s="130"/>
      <c r="BV40" s="130"/>
      <c r="BW40" s="130"/>
      <c r="BX40" s="130"/>
      <c r="BY40" s="329"/>
      <c r="BZ40" s="367"/>
      <c r="CA40" s="367"/>
      <c r="CB40" s="367"/>
      <c r="CC40" s="367"/>
      <c r="CD40" s="367"/>
      <c r="CE40" s="367"/>
      <c r="CF40" s="367"/>
      <c r="CG40" s="367"/>
      <c r="CH40" s="367"/>
      <c r="CI40" s="367"/>
      <c r="CJ40" s="367"/>
      <c r="CK40" s="367"/>
      <c r="CL40" s="367"/>
      <c r="CM40" s="367"/>
      <c r="CN40" s="367"/>
      <c r="CO40" s="367"/>
      <c r="CP40" s="367"/>
      <c r="CQ40" s="367"/>
      <c r="CR40" s="367"/>
      <c r="CS40" s="367"/>
      <c r="CT40" s="367"/>
      <c r="CU40" s="367"/>
    </row>
    <row r="41" spans="1:99" s="240" customFormat="1">
      <c r="A41" s="392"/>
      <c r="B41" s="261"/>
      <c r="C41" s="237"/>
      <c r="D41" s="397"/>
      <c r="E41" s="401" t="s">
        <v>154</v>
      </c>
      <c r="F41" s="127" t="s">
        <v>155</v>
      </c>
      <c r="G41" s="17" t="s">
        <v>108</v>
      </c>
      <c r="H41" s="365">
        <f t="shared" ref="H41:O41" si="34">+T41</f>
        <v>0</v>
      </c>
      <c r="I41" s="365">
        <f t="shared" si="34"/>
        <v>0</v>
      </c>
      <c r="J41" s="365">
        <f t="shared" si="34"/>
        <v>0</v>
      </c>
      <c r="K41" s="365">
        <f t="shared" si="34"/>
        <v>0</v>
      </c>
      <c r="L41" s="365">
        <f t="shared" si="34"/>
        <v>0</v>
      </c>
      <c r="M41" s="365">
        <f t="shared" si="34"/>
        <v>0</v>
      </c>
      <c r="N41" s="365">
        <f t="shared" si="34"/>
        <v>160</v>
      </c>
      <c r="O41" s="365">
        <f t="shared" si="34"/>
        <v>0</v>
      </c>
      <c r="P41" s="365">
        <f t="shared" ref="P41:Q41" si="35">+AB41</f>
        <v>0</v>
      </c>
      <c r="Q41" s="365">
        <f t="shared" si="35"/>
        <v>0</v>
      </c>
      <c r="R41" s="365"/>
      <c r="S41" s="418">
        <f>SUM(T41:AC41)</f>
        <v>160</v>
      </c>
      <c r="T41" s="365">
        <f t="shared" ref="T41:AC41" si="36">ROUND(AF41,ARRONDI_QT)</f>
        <v>0</v>
      </c>
      <c r="U41" s="365">
        <f t="shared" si="36"/>
        <v>0</v>
      </c>
      <c r="V41" s="365">
        <f t="shared" si="36"/>
        <v>0</v>
      </c>
      <c r="W41" s="365">
        <f t="shared" si="36"/>
        <v>0</v>
      </c>
      <c r="X41" s="365">
        <f t="shared" si="36"/>
        <v>0</v>
      </c>
      <c r="Y41" s="365">
        <f t="shared" si="36"/>
        <v>0</v>
      </c>
      <c r="Z41" s="365">
        <f t="shared" si="36"/>
        <v>160</v>
      </c>
      <c r="AA41" s="365">
        <f t="shared" si="36"/>
        <v>0</v>
      </c>
      <c r="AB41" s="365">
        <f t="shared" si="36"/>
        <v>0</v>
      </c>
      <c r="AC41" s="365">
        <f t="shared" si="36"/>
        <v>0</v>
      </c>
      <c r="AD41" s="365"/>
      <c r="AE41" s="112">
        <f>ROUND(SUM(AF41:AO41),ARRONDI_QT)</f>
        <v>160</v>
      </c>
      <c r="AF41" s="366">
        <v>0</v>
      </c>
      <c r="AG41" s="366">
        <v>0</v>
      </c>
      <c r="AH41" s="366">
        <v>0</v>
      </c>
      <c r="AI41" s="366">
        <v>0</v>
      </c>
      <c r="AJ41" s="366">
        <v>0</v>
      </c>
      <c r="AK41" s="366">
        <v>0</v>
      </c>
      <c r="AL41" s="366">
        <v>160</v>
      </c>
      <c r="AM41" s="366">
        <v>0</v>
      </c>
      <c r="AN41" s="366">
        <v>0</v>
      </c>
      <c r="AO41" s="366">
        <v>0</v>
      </c>
      <c r="AP41" s="365"/>
      <c r="AQ41" s="439">
        <f>SUM(H41:Q41)</f>
        <v>160</v>
      </c>
      <c r="AR41" s="439">
        <f>ROUND(AU41+BV41,ARRONDI_PU)</f>
        <v>15.54</v>
      </c>
      <c r="AS41" s="440">
        <f>+AR41*AQ41</f>
        <v>2486.3999999999996</v>
      </c>
      <c r="AT41" s="255"/>
      <c r="AU41" s="130">
        <f>+AX41+BB41+BE41+BH41+BK41+BN41+BQ41+BT41</f>
        <v>14</v>
      </c>
      <c r="AV41" s="285">
        <f>+COEF_MO_INSTALL</f>
        <v>1.3</v>
      </c>
      <c r="AW41" s="286">
        <v>0</v>
      </c>
      <c r="AX41" s="130">
        <f>+AW41*TH_INSTALL</f>
        <v>0</v>
      </c>
      <c r="AY41" s="130">
        <f>+AW41*AE41</f>
        <v>0</v>
      </c>
      <c r="AZ41" s="130">
        <f>IF(AQ41&gt;0,(AX41*AE41),0)</f>
        <v>0</v>
      </c>
      <c r="BA41" s="285">
        <f>+COEF_FOUR1_INSTALL</f>
        <v>1.3</v>
      </c>
      <c r="BB41" s="286">
        <v>0</v>
      </c>
      <c r="BC41" s="130">
        <f>IF(AQ41&gt;0,(BB41*AE41),0)</f>
        <v>0</v>
      </c>
      <c r="BD41" s="285">
        <f>+COEF_FOUR2_INSTALL</f>
        <v>1.3</v>
      </c>
      <c r="BE41" s="286">
        <v>0</v>
      </c>
      <c r="BF41" s="130">
        <f>IF(AQ41&gt;0,(BE41*AE41),0)</f>
        <v>0</v>
      </c>
      <c r="BG41" s="285">
        <f>+COEF_FOUR3_INSTALL</f>
        <v>1.3</v>
      </c>
      <c r="BH41" s="286">
        <v>0</v>
      </c>
      <c r="BI41" s="130">
        <f>IF(AQ41&gt;0,(BH41*AE41),0)</f>
        <v>0</v>
      </c>
      <c r="BJ41" s="287">
        <f>+COEF_MTLLOC_INSTALL</f>
        <v>1.1499999999999999</v>
      </c>
      <c r="BK41" s="286">
        <v>0</v>
      </c>
      <c r="BL41" s="130">
        <f>IF(AQ41&gt;0,(BK41*AE41),0)</f>
        <v>0</v>
      </c>
      <c r="BM41" s="287">
        <f>+COEF_MTLAMR_INSTALL</f>
        <v>1.3</v>
      </c>
      <c r="BN41" s="286">
        <v>0</v>
      </c>
      <c r="BO41" s="130">
        <f>IF(AQ41&gt;0,(BN41*AE41),0)</f>
        <v>0</v>
      </c>
      <c r="BP41" s="287">
        <f>+COEF_ST1_INSTALL</f>
        <v>1.1100000000000001</v>
      </c>
      <c r="BQ41" s="286">
        <v>14</v>
      </c>
      <c r="BR41" s="130">
        <f>IF(AQ41&gt;0,(BQ41*AE41),0)</f>
        <v>2240</v>
      </c>
      <c r="BS41" s="287">
        <f>+COEF_ST2_INSTALL</f>
        <v>1.1100000000000001</v>
      </c>
      <c r="BT41" s="286">
        <v>0</v>
      </c>
      <c r="BU41" s="130">
        <f>IF(AQ41&gt;0,(BT41*AE41),0)</f>
        <v>0</v>
      </c>
      <c r="BV41" s="130">
        <f>+(((AX41)*AV41)+(BB41*BA41)+(BE41*BD41)+(BH41*BG41)+(BK41*BJ41)+(BN41*BM41)+(BQ41*BP41)+(BT41*BS41)+(BT41*BS41))-(AU41)</f>
        <v>1.5400000000000009</v>
      </c>
      <c r="BW41" s="130">
        <f>+BV41*AE41</f>
        <v>246.40000000000015</v>
      </c>
      <c r="BX41" s="130">
        <f>AS41-(BW41+BU41+BR41+BO41+BL41+BI41+BF41+BC41+AZ41)</f>
        <v>0</v>
      </c>
      <c r="BY41" s="329"/>
      <c r="BZ41" s="367"/>
      <c r="CA41" s="367"/>
      <c r="CB41" s="367"/>
      <c r="CC41" s="367"/>
      <c r="CD41" s="367"/>
      <c r="CE41" s="367"/>
      <c r="CF41" s="367"/>
      <c r="CG41" s="367"/>
      <c r="CH41" s="367"/>
      <c r="CI41" s="367"/>
      <c r="CJ41" s="367"/>
      <c r="CK41" s="367"/>
      <c r="CL41" s="367"/>
      <c r="CM41" s="367"/>
      <c r="CN41" s="367"/>
      <c r="CO41" s="367"/>
      <c r="CP41" s="367"/>
      <c r="CQ41" s="367"/>
      <c r="CR41" s="367"/>
      <c r="CS41" s="367"/>
      <c r="CT41" s="367"/>
      <c r="CU41" s="367"/>
    </row>
    <row r="42" spans="1:99" s="240" customFormat="1">
      <c r="A42" s="392"/>
      <c r="B42" s="261"/>
      <c r="C42" s="237"/>
      <c r="D42" s="397"/>
      <c r="E42" s="401"/>
      <c r="F42" s="127"/>
      <c r="G42" s="17"/>
      <c r="H42" s="365"/>
      <c r="I42" s="365"/>
      <c r="J42" s="365"/>
      <c r="K42" s="365"/>
      <c r="L42" s="365"/>
      <c r="M42" s="365"/>
      <c r="N42" s="365"/>
      <c r="O42" s="365"/>
      <c r="P42" s="365"/>
      <c r="Q42" s="365"/>
      <c r="R42" s="365"/>
      <c r="S42" s="418"/>
      <c r="T42" s="365"/>
      <c r="U42" s="365"/>
      <c r="V42" s="365"/>
      <c r="W42" s="365"/>
      <c r="X42" s="365"/>
      <c r="Y42" s="365"/>
      <c r="Z42" s="365"/>
      <c r="AA42" s="365"/>
      <c r="AB42" s="365"/>
      <c r="AC42" s="365"/>
      <c r="AD42" s="365"/>
      <c r="AE42" s="112"/>
      <c r="AF42" s="366"/>
      <c r="AG42" s="366"/>
      <c r="AH42" s="366"/>
      <c r="AI42" s="366"/>
      <c r="AJ42" s="366"/>
      <c r="AK42" s="366"/>
      <c r="AL42" s="366"/>
      <c r="AM42" s="366"/>
      <c r="AN42" s="366"/>
      <c r="AO42" s="366"/>
      <c r="AP42" s="365"/>
      <c r="AQ42" s="439"/>
      <c r="AR42" s="439"/>
      <c r="AS42" s="440"/>
      <c r="AT42" s="255"/>
      <c r="AU42" s="130"/>
      <c r="AV42" s="285"/>
      <c r="AW42" s="286"/>
      <c r="AX42" s="130"/>
      <c r="AY42" s="130"/>
      <c r="AZ42" s="130"/>
      <c r="BA42" s="285"/>
      <c r="BB42" s="286"/>
      <c r="BC42" s="130"/>
      <c r="BD42" s="285"/>
      <c r="BE42" s="286"/>
      <c r="BF42" s="130"/>
      <c r="BG42" s="285"/>
      <c r="BH42" s="286"/>
      <c r="BI42" s="130"/>
      <c r="BJ42" s="287"/>
      <c r="BK42" s="286"/>
      <c r="BL42" s="130"/>
      <c r="BM42" s="287"/>
      <c r="BN42" s="286"/>
      <c r="BO42" s="130"/>
      <c r="BP42" s="287"/>
      <c r="BQ42" s="286"/>
      <c r="BR42" s="130"/>
      <c r="BS42" s="287"/>
      <c r="BT42" s="286"/>
      <c r="BU42" s="130"/>
      <c r="BV42" s="130"/>
      <c r="BW42" s="130"/>
      <c r="BX42" s="130"/>
      <c r="BY42" s="329"/>
      <c r="BZ42" s="367"/>
      <c r="CA42" s="367"/>
      <c r="CB42" s="367"/>
      <c r="CC42" s="367"/>
      <c r="CD42" s="367"/>
      <c r="CE42" s="367"/>
      <c r="CF42" s="367"/>
      <c r="CG42" s="367"/>
      <c r="CH42" s="367"/>
      <c r="CI42" s="367"/>
      <c r="CJ42" s="367"/>
      <c r="CK42" s="367"/>
      <c r="CL42" s="367"/>
      <c r="CM42" s="367"/>
      <c r="CN42" s="367"/>
      <c r="CO42" s="367"/>
      <c r="CP42" s="367"/>
      <c r="CQ42" s="367"/>
      <c r="CR42" s="367"/>
      <c r="CS42" s="367"/>
      <c r="CT42" s="367"/>
      <c r="CU42" s="367"/>
    </row>
    <row r="43" spans="1:99" s="240" customFormat="1">
      <c r="A43" s="392"/>
      <c r="B43" s="261"/>
      <c r="C43" s="237"/>
      <c r="D43" s="397"/>
      <c r="E43" s="401" t="s">
        <v>156</v>
      </c>
      <c r="F43" s="127" t="s">
        <v>157</v>
      </c>
      <c r="G43" s="17"/>
      <c r="H43" s="365"/>
      <c r="I43" s="365"/>
      <c r="J43" s="365"/>
      <c r="K43" s="365"/>
      <c r="L43" s="365"/>
      <c r="M43" s="365"/>
      <c r="N43" s="365"/>
      <c r="O43" s="365"/>
      <c r="P43" s="365"/>
      <c r="Q43" s="365"/>
      <c r="R43" s="365"/>
      <c r="S43" s="418"/>
      <c r="T43" s="365"/>
      <c r="U43" s="365"/>
      <c r="V43" s="365"/>
      <c r="W43" s="365"/>
      <c r="X43" s="365"/>
      <c r="Y43" s="365"/>
      <c r="Z43" s="365"/>
      <c r="AA43" s="365"/>
      <c r="AB43" s="365"/>
      <c r="AC43" s="365"/>
      <c r="AD43" s="365"/>
      <c r="AE43" s="112"/>
      <c r="AF43" s="366"/>
      <c r="AG43" s="366"/>
      <c r="AH43" s="366"/>
      <c r="AI43" s="366"/>
      <c r="AJ43" s="366"/>
      <c r="AK43" s="366"/>
      <c r="AL43" s="366"/>
      <c r="AM43" s="366"/>
      <c r="AN43" s="366"/>
      <c r="AO43" s="366"/>
      <c r="AP43" s="365"/>
      <c r="AQ43" s="439"/>
      <c r="AR43" s="439"/>
      <c r="AS43" s="440"/>
      <c r="AT43" s="255"/>
      <c r="AU43" s="130"/>
      <c r="AV43" s="285"/>
      <c r="AW43" s="286"/>
      <c r="AX43" s="130"/>
      <c r="AY43" s="130"/>
      <c r="AZ43" s="130"/>
      <c r="BA43" s="285"/>
      <c r="BB43" s="286"/>
      <c r="BC43" s="130"/>
      <c r="BD43" s="285"/>
      <c r="BE43" s="286"/>
      <c r="BF43" s="130"/>
      <c r="BG43" s="285"/>
      <c r="BH43" s="286"/>
      <c r="BI43" s="130"/>
      <c r="BJ43" s="287"/>
      <c r="BK43" s="286"/>
      <c r="BL43" s="130"/>
      <c r="BM43" s="287"/>
      <c r="BN43" s="286"/>
      <c r="BO43" s="130"/>
      <c r="BP43" s="287"/>
      <c r="BQ43" s="286"/>
      <c r="BR43" s="130"/>
      <c r="BS43" s="287"/>
      <c r="BT43" s="286"/>
      <c r="BU43" s="130"/>
      <c r="BV43" s="130"/>
      <c r="BW43" s="130"/>
      <c r="BX43" s="130"/>
      <c r="BY43" s="329"/>
      <c r="BZ43" s="367"/>
      <c r="CA43" s="367"/>
      <c r="CB43" s="367"/>
      <c r="CC43" s="367"/>
      <c r="CD43" s="367"/>
      <c r="CE43" s="367"/>
      <c r="CF43" s="367"/>
      <c r="CG43" s="367"/>
      <c r="CH43" s="367"/>
      <c r="CI43" s="367"/>
      <c r="CJ43" s="367"/>
      <c r="CK43" s="367"/>
      <c r="CL43" s="367"/>
      <c r="CM43" s="367"/>
      <c r="CN43" s="367"/>
      <c r="CO43" s="367"/>
      <c r="CP43" s="367"/>
      <c r="CQ43" s="367"/>
      <c r="CR43" s="367"/>
      <c r="CS43" s="367"/>
      <c r="CT43" s="367"/>
      <c r="CU43" s="367"/>
    </row>
    <row r="44" spans="1:99" s="240" customFormat="1" ht="26.25">
      <c r="A44" s="392"/>
      <c r="B44" s="261"/>
      <c r="C44" s="237"/>
      <c r="D44" s="397"/>
      <c r="E44" s="402" t="s">
        <v>158</v>
      </c>
      <c r="F44" s="368" t="s">
        <v>404</v>
      </c>
      <c r="G44" s="17" t="s">
        <v>26</v>
      </c>
      <c r="H44" s="365">
        <f t="shared" ref="H44:O46" si="37">+T44</f>
        <v>0</v>
      </c>
      <c r="I44" s="365">
        <f t="shared" si="37"/>
        <v>0</v>
      </c>
      <c r="J44" s="365">
        <f t="shared" si="37"/>
        <v>0</v>
      </c>
      <c r="K44" s="365">
        <f t="shared" si="37"/>
        <v>0</v>
      </c>
      <c r="L44" s="365">
        <f t="shared" si="37"/>
        <v>0</v>
      </c>
      <c r="M44" s="365">
        <f t="shared" si="37"/>
        <v>0</v>
      </c>
      <c r="N44" s="365">
        <f t="shared" si="37"/>
        <v>1172</v>
      </c>
      <c r="O44" s="365">
        <f t="shared" si="37"/>
        <v>0</v>
      </c>
      <c r="P44" s="365">
        <f t="shared" ref="P44:Q46" si="38">+AB44</f>
        <v>0</v>
      </c>
      <c r="Q44" s="365">
        <f t="shared" si="38"/>
        <v>0</v>
      </c>
      <c r="R44" s="365"/>
      <c r="S44" s="418">
        <f>SUM(T44:AC44)</f>
        <v>1172</v>
      </c>
      <c r="T44" s="365">
        <f t="shared" ref="T44:AC48" si="39">ROUND(AF44,ARRONDI_QT)</f>
        <v>0</v>
      </c>
      <c r="U44" s="365">
        <f t="shared" si="39"/>
        <v>0</v>
      </c>
      <c r="V44" s="365">
        <f t="shared" si="39"/>
        <v>0</v>
      </c>
      <c r="W44" s="365">
        <f t="shared" si="39"/>
        <v>0</v>
      </c>
      <c r="X44" s="365">
        <f t="shared" si="39"/>
        <v>0</v>
      </c>
      <c r="Y44" s="365">
        <f t="shared" si="39"/>
        <v>0</v>
      </c>
      <c r="Z44" s="365">
        <f t="shared" si="39"/>
        <v>1172</v>
      </c>
      <c r="AA44" s="365">
        <f t="shared" si="39"/>
        <v>0</v>
      </c>
      <c r="AB44" s="365">
        <f t="shared" si="39"/>
        <v>0</v>
      </c>
      <c r="AC44" s="365">
        <f t="shared" si="39"/>
        <v>0</v>
      </c>
      <c r="AD44" s="365"/>
      <c r="AE44" s="112">
        <f>ROUND(SUM(AF44:AO44),ARRONDI_QT)</f>
        <v>1172</v>
      </c>
      <c r="AF44" s="366">
        <v>0</v>
      </c>
      <c r="AG44" s="366">
        <v>0</v>
      </c>
      <c r="AH44" s="366">
        <v>0</v>
      </c>
      <c r="AI44" s="366">
        <v>0</v>
      </c>
      <c r="AJ44" s="366">
        <v>0</v>
      </c>
      <c r="AK44" s="366">
        <v>0</v>
      </c>
      <c r="AL44" s="366">
        <f>ROUND((350*1.3)+(300*1.1)+((1353-300-350)*0.5)*1.1,0)</f>
        <v>1172</v>
      </c>
      <c r="AM44" s="366">
        <v>0</v>
      </c>
      <c r="AN44" s="366">
        <v>0</v>
      </c>
      <c r="AO44" s="366">
        <v>0</v>
      </c>
      <c r="AP44" s="365"/>
      <c r="AQ44" s="439">
        <f>SUM(H44:Q44)</f>
        <v>1172</v>
      </c>
      <c r="AR44" s="439">
        <f>ROUND(AU44+BV44,ARRONDI_PU)</f>
        <v>32.079000000000001</v>
      </c>
      <c r="AS44" s="440">
        <f>+AR44*AQ44</f>
        <v>37596.588000000003</v>
      </c>
      <c r="AT44" s="255"/>
      <c r="AU44" s="130">
        <f>+AX44+BB44+BE44+BH44+BK44+BN44+BQ44+BT44</f>
        <v>28.9</v>
      </c>
      <c r="AV44" s="285">
        <f>+COEF_MO_INSTALL</f>
        <v>1.3</v>
      </c>
      <c r="AW44" s="286">
        <v>0</v>
      </c>
      <c r="AX44" s="130">
        <f>+AW44*TH_INSTALL</f>
        <v>0</v>
      </c>
      <c r="AY44" s="130">
        <f>+AW44*AE44</f>
        <v>0</v>
      </c>
      <c r="AZ44" s="130">
        <f>IF(AQ44&gt;0,(AX44*AE44),0)</f>
        <v>0</v>
      </c>
      <c r="BA44" s="285">
        <f>+COEF_FOUR1_INSTALL</f>
        <v>1.3</v>
      </c>
      <c r="BB44" s="286">
        <v>0</v>
      </c>
      <c r="BC44" s="130">
        <f>IF(AQ44&gt;0,(BB44*AE44),0)</f>
        <v>0</v>
      </c>
      <c r="BD44" s="285">
        <f>+COEF_FOUR2_INSTALL</f>
        <v>1.3</v>
      </c>
      <c r="BE44" s="286">
        <v>0</v>
      </c>
      <c r="BF44" s="130">
        <f>IF(AQ44&gt;0,(BE44*AE44),0)</f>
        <v>0</v>
      </c>
      <c r="BG44" s="285">
        <f>+COEF_FOUR3_INSTALL</f>
        <v>1.3</v>
      </c>
      <c r="BH44" s="286">
        <v>0</v>
      </c>
      <c r="BI44" s="130">
        <f>IF(AQ44&gt;0,(BH44*AE44),0)</f>
        <v>0</v>
      </c>
      <c r="BJ44" s="287">
        <f>+COEF_MTLLOC_INSTALL</f>
        <v>1.1499999999999999</v>
      </c>
      <c r="BK44" s="286">
        <v>0</v>
      </c>
      <c r="BL44" s="130">
        <f>IF(AQ44&gt;0,(BK44*AE44),0)</f>
        <v>0</v>
      </c>
      <c r="BM44" s="287">
        <f>+COEF_MTLAMR_INSTALL</f>
        <v>1.3</v>
      </c>
      <c r="BN44" s="286">
        <v>0</v>
      </c>
      <c r="BO44" s="130">
        <f>IF(AQ44&gt;0,(BN44*AE44),0)</f>
        <v>0</v>
      </c>
      <c r="BP44" s="287">
        <f>+COEF_ST1_INSTALL</f>
        <v>1.1100000000000001</v>
      </c>
      <c r="BQ44" s="286">
        <v>28.9</v>
      </c>
      <c r="BR44" s="130">
        <f>IF(AQ44&gt;0,(BQ44*AE44),0)</f>
        <v>33870.799999999996</v>
      </c>
      <c r="BS44" s="287">
        <f>+COEF_ST2_INSTALL</f>
        <v>1.1100000000000001</v>
      </c>
      <c r="BT44" s="286">
        <v>0</v>
      </c>
      <c r="BU44" s="130">
        <f>IF(AQ44&gt;0,(BT44*AE44),0)</f>
        <v>0</v>
      </c>
      <c r="BV44" s="130">
        <f>+(((AX44)*AV44)+(BB44*BA44)+(BE44*BD44)+(BH44*BG44)+(BK44*BJ44)+(BN44*BM44)+(BQ44*BP44)+(BT44*BS44)+(BT44*BS44))-(AU44)</f>
        <v>3.179000000000002</v>
      </c>
      <c r="BW44" s="130">
        <f>+BV44*AE44</f>
        <v>3725.7880000000023</v>
      </c>
      <c r="BX44" s="130">
        <f>AS44-(BW44+BU44+BR44+BO44+BL44+BI44+BF44+BC44+AZ44)</f>
        <v>0</v>
      </c>
      <c r="BY44" s="329"/>
      <c r="BZ44" s="367"/>
      <c r="CA44" s="367"/>
      <c r="CB44" s="367"/>
      <c r="CC44" s="367"/>
      <c r="CD44" s="367"/>
      <c r="CE44" s="367"/>
      <c r="CF44" s="367"/>
      <c r="CG44" s="367"/>
      <c r="CH44" s="367"/>
      <c r="CI44" s="367"/>
      <c r="CJ44" s="367"/>
      <c r="CK44" s="367"/>
      <c r="CL44" s="367"/>
      <c r="CM44" s="367"/>
      <c r="CN44" s="367"/>
      <c r="CO44" s="367"/>
      <c r="CP44" s="367"/>
      <c r="CQ44" s="367"/>
      <c r="CR44" s="367"/>
      <c r="CS44" s="367"/>
      <c r="CT44" s="367"/>
      <c r="CU44" s="367"/>
    </row>
    <row r="45" spans="1:99" s="240" customFormat="1">
      <c r="A45" s="392"/>
      <c r="B45" s="261"/>
      <c r="C45" s="237"/>
      <c r="D45" s="397"/>
      <c r="E45" s="401" t="s">
        <v>159</v>
      </c>
      <c r="F45" s="127" t="s">
        <v>335</v>
      </c>
      <c r="G45" s="17" t="s">
        <v>108</v>
      </c>
      <c r="H45" s="365">
        <f t="shared" si="37"/>
        <v>0</v>
      </c>
      <c r="I45" s="365">
        <f t="shared" si="37"/>
        <v>0</v>
      </c>
      <c r="J45" s="365">
        <f t="shared" si="37"/>
        <v>0</v>
      </c>
      <c r="K45" s="365">
        <f t="shared" si="37"/>
        <v>0</v>
      </c>
      <c r="L45" s="365">
        <f t="shared" si="37"/>
        <v>0</v>
      </c>
      <c r="M45" s="365">
        <f t="shared" si="37"/>
        <v>0</v>
      </c>
      <c r="N45" s="365">
        <f t="shared" si="37"/>
        <v>1153</v>
      </c>
      <c r="O45" s="365">
        <f t="shared" si="37"/>
        <v>0</v>
      </c>
      <c r="P45" s="365">
        <f t="shared" si="38"/>
        <v>0</v>
      </c>
      <c r="Q45" s="365">
        <f t="shared" si="38"/>
        <v>0</v>
      </c>
      <c r="R45" s="365"/>
      <c r="S45" s="418">
        <f>SUM(T45:AC45)</f>
        <v>1153</v>
      </c>
      <c r="T45" s="365">
        <f t="shared" si="39"/>
        <v>0</v>
      </c>
      <c r="U45" s="365">
        <f t="shared" si="39"/>
        <v>0</v>
      </c>
      <c r="V45" s="365">
        <f t="shared" si="39"/>
        <v>0</v>
      </c>
      <c r="W45" s="365">
        <f t="shared" si="39"/>
        <v>0</v>
      </c>
      <c r="X45" s="365">
        <f t="shared" si="39"/>
        <v>0</v>
      </c>
      <c r="Y45" s="365">
        <f t="shared" si="39"/>
        <v>0</v>
      </c>
      <c r="Z45" s="365">
        <f t="shared" si="39"/>
        <v>1153</v>
      </c>
      <c r="AA45" s="365">
        <f t="shared" si="39"/>
        <v>0</v>
      </c>
      <c r="AB45" s="365">
        <f t="shared" si="39"/>
        <v>0</v>
      </c>
      <c r="AC45" s="365">
        <f t="shared" si="39"/>
        <v>0</v>
      </c>
      <c r="AD45" s="365"/>
      <c r="AE45" s="112">
        <f>ROUND(SUM(AF45:AO45),ARRONDI_QT)</f>
        <v>1153</v>
      </c>
      <c r="AF45" s="366">
        <v>0</v>
      </c>
      <c r="AG45" s="366">
        <v>0</v>
      </c>
      <c r="AH45" s="366">
        <v>0</v>
      </c>
      <c r="AI45" s="366">
        <v>0</v>
      </c>
      <c r="AJ45" s="366">
        <v>0</v>
      </c>
      <c r="AK45" s="366">
        <v>0</v>
      </c>
      <c r="AL45" s="366">
        <f>1153</f>
        <v>1153</v>
      </c>
      <c r="AM45" s="366">
        <v>0</v>
      </c>
      <c r="AN45" s="366">
        <v>0</v>
      </c>
      <c r="AO45" s="366">
        <v>0</v>
      </c>
      <c r="AP45" s="365"/>
      <c r="AQ45" s="439">
        <f>SUM(H45:Q45)</f>
        <v>1153</v>
      </c>
      <c r="AR45" s="439">
        <f>ROUND(AU45+BV45,ARRONDI_PU)</f>
        <v>27.084</v>
      </c>
      <c r="AS45" s="440">
        <f>+AR45*AQ45</f>
        <v>31227.851999999999</v>
      </c>
      <c r="AT45" s="255"/>
      <c r="AU45" s="130">
        <f>+AX45+BB45+BE45+BH45+BK45+BN45+BQ45+BT45</f>
        <v>24.4</v>
      </c>
      <c r="AV45" s="285">
        <f>+COEF_MO_INSTALL</f>
        <v>1.3</v>
      </c>
      <c r="AW45" s="286">
        <v>0</v>
      </c>
      <c r="AX45" s="130">
        <f>+AW45*TH_INSTALL</f>
        <v>0</v>
      </c>
      <c r="AY45" s="130">
        <f>+AW45*AE45</f>
        <v>0</v>
      </c>
      <c r="AZ45" s="130">
        <f>IF(AQ45&gt;0,(AX45*AE45),0)</f>
        <v>0</v>
      </c>
      <c r="BA45" s="285">
        <f>+COEF_FOUR1_INSTALL</f>
        <v>1.3</v>
      </c>
      <c r="BB45" s="286">
        <v>0</v>
      </c>
      <c r="BC45" s="130">
        <f>IF(AQ45&gt;0,(BB45*AE45),0)</f>
        <v>0</v>
      </c>
      <c r="BD45" s="285">
        <f>+COEF_FOUR2_INSTALL</f>
        <v>1.3</v>
      </c>
      <c r="BE45" s="286">
        <v>0</v>
      </c>
      <c r="BF45" s="130">
        <f>IF(AQ45&gt;0,(BE45*AE45),0)</f>
        <v>0</v>
      </c>
      <c r="BG45" s="285">
        <f>+COEF_FOUR3_INSTALL</f>
        <v>1.3</v>
      </c>
      <c r="BH45" s="286">
        <v>0</v>
      </c>
      <c r="BI45" s="130">
        <f>IF(AQ45&gt;0,(BH45*AE45),0)</f>
        <v>0</v>
      </c>
      <c r="BJ45" s="287">
        <f>+COEF_MTLLOC_INSTALL</f>
        <v>1.1499999999999999</v>
      </c>
      <c r="BK45" s="286">
        <v>0</v>
      </c>
      <c r="BL45" s="130">
        <f>IF(AQ45&gt;0,(BK45*AE45),0)</f>
        <v>0</v>
      </c>
      <c r="BM45" s="287">
        <f>+COEF_MTLAMR_INSTALL</f>
        <v>1.3</v>
      </c>
      <c r="BN45" s="286">
        <v>0</v>
      </c>
      <c r="BO45" s="130">
        <f>IF(AQ45&gt;0,(BN45*AE45),0)</f>
        <v>0</v>
      </c>
      <c r="BP45" s="287">
        <f>+COEF_ST1_INSTALL</f>
        <v>1.1100000000000001</v>
      </c>
      <c r="BQ45" s="286">
        <f>3+1.9+19.5</f>
        <v>24.4</v>
      </c>
      <c r="BR45" s="130">
        <f>IF(AQ45&gt;0,(BQ45*AE45),0)</f>
        <v>28133.199999999997</v>
      </c>
      <c r="BS45" s="287">
        <f>+COEF_ST2_INSTALL</f>
        <v>1.1100000000000001</v>
      </c>
      <c r="BT45" s="286">
        <v>0</v>
      </c>
      <c r="BU45" s="130">
        <f>IF(AQ45&gt;0,(BT45*AE45),0)</f>
        <v>0</v>
      </c>
      <c r="BV45" s="130">
        <f>+(((AX45)*AV45)+(BB45*BA45)+(BE45*BD45)+(BH45*BG45)+(BK45*BJ45)+(BN45*BM45)+(BQ45*BP45)+(BT45*BS45)+(BT45*BS45))-(AU45)</f>
        <v>2.6840000000000011</v>
      </c>
      <c r="BW45" s="130">
        <f>+BV45*AE45</f>
        <v>3094.6520000000014</v>
      </c>
      <c r="BX45" s="130">
        <f>AS45-(BW45+BU45+BR45+BO45+BL45+BI45+BF45+BC45+AZ45)</f>
        <v>0</v>
      </c>
      <c r="BY45" s="329"/>
      <c r="BZ45" s="367"/>
      <c r="CA45" s="367"/>
      <c r="CB45" s="367"/>
      <c r="CC45" s="367"/>
      <c r="CD45" s="367"/>
      <c r="CE45" s="367"/>
      <c r="CF45" s="367"/>
      <c r="CG45" s="367"/>
      <c r="CH45" s="367"/>
      <c r="CI45" s="367"/>
      <c r="CJ45" s="367"/>
      <c r="CK45" s="367"/>
      <c r="CL45" s="367"/>
      <c r="CM45" s="367"/>
      <c r="CN45" s="367"/>
      <c r="CO45" s="367"/>
      <c r="CP45" s="367"/>
      <c r="CQ45" s="367"/>
      <c r="CR45" s="367"/>
      <c r="CS45" s="367"/>
      <c r="CT45" s="367"/>
      <c r="CU45" s="367"/>
    </row>
    <row r="46" spans="1:99" s="240" customFormat="1">
      <c r="A46" s="392"/>
      <c r="B46" s="261"/>
      <c r="C46" s="237"/>
      <c r="D46" s="397"/>
      <c r="E46" s="401" t="s">
        <v>160</v>
      </c>
      <c r="F46" s="127" t="s">
        <v>318</v>
      </c>
      <c r="G46" s="17" t="s">
        <v>105</v>
      </c>
      <c r="H46" s="365">
        <f t="shared" si="37"/>
        <v>0</v>
      </c>
      <c r="I46" s="365">
        <f t="shared" si="37"/>
        <v>0</v>
      </c>
      <c r="J46" s="365">
        <f t="shared" si="37"/>
        <v>0</v>
      </c>
      <c r="K46" s="365">
        <f t="shared" si="37"/>
        <v>0</v>
      </c>
      <c r="L46" s="365">
        <f t="shared" si="37"/>
        <v>0</v>
      </c>
      <c r="M46" s="365">
        <f t="shared" si="37"/>
        <v>0</v>
      </c>
      <c r="N46" s="365">
        <f t="shared" si="37"/>
        <v>1</v>
      </c>
      <c r="O46" s="365">
        <f t="shared" si="37"/>
        <v>0</v>
      </c>
      <c r="P46" s="365">
        <f t="shared" si="38"/>
        <v>0</v>
      </c>
      <c r="Q46" s="365">
        <f t="shared" si="38"/>
        <v>0</v>
      </c>
      <c r="R46" s="365"/>
      <c r="S46" s="418">
        <f>SUM(T46:AC46)</f>
        <v>1</v>
      </c>
      <c r="T46" s="365">
        <f t="shared" si="39"/>
        <v>0</v>
      </c>
      <c r="U46" s="365">
        <f t="shared" si="39"/>
        <v>0</v>
      </c>
      <c r="V46" s="365">
        <f t="shared" si="39"/>
        <v>0</v>
      </c>
      <c r="W46" s="365">
        <f t="shared" si="39"/>
        <v>0</v>
      </c>
      <c r="X46" s="365">
        <f t="shared" si="39"/>
        <v>0</v>
      </c>
      <c r="Y46" s="365">
        <f t="shared" si="39"/>
        <v>0</v>
      </c>
      <c r="Z46" s="365">
        <f t="shared" si="39"/>
        <v>1</v>
      </c>
      <c r="AA46" s="365">
        <f t="shared" si="39"/>
        <v>0</v>
      </c>
      <c r="AB46" s="365">
        <f t="shared" si="39"/>
        <v>0</v>
      </c>
      <c r="AC46" s="365">
        <f t="shared" si="39"/>
        <v>0</v>
      </c>
      <c r="AD46" s="365"/>
      <c r="AE46" s="112">
        <f>ROUND(SUM(AF46:AO46),ARRONDI_QT)</f>
        <v>1</v>
      </c>
      <c r="AF46" s="366">
        <v>0</v>
      </c>
      <c r="AG46" s="366">
        <v>0</v>
      </c>
      <c r="AH46" s="366">
        <v>0</v>
      </c>
      <c r="AI46" s="366">
        <v>0</v>
      </c>
      <c r="AJ46" s="366">
        <v>0</v>
      </c>
      <c r="AK46" s="366">
        <v>0</v>
      </c>
      <c r="AL46" s="366">
        <v>1</v>
      </c>
      <c r="AM46" s="366">
        <v>0</v>
      </c>
      <c r="AN46" s="366">
        <v>0</v>
      </c>
      <c r="AO46" s="366">
        <v>0</v>
      </c>
      <c r="AP46" s="365"/>
      <c r="AQ46" s="439">
        <f>SUM(H46:Q46)</f>
        <v>1</v>
      </c>
      <c r="AR46" s="439">
        <f>ROUND(AU46+BV46,ARRONDI_PU)</f>
        <v>5550</v>
      </c>
      <c r="AS46" s="440">
        <f>+AR46*AQ46</f>
        <v>5550</v>
      </c>
      <c r="AT46" s="255"/>
      <c r="AU46" s="130">
        <f>+AX46+BB46+BE46+BH46+BK46+BN46+BQ46+BT46</f>
        <v>5000</v>
      </c>
      <c r="AV46" s="285">
        <f>+COEF_MO_INSTALL</f>
        <v>1.3</v>
      </c>
      <c r="AW46" s="286">
        <v>0</v>
      </c>
      <c r="AX46" s="130">
        <f>+AW46*TH_INSTALL</f>
        <v>0</v>
      </c>
      <c r="AY46" s="130">
        <f>+AW46*AE46</f>
        <v>0</v>
      </c>
      <c r="AZ46" s="130">
        <f>IF(AQ46&gt;0,(AX46*AE46),0)</f>
        <v>0</v>
      </c>
      <c r="BA46" s="285">
        <f>+COEF_FOUR1_INSTALL</f>
        <v>1.3</v>
      </c>
      <c r="BB46" s="286">
        <v>0</v>
      </c>
      <c r="BC46" s="130">
        <f>IF(AQ46&gt;0,(BB46*AE46),0)</f>
        <v>0</v>
      </c>
      <c r="BD46" s="285">
        <f>+COEF_FOUR2_INSTALL</f>
        <v>1.3</v>
      </c>
      <c r="BE46" s="286">
        <v>0</v>
      </c>
      <c r="BF46" s="130">
        <f>IF(AQ46&gt;0,(BE46*AE46),0)</f>
        <v>0</v>
      </c>
      <c r="BG46" s="285">
        <f>+COEF_FOUR3_INSTALL</f>
        <v>1.3</v>
      </c>
      <c r="BH46" s="286">
        <v>0</v>
      </c>
      <c r="BI46" s="130">
        <f>IF(AQ46&gt;0,(BH46*AE46),0)</f>
        <v>0</v>
      </c>
      <c r="BJ46" s="287">
        <f>+COEF_MTLLOC_INSTALL</f>
        <v>1.1499999999999999</v>
      </c>
      <c r="BK46" s="286">
        <v>0</v>
      </c>
      <c r="BL46" s="130">
        <f>IF(AQ46&gt;0,(BK46*AE46),0)</f>
        <v>0</v>
      </c>
      <c r="BM46" s="287">
        <f>+COEF_MTLAMR_INSTALL</f>
        <v>1.3</v>
      </c>
      <c r="BN46" s="286">
        <v>0</v>
      </c>
      <c r="BO46" s="130">
        <f>IF(AQ46&gt;0,(BN46*AE46),0)</f>
        <v>0</v>
      </c>
      <c r="BP46" s="287">
        <f>+COEF_ST1_INSTALL</f>
        <v>1.1100000000000001</v>
      </c>
      <c r="BQ46" s="286">
        <v>5000</v>
      </c>
      <c r="BR46" s="130">
        <f>IF(AQ46&gt;0,(BQ46*AE46),0)</f>
        <v>5000</v>
      </c>
      <c r="BS46" s="287">
        <f>+COEF_ST2_INSTALL</f>
        <v>1.1100000000000001</v>
      </c>
      <c r="BT46" s="286">
        <v>0</v>
      </c>
      <c r="BU46" s="130">
        <f>IF(AQ46&gt;0,(BT46*AE46),0)</f>
        <v>0</v>
      </c>
      <c r="BV46" s="130">
        <f>+(((AX46)*AV46)+(BB46*BA46)+(BE46*BD46)+(BH46*BG46)+(BK46*BJ46)+(BN46*BM46)+(BQ46*BP46)+(BT46*BS46)+(BT46*BS46))-(AU46)</f>
        <v>550.00000000000091</v>
      </c>
      <c r="BW46" s="130">
        <f>+BV46*AE46</f>
        <v>550.00000000000091</v>
      </c>
      <c r="BX46" s="130">
        <f>AS46-(BW46+BU46+BR46+BO46+BL46+BI46+BF46+BC46+AZ46)</f>
        <v>0</v>
      </c>
      <c r="BY46" s="329"/>
      <c r="BZ46" s="367"/>
      <c r="CA46" s="367"/>
      <c r="CB46" s="367"/>
      <c r="CC46" s="367"/>
      <c r="CD46" s="367"/>
      <c r="CE46" s="367"/>
      <c r="CF46" s="367"/>
      <c r="CG46" s="367"/>
      <c r="CH46" s="367"/>
      <c r="CI46" s="367"/>
      <c r="CJ46" s="367"/>
      <c r="CK46" s="367"/>
      <c r="CL46" s="367"/>
      <c r="CM46" s="367"/>
      <c r="CN46" s="367"/>
      <c r="CO46" s="367"/>
      <c r="CP46" s="367"/>
      <c r="CQ46" s="367"/>
      <c r="CR46" s="367"/>
      <c r="CS46" s="367"/>
      <c r="CT46" s="367"/>
      <c r="CU46" s="367"/>
    </row>
    <row r="47" spans="1:99" s="240" customFormat="1">
      <c r="A47" s="392"/>
      <c r="B47" s="261"/>
      <c r="C47" s="237"/>
      <c r="D47" s="397"/>
      <c r="E47" s="401" t="s">
        <v>161</v>
      </c>
      <c r="F47" s="127" t="s">
        <v>177</v>
      </c>
      <c r="G47" s="17" t="s">
        <v>105</v>
      </c>
      <c r="H47" s="365"/>
      <c r="I47" s="365"/>
      <c r="J47" s="365"/>
      <c r="K47" s="365"/>
      <c r="L47" s="365"/>
      <c r="M47" s="365"/>
      <c r="N47" s="365"/>
      <c r="O47" s="365"/>
      <c r="P47" s="365"/>
      <c r="Q47" s="365"/>
      <c r="R47" s="365"/>
      <c r="S47" s="418"/>
      <c r="T47" s="365"/>
      <c r="U47" s="365"/>
      <c r="V47" s="365"/>
      <c r="W47" s="365"/>
      <c r="X47" s="365"/>
      <c r="Y47" s="365"/>
      <c r="Z47" s="365"/>
      <c r="AA47" s="365"/>
      <c r="AB47" s="365"/>
      <c r="AC47" s="365"/>
      <c r="AD47" s="365"/>
      <c r="AE47" s="112"/>
      <c r="AF47" s="366"/>
      <c r="AG47" s="366"/>
      <c r="AH47" s="366"/>
      <c r="AI47" s="366"/>
      <c r="AJ47" s="366"/>
      <c r="AK47" s="366"/>
      <c r="AL47" s="366"/>
      <c r="AM47" s="366"/>
      <c r="AN47" s="366"/>
      <c r="AO47" s="366"/>
      <c r="AP47" s="365"/>
      <c r="AQ47" s="441" t="s">
        <v>319</v>
      </c>
      <c r="AR47" s="441" t="str">
        <f>+AQ47</f>
        <v>Pm</v>
      </c>
      <c r="AS47" s="442" t="str">
        <f>+AR47</f>
        <v>Pm</v>
      </c>
      <c r="AT47" s="255"/>
      <c r="AU47" s="130"/>
      <c r="AV47" s="285"/>
      <c r="AW47" s="286"/>
      <c r="AX47" s="130"/>
      <c r="AY47" s="130"/>
      <c r="AZ47" s="130"/>
      <c r="BA47" s="285"/>
      <c r="BB47" s="286"/>
      <c r="BC47" s="130"/>
      <c r="BD47" s="285"/>
      <c r="BE47" s="286"/>
      <c r="BF47" s="130"/>
      <c r="BG47" s="285"/>
      <c r="BH47" s="286"/>
      <c r="BI47" s="130"/>
      <c r="BJ47" s="287"/>
      <c r="BK47" s="286"/>
      <c r="BL47" s="130"/>
      <c r="BM47" s="287"/>
      <c r="BN47" s="286"/>
      <c r="BO47" s="130"/>
      <c r="BP47" s="287"/>
      <c r="BQ47" s="286"/>
      <c r="BR47" s="130"/>
      <c r="BS47" s="287"/>
      <c r="BT47" s="286"/>
      <c r="BU47" s="130"/>
      <c r="BV47" s="130"/>
      <c r="BW47" s="130"/>
      <c r="BX47" s="130"/>
      <c r="BY47" s="329"/>
      <c r="BZ47" s="367"/>
      <c r="CA47" s="367"/>
      <c r="CB47" s="367"/>
      <c r="CC47" s="367"/>
      <c r="CD47" s="367"/>
      <c r="CE47" s="367"/>
      <c r="CF47" s="367"/>
      <c r="CG47" s="367"/>
      <c r="CH47" s="367"/>
      <c r="CI47" s="367"/>
      <c r="CJ47" s="367"/>
      <c r="CK47" s="367"/>
      <c r="CL47" s="367"/>
      <c r="CM47" s="367"/>
      <c r="CN47" s="367"/>
      <c r="CO47" s="367"/>
      <c r="CP47" s="367"/>
      <c r="CQ47" s="367"/>
      <c r="CR47" s="367"/>
      <c r="CS47" s="367"/>
      <c r="CT47" s="367"/>
      <c r="CU47" s="367"/>
    </row>
    <row r="48" spans="1:99" s="240" customFormat="1">
      <c r="A48" s="392"/>
      <c r="B48" s="261"/>
      <c r="C48" s="237"/>
      <c r="D48" s="397"/>
      <c r="E48" s="401" t="s">
        <v>162</v>
      </c>
      <c r="F48" s="127" t="s">
        <v>320</v>
      </c>
      <c r="G48" s="17" t="s">
        <v>105</v>
      </c>
      <c r="H48" s="365">
        <f t="shared" ref="H48:O48" si="40">+T48</f>
        <v>0</v>
      </c>
      <c r="I48" s="365">
        <f t="shared" si="40"/>
        <v>0</v>
      </c>
      <c r="J48" s="365">
        <f t="shared" si="40"/>
        <v>0</v>
      </c>
      <c r="K48" s="365">
        <f t="shared" si="40"/>
        <v>0</v>
      </c>
      <c r="L48" s="365">
        <f t="shared" si="40"/>
        <v>0</v>
      </c>
      <c r="M48" s="365">
        <f t="shared" si="40"/>
        <v>0</v>
      </c>
      <c r="N48" s="365">
        <f t="shared" si="40"/>
        <v>1</v>
      </c>
      <c r="O48" s="365">
        <f t="shared" si="40"/>
        <v>0</v>
      </c>
      <c r="P48" s="365">
        <f t="shared" ref="P48:Q48" si="41">+AB48</f>
        <v>0</v>
      </c>
      <c r="Q48" s="365">
        <f t="shared" si="41"/>
        <v>0</v>
      </c>
      <c r="R48" s="365"/>
      <c r="S48" s="418">
        <f>SUM(T48:AC48)</f>
        <v>1</v>
      </c>
      <c r="T48" s="365">
        <f t="shared" si="39"/>
        <v>0</v>
      </c>
      <c r="U48" s="365">
        <f t="shared" si="39"/>
        <v>0</v>
      </c>
      <c r="V48" s="365">
        <f t="shared" si="39"/>
        <v>0</v>
      </c>
      <c r="W48" s="365">
        <f t="shared" si="39"/>
        <v>0</v>
      </c>
      <c r="X48" s="365">
        <f t="shared" si="39"/>
        <v>0</v>
      </c>
      <c r="Y48" s="365">
        <f t="shared" si="39"/>
        <v>0</v>
      </c>
      <c r="Z48" s="365">
        <f t="shared" si="39"/>
        <v>1</v>
      </c>
      <c r="AA48" s="365">
        <f t="shared" si="39"/>
        <v>0</v>
      </c>
      <c r="AB48" s="365">
        <f t="shared" si="39"/>
        <v>0</v>
      </c>
      <c r="AC48" s="365">
        <f t="shared" si="39"/>
        <v>0</v>
      </c>
      <c r="AD48" s="365"/>
      <c r="AE48" s="112">
        <f>ROUND(SUM(AF48:AO48),ARRONDI_QT)</f>
        <v>1</v>
      </c>
      <c r="AF48" s="366">
        <v>0</v>
      </c>
      <c r="AG48" s="366">
        <v>0</v>
      </c>
      <c r="AH48" s="366">
        <v>0</v>
      </c>
      <c r="AI48" s="366">
        <v>0</v>
      </c>
      <c r="AJ48" s="366">
        <v>0</v>
      </c>
      <c r="AK48" s="366">
        <v>0</v>
      </c>
      <c r="AL48" s="366">
        <v>1</v>
      </c>
      <c r="AM48" s="366">
        <v>0</v>
      </c>
      <c r="AN48" s="366">
        <v>0</v>
      </c>
      <c r="AO48" s="366">
        <v>0</v>
      </c>
      <c r="AP48" s="365"/>
      <c r="AQ48" s="439">
        <f>SUM(H48:Q48)</f>
        <v>1</v>
      </c>
      <c r="AR48" s="439">
        <f>ROUND(AU48+BV48,ARRONDI_PU)</f>
        <v>1665</v>
      </c>
      <c r="AS48" s="440">
        <f>+AR48*AQ48</f>
        <v>1665</v>
      </c>
      <c r="AT48" s="255"/>
      <c r="AU48" s="130">
        <f>+AX48+BB48+BE48+BH48+BK48+BN48+BQ48+BT48</f>
        <v>1500</v>
      </c>
      <c r="AV48" s="285">
        <f>+COEF_MO_INSTALL</f>
        <v>1.3</v>
      </c>
      <c r="AW48" s="286">
        <v>0</v>
      </c>
      <c r="AX48" s="130">
        <f>+AW48*TH_INSTALL</f>
        <v>0</v>
      </c>
      <c r="AY48" s="130">
        <f>+AW48*AE48</f>
        <v>0</v>
      </c>
      <c r="AZ48" s="130">
        <f>IF(AQ48&gt;0,(AX48*AE48),0)</f>
        <v>0</v>
      </c>
      <c r="BA48" s="285">
        <f>+COEF_FOUR1_INSTALL</f>
        <v>1.3</v>
      </c>
      <c r="BB48" s="286">
        <v>0</v>
      </c>
      <c r="BC48" s="130">
        <f>IF(AQ48&gt;0,(BB48*AE48),0)</f>
        <v>0</v>
      </c>
      <c r="BD48" s="285">
        <f>+COEF_FOUR2_INSTALL</f>
        <v>1.3</v>
      </c>
      <c r="BE48" s="286">
        <v>0</v>
      </c>
      <c r="BF48" s="130">
        <f>IF(AQ48&gt;0,(BE48*AE48),0)</f>
        <v>0</v>
      </c>
      <c r="BG48" s="285">
        <f>+COEF_FOUR3_INSTALL</f>
        <v>1.3</v>
      </c>
      <c r="BH48" s="286">
        <v>0</v>
      </c>
      <c r="BI48" s="130">
        <f>IF(AQ48&gt;0,(BH48*AE48),0)</f>
        <v>0</v>
      </c>
      <c r="BJ48" s="287">
        <f>+COEF_MTLLOC_INSTALL</f>
        <v>1.1499999999999999</v>
      </c>
      <c r="BK48" s="286">
        <v>0</v>
      </c>
      <c r="BL48" s="130">
        <f>IF(AQ48&gt;0,(BK48*AE48),0)</f>
        <v>0</v>
      </c>
      <c r="BM48" s="287">
        <f>+COEF_MTLAMR_INSTALL</f>
        <v>1.3</v>
      </c>
      <c r="BN48" s="286">
        <v>0</v>
      </c>
      <c r="BO48" s="130">
        <f>IF(AQ48&gt;0,(BN48*AE48),0)</f>
        <v>0</v>
      </c>
      <c r="BP48" s="287">
        <f>+COEF_ST1_INSTALL</f>
        <v>1.1100000000000001</v>
      </c>
      <c r="BQ48" s="286">
        <v>1500</v>
      </c>
      <c r="BR48" s="130">
        <f>IF(AQ48&gt;0,(BQ48*AE48),0)</f>
        <v>1500</v>
      </c>
      <c r="BS48" s="287">
        <f>+COEF_ST2_INSTALL</f>
        <v>1.1100000000000001</v>
      </c>
      <c r="BT48" s="286">
        <v>0</v>
      </c>
      <c r="BU48" s="130">
        <f>IF(AQ48&gt;0,(BT48*AE48),0)</f>
        <v>0</v>
      </c>
      <c r="BV48" s="130">
        <f>+(((AX48)*AV48)+(BB48*BA48)+(BE48*BD48)+(BH48*BG48)+(BK48*BJ48)+(BN48*BM48)+(BQ48*BP48)+(BT48*BS48)+(BT48*BS48))-(AU48)</f>
        <v>165.00000000000023</v>
      </c>
      <c r="BW48" s="130">
        <f>+BV48*AE48</f>
        <v>165.00000000000023</v>
      </c>
      <c r="BX48" s="130">
        <f>AS48-(BW48+BU48+BR48+BO48+BL48+BI48+BF48+BC48+AZ48)</f>
        <v>0</v>
      </c>
      <c r="BY48" s="329"/>
      <c r="BZ48" s="367"/>
      <c r="CA48" s="367"/>
      <c r="CB48" s="367"/>
      <c r="CC48" s="367"/>
      <c r="CD48" s="367"/>
      <c r="CE48" s="367"/>
      <c r="CF48" s="367"/>
      <c r="CG48" s="367"/>
      <c r="CH48" s="367"/>
      <c r="CI48" s="367"/>
      <c r="CJ48" s="367"/>
      <c r="CK48" s="367"/>
      <c r="CL48" s="367"/>
      <c r="CM48" s="367"/>
      <c r="CN48" s="367"/>
      <c r="CO48" s="367"/>
      <c r="CP48" s="367"/>
      <c r="CQ48" s="367"/>
      <c r="CR48" s="367"/>
      <c r="CS48" s="367"/>
      <c r="CT48" s="367"/>
      <c r="CU48" s="367"/>
    </row>
    <row r="49" spans="1:99" s="327" customFormat="1">
      <c r="A49" s="392"/>
      <c r="B49" s="261"/>
      <c r="C49" s="237"/>
      <c r="D49" s="397"/>
      <c r="E49" s="401"/>
      <c r="F49" s="127"/>
      <c r="G49" s="17"/>
      <c r="H49" s="365"/>
      <c r="I49" s="365"/>
      <c r="J49" s="365"/>
      <c r="K49" s="365"/>
      <c r="L49" s="365"/>
      <c r="M49" s="365"/>
      <c r="N49" s="365"/>
      <c r="O49" s="365"/>
      <c r="P49" s="365"/>
      <c r="Q49" s="365"/>
      <c r="R49" s="365"/>
      <c r="S49" s="418"/>
      <c r="T49" s="365"/>
      <c r="U49" s="365"/>
      <c r="V49" s="365"/>
      <c r="W49" s="365"/>
      <c r="X49" s="365"/>
      <c r="Y49" s="365"/>
      <c r="Z49" s="365"/>
      <c r="AA49" s="365"/>
      <c r="AB49" s="365"/>
      <c r="AC49" s="365"/>
      <c r="AD49" s="365"/>
      <c r="AE49" s="112"/>
      <c r="AF49" s="366"/>
      <c r="AG49" s="366"/>
      <c r="AH49" s="366"/>
      <c r="AI49" s="366"/>
      <c r="AJ49" s="366"/>
      <c r="AK49" s="366"/>
      <c r="AL49" s="366"/>
      <c r="AM49" s="366"/>
      <c r="AN49" s="366"/>
      <c r="AO49" s="366"/>
      <c r="AP49" s="365"/>
      <c r="AQ49" s="439"/>
      <c r="AR49" s="439"/>
      <c r="AS49" s="440"/>
      <c r="AT49" s="255"/>
      <c r="AU49" s="130"/>
      <c r="AV49" s="285"/>
      <c r="AW49" s="286"/>
      <c r="AX49" s="130"/>
      <c r="AY49" s="130"/>
      <c r="AZ49" s="130"/>
      <c r="BA49" s="285"/>
      <c r="BB49" s="286"/>
      <c r="BC49" s="130"/>
      <c r="BD49" s="285"/>
      <c r="BE49" s="286"/>
      <c r="BF49" s="130"/>
      <c r="BG49" s="285"/>
      <c r="BH49" s="286"/>
      <c r="BI49" s="130"/>
      <c r="BJ49" s="287"/>
      <c r="BK49" s="286"/>
      <c r="BL49" s="130"/>
      <c r="BM49" s="287"/>
      <c r="BN49" s="286"/>
      <c r="BO49" s="130"/>
      <c r="BP49" s="287"/>
      <c r="BQ49" s="286"/>
      <c r="BR49" s="130"/>
      <c r="BS49" s="287"/>
      <c r="BT49" s="286"/>
      <c r="BU49" s="130"/>
      <c r="BV49" s="130"/>
      <c r="BW49" s="130"/>
      <c r="BX49" s="130"/>
      <c r="BY49" s="329"/>
      <c r="BZ49" s="367"/>
      <c r="CA49" s="367"/>
      <c r="CB49" s="367"/>
      <c r="CC49" s="367"/>
      <c r="CD49" s="367"/>
      <c r="CE49" s="367"/>
      <c r="CF49" s="367"/>
      <c r="CG49" s="367"/>
      <c r="CH49" s="367"/>
      <c r="CI49" s="367"/>
      <c r="CJ49" s="367"/>
      <c r="CK49" s="367"/>
      <c r="CL49" s="367"/>
      <c r="CM49" s="367"/>
      <c r="CN49" s="367"/>
      <c r="CO49" s="367"/>
      <c r="CP49" s="367"/>
      <c r="CQ49" s="367"/>
      <c r="CR49" s="367"/>
      <c r="CS49" s="367"/>
      <c r="CT49" s="367"/>
      <c r="CU49" s="367"/>
    </row>
    <row r="50" spans="1:99" s="240" customFormat="1">
      <c r="A50" s="392"/>
      <c r="B50" s="261"/>
      <c r="C50" s="237"/>
      <c r="D50" s="397"/>
      <c r="E50" s="401" t="s">
        <v>163</v>
      </c>
      <c r="F50" s="127" t="s">
        <v>164</v>
      </c>
      <c r="G50" s="17"/>
      <c r="H50" s="365"/>
      <c r="I50" s="365"/>
      <c r="J50" s="365"/>
      <c r="K50" s="365"/>
      <c r="L50" s="365"/>
      <c r="M50" s="365"/>
      <c r="N50" s="365"/>
      <c r="O50" s="365"/>
      <c r="P50" s="365"/>
      <c r="Q50" s="365"/>
      <c r="R50" s="365"/>
      <c r="S50" s="418"/>
      <c r="T50" s="365"/>
      <c r="U50" s="365"/>
      <c r="V50" s="365"/>
      <c r="W50" s="365"/>
      <c r="X50" s="365"/>
      <c r="Y50" s="365"/>
      <c r="Z50" s="365"/>
      <c r="AA50" s="365"/>
      <c r="AB50" s="365"/>
      <c r="AC50" s="365"/>
      <c r="AD50" s="365"/>
      <c r="AE50" s="112"/>
      <c r="AF50" s="366"/>
      <c r="AG50" s="366"/>
      <c r="AH50" s="366"/>
      <c r="AI50" s="366"/>
      <c r="AJ50" s="366"/>
      <c r="AK50" s="366"/>
      <c r="AL50" s="366"/>
      <c r="AM50" s="366"/>
      <c r="AN50" s="366"/>
      <c r="AO50" s="366"/>
      <c r="AP50" s="365"/>
      <c r="AQ50" s="439"/>
      <c r="AR50" s="439"/>
      <c r="AS50" s="440"/>
      <c r="AT50" s="255"/>
      <c r="AU50" s="130"/>
      <c r="AV50" s="285"/>
      <c r="AW50" s="286"/>
      <c r="AX50" s="130"/>
      <c r="AY50" s="130"/>
      <c r="AZ50" s="130"/>
      <c r="BA50" s="285"/>
      <c r="BB50" s="286"/>
      <c r="BC50" s="130"/>
      <c r="BD50" s="285"/>
      <c r="BE50" s="286"/>
      <c r="BF50" s="130"/>
      <c r="BG50" s="285"/>
      <c r="BH50" s="286"/>
      <c r="BI50" s="130"/>
      <c r="BJ50" s="287"/>
      <c r="BK50" s="286"/>
      <c r="BL50" s="130"/>
      <c r="BM50" s="287"/>
      <c r="BN50" s="286"/>
      <c r="BO50" s="130"/>
      <c r="BP50" s="287"/>
      <c r="BQ50" s="286"/>
      <c r="BR50" s="130"/>
      <c r="BS50" s="287"/>
      <c r="BT50" s="286"/>
      <c r="BU50" s="130"/>
      <c r="BV50" s="130"/>
      <c r="BW50" s="130"/>
      <c r="BX50" s="130"/>
      <c r="BY50" s="329"/>
      <c r="BZ50" s="367"/>
      <c r="CA50" s="367"/>
      <c r="CB50" s="367"/>
      <c r="CC50" s="367"/>
      <c r="CD50" s="367"/>
      <c r="CE50" s="367"/>
      <c r="CF50" s="367"/>
      <c r="CG50" s="367"/>
      <c r="CH50" s="367"/>
      <c r="CI50" s="367"/>
      <c r="CJ50" s="367"/>
      <c r="CK50" s="367"/>
      <c r="CL50" s="367"/>
      <c r="CM50" s="367"/>
      <c r="CN50" s="367"/>
      <c r="CO50" s="367"/>
      <c r="CP50" s="367"/>
      <c r="CQ50" s="367"/>
      <c r="CR50" s="367"/>
      <c r="CS50" s="367"/>
      <c r="CT50" s="367"/>
      <c r="CU50" s="367"/>
    </row>
    <row r="51" spans="1:99" s="240" customFormat="1" ht="26.25">
      <c r="A51" s="392"/>
      <c r="B51" s="261"/>
      <c r="C51" s="237"/>
      <c r="D51" s="397"/>
      <c r="E51" s="402" t="s">
        <v>165</v>
      </c>
      <c r="F51" s="368" t="s">
        <v>321</v>
      </c>
      <c r="G51" s="17" t="s">
        <v>26</v>
      </c>
      <c r="H51" s="365">
        <f t="shared" ref="H51:O51" si="42">+T51</f>
        <v>0</v>
      </c>
      <c r="I51" s="365">
        <f t="shared" si="42"/>
        <v>0</v>
      </c>
      <c r="J51" s="365">
        <f t="shared" si="42"/>
        <v>0</v>
      </c>
      <c r="K51" s="365">
        <f t="shared" si="42"/>
        <v>0</v>
      </c>
      <c r="L51" s="365">
        <f t="shared" si="42"/>
        <v>0</v>
      </c>
      <c r="M51" s="365">
        <f t="shared" si="42"/>
        <v>0</v>
      </c>
      <c r="N51" s="365">
        <f t="shared" si="42"/>
        <v>2325</v>
      </c>
      <c r="O51" s="365">
        <f t="shared" si="42"/>
        <v>0</v>
      </c>
      <c r="P51" s="365">
        <f t="shared" ref="P51:Q51" si="43">+AB51</f>
        <v>0</v>
      </c>
      <c r="Q51" s="365">
        <f t="shared" si="43"/>
        <v>0</v>
      </c>
      <c r="R51" s="365"/>
      <c r="S51" s="418">
        <f>SUM(T51:AC51)</f>
        <v>2325</v>
      </c>
      <c r="T51" s="365">
        <f t="shared" ref="T51:AC51" si="44">ROUND(AF51,ARRONDI_QT)</f>
        <v>0</v>
      </c>
      <c r="U51" s="365">
        <f t="shared" si="44"/>
        <v>0</v>
      </c>
      <c r="V51" s="365">
        <f t="shared" si="44"/>
        <v>0</v>
      </c>
      <c r="W51" s="365">
        <f t="shared" si="44"/>
        <v>0</v>
      </c>
      <c r="X51" s="365">
        <f t="shared" si="44"/>
        <v>0</v>
      </c>
      <c r="Y51" s="365">
        <f t="shared" si="44"/>
        <v>0</v>
      </c>
      <c r="Z51" s="365">
        <f t="shared" si="44"/>
        <v>2325</v>
      </c>
      <c r="AA51" s="365">
        <f t="shared" si="44"/>
        <v>0</v>
      </c>
      <c r="AB51" s="365">
        <f t="shared" si="44"/>
        <v>0</v>
      </c>
      <c r="AC51" s="365">
        <f t="shared" si="44"/>
        <v>0</v>
      </c>
      <c r="AD51" s="365"/>
      <c r="AE51" s="112">
        <f>ROUND(SUM(AF51:AO51),ARRONDI_QT)</f>
        <v>2325</v>
      </c>
      <c r="AF51" s="366">
        <v>0</v>
      </c>
      <c r="AG51" s="366">
        <v>0</v>
      </c>
      <c r="AH51" s="366">
        <v>0</v>
      </c>
      <c r="AI51" s="366">
        <v>0</v>
      </c>
      <c r="AJ51" s="366">
        <v>0</v>
      </c>
      <c r="AK51" s="366">
        <v>0</v>
      </c>
      <c r="AL51" s="366">
        <f>695+180+805+730-85</f>
        <v>2325</v>
      </c>
      <c r="AM51" s="366">
        <v>0</v>
      </c>
      <c r="AN51" s="366">
        <v>0</v>
      </c>
      <c r="AO51" s="366">
        <v>0</v>
      </c>
      <c r="AP51" s="365"/>
      <c r="AQ51" s="439">
        <f>SUM(H51:Q51)</f>
        <v>2325</v>
      </c>
      <c r="AR51" s="439">
        <f>ROUND(AU51+BV51,ARRONDI_PU)</f>
        <v>27.75</v>
      </c>
      <c r="AS51" s="440">
        <f>+AR51*AQ51</f>
        <v>64518.75</v>
      </c>
      <c r="AT51" s="255"/>
      <c r="AU51" s="130">
        <f>+AX51+BB51+BE51+BH51+BK51+BN51+BQ51+BT51</f>
        <v>25</v>
      </c>
      <c r="AV51" s="285">
        <f>+COEF_MO_INSTALL</f>
        <v>1.3</v>
      </c>
      <c r="AW51" s="286">
        <v>0</v>
      </c>
      <c r="AX51" s="130">
        <f>+AW51*TH_INSTALL</f>
        <v>0</v>
      </c>
      <c r="AY51" s="130">
        <f>+AW51*AE51</f>
        <v>0</v>
      </c>
      <c r="AZ51" s="130">
        <f>IF(AQ51&gt;0,(AX51*AE51),0)</f>
        <v>0</v>
      </c>
      <c r="BA51" s="285">
        <f>+COEF_FOUR1_INSTALL</f>
        <v>1.3</v>
      </c>
      <c r="BB51" s="286">
        <v>0</v>
      </c>
      <c r="BC51" s="130">
        <f>IF(AQ51&gt;0,(BB51*AE51),0)</f>
        <v>0</v>
      </c>
      <c r="BD51" s="285">
        <f>+COEF_FOUR2_INSTALL</f>
        <v>1.3</v>
      </c>
      <c r="BE51" s="286">
        <v>0</v>
      </c>
      <c r="BF51" s="130">
        <f>IF(AQ51&gt;0,(BE51*AE51),0)</f>
        <v>0</v>
      </c>
      <c r="BG51" s="285">
        <f>+COEF_FOUR3_INSTALL</f>
        <v>1.3</v>
      </c>
      <c r="BH51" s="286">
        <v>0</v>
      </c>
      <c r="BI51" s="130">
        <f>IF(AQ51&gt;0,(BH51*AE51),0)</f>
        <v>0</v>
      </c>
      <c r="BJ51" s="287">
        <f>+COEF_MTLLOC_INSTALL</f>
        <v>1.1499999999999999</v>
      </c>
      <c r="BK51" s="286">
        <v>0</v>
      </c>
      <c r="BL51" s="130">
        <f>IF(AQ51&gt;0,(BK51*AE51),0)</f>
        <v>0</v>
      </c>
      <c r="BM51" s="287">
        <f>+COEF_MTLAMR_INSTALL</f>
        <v>1.3</v>
      </c>
      <c r="BN51" s="286">
        <v>0</v>
      </c>
      <c r="BO51" s="130">
        <f>IF(AQ51&gt;0,(BN51*AE51),0)</f>
        <v>0</v>
      </c>
      <c r="BP51" s="287">
        <f>+COEF_ST1_INSTALL</f>
        <v>1.1100000000000001</v>
      </c>
      <c r="BQ51" s="286">
        <v>25</v>
      </c>
      <c r="BR51" s="130">
        <f>IF(AQ51&gt;0,(BQ51*AE51),0)</f>
        <v>58125</v>
      </c>
      <c r="BS51" s="287">
        <f>+COEF_ST2_INSTALL</f>
        <v>1.1100000000000001</v>
      </c>
      <c r="BT51" s="286">
        <v>0</v>
      </c>
      <c r="BU51" s="130">
        <f>IF(AQ51&gt;0,(BT51*AE51),0)</f>
        <v>0</v>
      </c>
      <c r="BV51" s="130">
        <f>+(((AX51)*AV51)+(BB51*BA51)+(BE51*BD51)+(BH51*BG51)+(BK51*BJ51)+(BN51*BM51)+(BQ51*BP51)+(BT51*BS51)+(BT51*BS51))-(AU51)</f>
        <v>2.7500000000000036</v>
      </c>
      <c r="BW51" s="130">
        <f>+BV51*AE51</f>
        <v>6393.7500000000082</v>
      </c>
      <c r="BX51" s="130">
        <f>AS51-(BW51+BU51+BR51+BO51+BL51+BI51+BF51+BC51+AZ51)</f>
        <v>0</v>
      </c>
      <c r="BY51" s="329"/>
      <c r="BZ51" s="367"/>
      <c r="CA51" s="367"/>
      <c r="CB51" s="367"/>
      <c r="CC51" s="367"/>
      <c r="CD51" s="367"/>
      <c r="CE51" s="367"/>
      <c r="CF51" s="367"/>
      <c r="CG51" s="367"/>
      <c r="CH51" s="367"/>
      <c r="CI51" s="367"/>
      <c r="CJ51" s="367"/>
      <c r="CK51" s="367"/>
      <c r="CL51" s="367"/>
      <c r="CM51" s="367"/>
      <c r="CN51" s="367"/>
      <c r="CO51" s="367"/>
      <c r="CP51" s="367"/>
      <c r="CQ51" s="367"/>
      <c r="CR51" s="367"/>
      <c r="CS51" s="367"/>
      <c r="CT51" s="367"/>
      <c r="CU51" s="367"/>
    </row>
    <row r="52" spans="1:99" s="443" customFormat="1" ht="26.25">
      <c r="B52" s="261"/>
      <c r="C52" s="237"/>
      <c r="D52" s="397"/>
      <c r="E52" s="402"/>
      <c r="F52" s="368" t="s">
        <v>406</v>
      </c>
      <c r="G52" s="17" t="s">
        <v>26</v>
      </c>
      <c r="H52" s="365">
        <f t="shared" ref="H52" si="45">+T52</f>
        <v>0</v>
      </c>
      <c r="I52" s="365">
        <f t="shared" ref="I52" si="46">+U52</f>
        <v>0</v>
      </c>
      <c r="J52" s="365">
        <f t="shared" ref="J52" si="47">+V52</f>
        <v>0</v>
      </c>
      <c r="K52" s="365">
        <f t="shared" ref="K52" si="48">+W52</f>
        <v>0</v>
      </c>
      <c r="L52" s="365">
        <f t="shared" ref="L52" si="49">+X52</f>
        <v>0</v>
      </c>
      <c r="M52" s="365">
        <f t="shared" ref="M52" si="50">+Y52</f>
        <v>0</v>
      </c>
      <c r="N52" s="365">
        <f t="shared" ref="N52" si="51">+Z52</f>
        <v>85</v>
      </c>
      <c r="O52" s="365">
        <f t="shared" ref="O52" si="52">+AA52</f>
        <v>0</v>
      </c>
      <c r="P52" s="365">
        <f t="shared" ref="P52" si="53">+AB52</f>
        <v>0</v>
      </c>
      <c r="Q52" s="365">
        <f t="shared" ref="Q52" si="54">+AC52</f>
        <v>0</v>
      </c>
      <c r="R52" s="365"/>
      <c r="S52" s="418">
        <f>SUM(T52:AC52)</f>
        <v>85</v>
      </c>
      <c r="T52" s="365">
        <f t="shared" ref="T52" si="55">ROUND(AF52,ARRONDI_QT)</f>
        <v>0</v>
      </c>
      <c r="U52" s="365">
        <f t="shared" ref="U52" si="56">ROUND(AG52,ARRONDI_QT)</f>
        <v>0</v>
      </c>
      <c r="V52" s="365">
        <f t="shared" ref="V52" si="57">ROUND(AH52,ARRONDI_QT)</f>
        <v>0</v>
      </c>
      <c r="W52" s="365">
        <f t="shared" ref="W52" si="58">ROUND(AI52,ARRONDI_QT)</f>
        <v>0</v>
      </c>
      <c r="X52" s="365">
        <f t="shared" ref="X52" si="59">ROUND(AJ52,ARRONDI_QT)</f>
        <v>0</v>
      </c>
      <c r="Y52" s="365">
        <f t="shared" ref="Y52" si="60">ROUND(AK52,ARRONDI_QT)</f>
        <v>0</v>
      </c>
      <c r="Z52" s="365">
        <f t="shared" ref="Z52" si="61">ROUND(AL52,ARRONDI_QT)</f>
        <v>85</v>
      </c>
      <c r="AA52" s="365">
        <f t="shared" ref="AA52" si="62">ROUND(AM52,ARRONDI_QT)</f>
        <v>0</v>
      </c>
      <c r="AB52" s="365">
        <f t="shared" ref="AB52" si="63">ROUND(AN52,ARRONDI_QT)</f>
        <v>0</v>
      </c>
      <c r="AC52" s="365">
        <f t="shared" ref="AC52" si="64">ROUND(AO52,ARRONDI_QT)</f>
        <v>0</v>
      </c>
      <c r="AD52" s="365"/>
      <c r="AE52" s="112">
        <f>ROUND(SUM(AF52:AO52),ARRONDI_QT)</f>
        <v>85</v>
      </c>
      <c r="AF52" s="366">
        <v>0</v>
      </c>
      <c r="AG52" s="366">
        <v>0</v>
      </c>
      <c r="AH52" s="366">
        <v>0</v>
      </c>
      <c r="AI52" s="366">
        <v>0</v>
      </c>
      <c r="AJ52" s="366">
        <v>0</v>
      </c>
      <c r="AK52" s="366">
        <v>0</v>
      </c>
      <c r="AL52" s="366">
        <v>85</v>
      </c>
      <c r="AM52" s="366">
        <v>0</v>
      </c>
      <c r="AN52" s="366">
        <v>0</v>
      </c>
      <c r="AO52" s="366">
        <v>0</v>
      </c>
      <c r="AP52" s="365"/>
      <c r="AQ52" s="439">
        <f>SUM(H52:Q52)</f>
        <v>85</v>
      </c>
      <c r="AR52" s="439">
        <f>ROUND(AU52+BV52,ARRONDI_PU)</f>
        <v>17.760000000000002</v>
      </c>
      <c r="AS52" s="440">
        <f>+AR52*AQ52</f>
        <v>1509.6000000000001</v>
      </c>
      <c r="AT52" s="255"/>
      <c r="AU52" s="130">
        <f>+AX52+BB52+BE52+BH52+BK52+BN52+BQ52+BT52</f>
        <v>16</v>
      </c>
      <c r="AV52" s="285">
        <f>+COEF_MO_INSTALL</f>
        <v>1.3</v>
      </c>
      <c r="AW52" s="286">
        <v>0</v>
      </c>
      <c r="AX52" s="130">
        <f>+AW52*TH_INSTALL</f>
        <v>0</v>
      </c>
      <c r="AY52" s="130">
        <f>+AW52*AE52</f>
        <v>0</v>
      </c>
      <c r="AZ52" s="130">
        <f>IF(AQ52&gt;0,(AX52*AE52),0)</f>
        <v>0</v>
      </c>
      <c r="BA52" s="285">
        <f>+COEF_FOUR1_INSTALL</f>
        <v>1.3</v>
      </c>
      <c r="BB52" s="286">
        <v>0</v>
      </c>
      <c r="BC52" s="130">
        <f>IF(AQ52&gt;0,(BB52*AE52),0)</f>
        <v>0</v>
      </c>
      <c r="BD52" s="285">
        <f>+COEF_FOUR2_INSTALL</f>
        <v>1.3</v>
      </c>
      <c r="BE52" s="286">
        <v>0</v>
      </c>
      <c r="BF52" s="130">
        <f>IF(AQ52&gt;0,(BE52*AE52),0)</f>
        <v>0</v>
      </c>
      <c r="BG52" s="285">
        <f>+COEF_FOUR3_INSTALL</f>
        <v>1.3</v>
      </c>
      <c r="BH52" s="286">
        <v>0</v>
      </c>
      <c r="BI52" s="130">
        <f>IF(AQ52&gt;0,(BH52*AE52),0)</f>
        <v>0</v>
      </c>
      <c r="BJ52" s="287">
        <f>+COEF_MTLLOC_INSTALL</f>
        <v>1.1499999999999999</v>
      </c>
      <c r="BK52" s="286">
        <v>0</v>
      </c>
      <c r="BL52" s="130">
        <f>IF(AQ52&gt;0,(BK52*AE52),0)</f>
        <v>0</v>
      </c>
      <c r="BM52" s="287">
        <f>+COEF_MTLAMR_INSTALL</f>
        <v>1.3</v>
      </c>
      <c r="BN52" s="286">
        <v>0</v>
      </c>
      <c r="BO52" s="130">
        <f>IF(AQ52&gt;0,(BN52*AE52),0)</f>
        <v>0</v>
      </c>
      <c r="BP52" s="287">
        <f>+COEF_ST1_INSTALL</f>
        <v>1.1100000000000001</v>
      </c>
      <c r="BQ52" s="286">
        <v>16</v>
      </c>
      <c r="BR52" s="130">
        <f>IF(AQ52&gt;0,(BQ52*AE52),0)</f>
        <v>1360</v>
      </c>
      <c r="BS52" s="287">
        <f>+COEF_ST2_INSTALL</f>
        <v>1.1100000000000001</v>
      </c>
      <c r="BT52" s="286">
        <v>0</v>
      </c>
      <c r="BU52" s="130">
        <f>IF(AQ52&gt;0,(BT52*AE52),0)</f>
        <v>0</v>
      </c>
      <c r="BV52" s="130">
        <f>+(((AX52)*AV52)+(BB52*BA52)+(BE52*BD52)+(BH52*BG52)+(BK52*BJ52)+(BN52*BM52)+(BQ52*BP52)+(BT52*BS52)+(BT52*BS52))-(AU52)</f>
        <v>1.7600000000000016</v>
      </c>
      <c r="BW52" s="130">
        <f>+BV52*AE52</f>
        <v>149.60000000000014</v>
      </c>
      <c r="BX52" s="130">
        <f>AS52-(BW52+BU52+BR52+BO52+BL52+BI52+BF52+BC52+AZ52)</f>
        <v>0</v>
      </c>
      <c r="BY52" s="329"/>
    </row>
    <row r="53" spans="1:99" s="367" customFormat="1">
      <c r="A53" s="392"/>
      <c r="B53" s="261"/>
      <c r="C53" s="237"/>
      <c r="D53" s="397"/>
      <c r="E53" s="401" t="s">
        <v>166</v>
      </c>
      <c r="F53" s="127" t="s">
        <v>324</v>
      </c>
      <c r="G53" s="17"/>
      <c r="H53" s="365"/>
      <c r="I53" s="365"/>
      <c r="J53" s="365"/>
      <c r="K53" s="365"/>
      <c r="L53" s="365"/>
      <c r="M53" s="365"/>
      <c r="N53" s="365"/>
      <c r="O53" s="365"/>
      <c r="P53" s="365"/>
      <c r="Q53" s="365"/>
      <c r="R53" s="365"/>
      <c r="S53" s="418"/>
      <c r="T53" s="365"/>
      <c r="U53" s="365"/>
      <c r="V53" s="365"/>
      <c r="W53" s="365"/>
      <c r="X53" s="365"/>
      <c r="Y53" s="365"/>
      <c r="Z53" s="365"/>
      <c r="AA53" s="365"/>
      <c r="AB53" s="365"/>
      <c r="AC53" s="365"/>
      <c r="AD53" s="365"/>
      <c r="AE53" s="112"/>
      <c r="AF53" s="366"/>
      <c r="AG53" s="366"/>
      <c r="AH53" s="366"/>
      <c r="AI53" s="366"/>
      <c r="AJ53" s="366"/>
      <c r="AK53" s="366"/>
      <c r="AL53" s="366"/>
      <c r="AM53" s="366"/>
      <c r="AN53" s="366"/>
      <c r="AO53" s="366"/>
      <c r="AP53" s="365"/>
      <c r="AQ53" s="439"/>
      <c r="AR53" s="439"/>
      <c r="AS53" s="440"/>
      <c r="AT53" s="255"/>
      <c r="AU53" s="130"/>
      <c r="AV53" s="285"/>
      <c r="AW53" s="286"/>
      <c r="AX53" s="130"/>
      <c r="AY53" s="130"/>
      <c r="AZ53" s="130"/>
      <c r="BA53" s="285"/>
      <c r="BB53" s="286"/>
      <c r="BC53" s="130"/>
      <c r="BD53" s="285"/>
      <c r="BE53" s="286"/>
      <c r="BF53" s="130"/>
      <c r="BG53" s="285"/>
      <c r="BH53" s="286"/>
      <c r="BI53" s="130"/>
      <c r="BJ53" s="287"/>
      <c r="BK53" s="286"/>
      <c r="BL53" s="130"/>
      <c r="BM53" s="287"/>
      <c r="BN53" s="286"/>
      <c r="BO53" s="130"/>
      <c r="BP53" s="287"/>
      <c r="BQ53" s="286"/>
      <c r="BR53" s="130"/>
      <c r="BS53" s="287"/>
      <c r="BT53" s="286"/>
      <c r="BU53" s="130"/>
      <c r="BV53" s="130"/>
      <c r="BW53" s="130"/>
      <c r="BX53" s="130"/>
      <c r="BY53" s="329"/>
      <c r="BZ53" s="392"/>
      <c r="CA53" s="392"/>
      <c r="CB53" s="392"/>
      <c r="CC53" s="392"/>
      <c r="CD53" s="392"/>
      <c r="CE53" s="392"/>
      <c r="CF53" s="392"/>
    </row>
    <row r="54" spans="1:99" s="240" customFormat="1">
      <c r="A54" s="392"/>
      <c r="B54" s="261"/>
      <c r="C54" s="237"/>
      <c r="D54" s="397"/>
      <c r="E54" s="401"/>
      <c r="F54" s="127" t="s">
        <v>322</v>
      </c>
      <c r="G54" s="17" t="s">
        <v>108</v>
      </c>
      <c r="H54" s="365">
        <f t="shared" ref="H54:O55" si="65">+T54</f>
        <v>0</v>
      </c>
      <c r="I54" s="365">
        <f t="shared" si="65"/>
        <v>0</v>
      </c>
      <c r="J54" s="365">
        <f t="shared" si="65"/>
        <v>0</v>
      </c>
      <c r="K54" s="365">
        <f t="shared" si="65"/>
        <v>0</v>
      </c>
      <c r="L54" s="365">
        <f t="shared" si="65"/>
        <v>0</v>
      </c>
      <c r="M54" s="365">
        <f t="shared" si="65"/>
        <v>0</v>
      </c>
      <c r="N54" s="365">
        <f t="shared" si="65"/>
        <v>208</v>
      </c>
      <c r="O54" s="365">
        <f t="shared" si="65"/>
        <v>0</v>
      </c>
      <c r="P54" s="365">
        <f t="shared" ref="P54:Q55" si="66">+AB54</f>
        <v>0</v>
      </c>
      <c r="Q54" s="365">
        <f t="shared" si="66"/>
        <v>0</v>
      </c>
      <c r="R54" s="365"/>
      <c r="S54" s="418">
        <f>SUM(T54:AC54)</f>
        <v>208</v>
      </c>
      <c r="T54" s="365">
        <f t="shared" ref="T54:AC55" si="67">ROUND(AF54,ARRONDI_QT)</f>
        <v>0</v>
      </c>
      <c r="U54" s="365">
        <f t="shared" ref="U54" si="68">ROUND(AG54,ARRONDI_QT)</f>
        <v>0</v>
      </c>
      <c r="V54" s="365">
        <f t="shared" ref="V54" si="69">ROUND(AH54,ARRONDI_QT)</f>
        <v>0</v>
      </c>
      <c r="W54" s="365">
        <f t="shared" ref="W54" si="70">ROUND(AI54,ARRONDI_QT)</f>
        <v>0</v>
      </c>
      <c r="X54" s="365">
        <f t="shared" ref="X54" si="71">ROUND(AJ54,ARRONDI_QT)</f>
        <v>0</v>
      </c>
      <c r="Y54" s="365">
        <f t="shared" ref="Y54" si="72">ROUND(AK54,ARRONDI_QT)</f>
        <v>0</v>
      </c>
      <c r="Z54" s="365">
        <f t="shared" ref="Z54" si="73">ROUND(AL54,ARRONDI_QT)</f>
        <v>208</v>
      </c>
      <c r="AA54" s="365">
        <f t="shared" ref="AA54" si="74">ROUND(AM54,ARRONDI_QT)</f>
        <v>0</v>
      </c>
      <c r="AB54" s="365">
        <f t="shared" ref="AB54" si="75">ROUND(AN54,ARRONDI_QT)</f>
        <v>0</v>
      </c>
      <c r="AC54" s="365">
        <f t="shared" ref="AC54" si="76">ROUND(AO54,ARRONDI_QT)</f>
        <v>0</v>
      </c>
      <c r="AD54" s="365"/>
      <c r="AE54" s="112">
        <f>ROUND(SUM(AF54:AO54),ARRONDI_QT)</f>
        <v>208</v>
      </c>
      <c r="AF54" s="366">
        <v>0</v>
      </c>
      <c r="AG54" s="366">
        <v>0</v>
      </c>
      <c r="AH54" s="366">
        <v>0</v>
      </c>
      <c r="AI54" s="366">
        <v>0</v>
      </c>
      <c r="AJ54" s="366">
        <v>0</v>
      </c>
      <c r="AK54" s="366">
        <v>0</v>
      </c>
      <c r="AL54" s="366">
        <f>200*0.8*1.3</f>
        <v>208</v>
      </c>
      <c r="AM54" s="366">
        <v>0</v>
      </c>
      <c r="AN54" s="366">
        <v>0</v>
      </c>
      <c r="AO54" s="366">
        <v>0</v>
      </c>
      <c r="AP54" s="365"/>
      <c r="AQ54" s="439">
        <f>SUM(H54:Q54)</f>
        <v>208</v>
      </c>
      <c r="AR54" s="439">
        <f>ROUND(AU54+BV54,ARRONDI_PU)</f>
        <v>27.75</v>
      </c>
      <c r="AS54" s="440">
        <f>+AR54*AQ54</f>
        <v>5772</v>
      </c>
      <c r="AT54" s="255"/>
      <c r="AU54" s="130">
        <f>+AX54+BB54+BE54+BH54+BK54+BN54+BQ54+BT54</f>
        <v>25</v>
      </c>
      <c r="AV54" s="285">
        <f>+COEF_MO_INSTALL</f>
        <v>1.3</v>
      </c>
      <c r="AW54" s="286">
        <v>0</v>
      </c>
      <c r="AX54" s="130">
        <f>+AW54*TH_INSTALL</f>
        <v>0</v>
      </c>
      <c r="AY54" s="130">
        <f>+AW54*AE54</f>
        <v>0</v>
      </c>
      <c r="AZ54" s="130">
        <f>IF(AQ54&gt;0,(AX54*AE54),0)</f>
        <v>0</v>
      </c>
      <c r="BA54" s="285">
        <f>+COEF_FOUR1_INSTALL</f>
        <v>1.3</v>
      </c>
      <c r="BB54" s="286">
        <v>0</v>
      </c>
      <c r="BC54" s="130">
        <f>IF(AQ54&gt;0,(BB54*AE54),0)</f>
        <v>0</v>
      </c>
      <c r="BD54" s="285">
        <f>+COEF_FOUR2_INSTALL</f>
        <v>1.3</v>
      </c>
      <c r="BE54" s="286">
        <v>0</v>
      </c>
      <c r="BF54" s="130">
        <f>IF(AQ54&gt;0,(BE54*AE54),0)</f>
        <v>0</v>
      </c>
      <c r="BG54" s="285">
        <f>+COEF_FOUR3_INSTALL</f>
        <v>1.3</v>
      </c>
      <c r="BH54" s="286">
        <v>0</v>
      </c>
      <c r="BI54" s="130">
        <f>IF(AQ54&gt;0,(BH54*AE54),0)</f>
        <v>0</v>
      </c>
      <c r="BJ54" s="287">
        <f>+COEF_MTLLOC_INSTALL</f>
        <v>1.1499999999999999</v>
      </c>
      <c r="BK54" s="286">
        <v>0</v>
      </c>
      <c r="BL54" s="130">
        <f>IF(AQ54&gt;0,(BK54*AE54),0)</f>
        <v>0</v>
      </c>
      <c r="BM54" s="287">
        <f>+COEF_MTLAMR_INSTALL</f>
        <v>1.3</v>
      </c>
      <c r="BN54" s="286">
        <v>0</v>
      </c>
      <c r="BO54" s="130">
        <f>IF(AQ54&gt;0,(BN54*AE54),0)</f>
        <v>0</v>
      </c>
      <c r="BP54" s="287">
        <f>+COEF_ST1_INSTALL</f>
        <v>1.1100000000000001</v>
      </c>
      <c r="BQ54" s="286">
        <v>25</v>
      </c>
      <c r="BR54" s="130">
        <f>IF(AQ54&gt;0,(BQ54*AE54),0)</f>
        <v>5200</v>
      </c>
      <c r="BS54" s="287">
        <f>+COEF_ST2_INSTALL</f>
        <v>1.1100000000000001</v>
      </c>
      <c r="BT54" s="286">
        <v>0</v>
      </c>
      <c r="BU54" s="130">
        <f>IF(AQ54&gt;0,(BT54*AE54),0)</f>
        <v>0</v>
      </c>
      <c r="BV54" s="130">
        <f>+(((AX54)*AV54)+(BB54*BA54)+(BE54*BD54)+(BH54*BG54)+(BK54*BJ54)+(BN54*BM54)+(BQ54*BP54)+(BT54*BS54)+(BT54*BS54))-(AU54)</f>
        <v>2.7500000000000036</v>
      </c>
      <c r="BW54" s="130">
        <f>+BV54*AE54</f>
        <v>572.00000000000068</v>
      </c>
      <c r="BX54" s="130">
        <f>AS54-(BW54+BU54+BR54+BO54+BL54+BI54+BF54+BC54+AZ54)</f>
        <v>0</v>
      </c>
      <c r="BY54" s="329"/>
      <c r="BZ54" s="367"/>
      <c r="CA54" s="367"/>
      <c r="CB54" s="367"/>
      <c r="CC54" s="367"/>
      <c r="CD54" s="367"/>
      <c r="CE54" s="367"/>
      <c r="CF54" s="367"/>
      <c r="CG54" s="367"/>
      <c r="CH54" s="367"/>
      <c r="CI54" s="367"/>
      <c r="CJ54" s="367"/>
      <c r="CK54" s="367"/>
      <c r="CL54" s="367"/>
      <c r="CM54" s="367"/>
      <c r="CN54" s="367"/>
      <c r="CO54" s="367"/>
      <c r="CP54" s="367"/>
      <c r="CQ54" s="367"/>
      <c r="CR54" s="367"/>
      <c r="CS54" s="367"/>
      <c r="CT54" s="367"/>
      <c r="CU54" s="367"/>
    </row>
    <row r="55" spans="1:99" s="367" customFormat="1">
      <c r="A55" s="392"/>
      <c r="B55" s="261"/>
      <c r="C55" s="237"/>
      <c r="D55" s="397"/>
      <c r="E55" s="401"/>
      <c r="F55" s="127" t="s">
        <v>323</v>
      </c>
      <c r="G55" s="17" t="s">
        <v>26</v>
      </c>
      <c r="H55" s="365">
        <f t="shared" si="65"/>
        <v>0</v>
      </c>
      <c r="I55" s="365">
        <f t="shared" si="65"/>
        <v>0</v>
      </c>
      <c r="J55" s="365">
        <f t="shared" si="65"/>
        <v>0</v>
      </c>
      <c r="K55" s="365">
        <f t="shared" si="65"/>
        <v>0</v>
      </c>
      <c r="L55" s="365">
        <f t="shared" si="65"/>
        <v>0</v>
      </c>
      <c r="M55" s="365">
        <f t="shared" si="65"/>
        <v>0</v>
      </c>
      <c r="N55" s="365">
        <f t="shared" si="65"/>
        <v>154</v>
      </c>
      <c r="O55" s="365">
        <f t="shared" si="65"/>
        <v>0</v>
      </c>
      <c r="P55" s="365">
        <f t="shared" si="66"/>
        <v>0</v>
      </c>
      <c r="Q55" s="365">
        <f t="shared" si="66"/>
        <v>0</v>
      </c>
      <c r="R55" s="365"/>
      <c r="S55" s="418">
        <f>SUM(T55:AC55)</f>
        <v>154</v>
      </c>
      <c r="T55" s="365">
        <f t="shared" si="67"/>
        <v>0</v>
      </c>
      <c r="U55" s="365">
        <f t="shared" si="67"/>
        <v>0</v>
      </c>
      <c r="V55" s="365">
        <f t="shared" si="67"/>
        <v>0</v>
      </c>
      <c r="W55" s="365">
        <f t="shared" si="67"/>
        <v>0</v>
      </c>
      <c r="X55" s="365">
        <f t="shared" si="67"/>
        <v>0</v>
      </c>
      <c r="Y55" s="365">
        <f t="shared" si="67"/>
        <v>0</v>
      </c>
      <c r="Z55" s="365">
        <f t="shared" si="67"/>
        <v>154</v>
      </c>
      <c r="AA55" s="365">
        <f t="shared" si="67"/>
        <v>0</v>
      </c>
      <c r="AB55" s="365">
        <f t="shared" si="67"/>
        <v>0</v>
      </c>
      <c r="AC55" s="365">
        <f t="shared" si="67"/>
        <v>0</v>
      </c>
      <c r="AD55" s="365"/>
      <c r="AE55" s="112">
        <f>ROUND(SUM(AF55:AO55),ARRONDI_QT)</f>
        <v>154</v>
      </c>
      <c r="AF55" s="366">
        <v>0</v>
      </c>
      <c r="AG55" s="366">
        <v>0</v>
      </c>
      <c r="AH55" s="366">
        <v>0</v>
      </c>
      <c r="AI55" s="366">
        <v>0</v>
      </c>
      <c r="AJ55" s="366">
        <v>0</v>
      </c>
      <c r="AK55" s="366">
        <v>0</v>
      </c>
      <c r="AL55" s="366">
        <f>ROUND(200*0.8*(1.3-(129.5-129.16)),0)</f>
        <v>154</v>
      </c>
      <c r="AM55" s="366">
        <v>0</v>
      </c>
      <c r="AN55" s="366">
        <v>0</v>
      </c>
      <c r="AO55" s="366">
        <v>0</v>
      </c>
      <c r="AP55" s="365"/>
      <c r="AQ55" s="439">
        <f>SUM(H55:Q55)</f>
        <v>154</v>
      </c>
      <c r="AR55" s="439">
        <f>ROUND(AU55+BV55,ARRONDI_PU)</f>
        <v>49.95</v>
      </c>
      <c r="AS55" s="440">
        <f>+AR55*AQ55</f>
        <v>7692.3</v>
      </c>
      <c r="AT55" s="255"/>
      <c r="AU55" s="130">
        <f>+AX55+BB55+BE55+BH55+BK55+BN55+BQ55+BT55</f>
        <v>45</v>
      </c>
      <c r="AV55" s="285">
        <f>+COEF_MO_INSTALL</f>
        <v>1.3</v>
      </c>
      <c r="AW55" s="286">
        <v>0</v>
      </c>
      <c r="AX55" s="130">
        <f>+AW55*TH_INSTALL</f>
        <v>0</v>
      </c>
      <c r="AY55" s="130">
        <f>+AW55*AE55</f>
        <v>0</v>
      </c>
      <c r="AZ55" s="130">
        <f>IF(AQ55&gt;0,(AX55*AE55),0)</f>
        <v>0</v>
      </c>
      <c r="BA55" s="285">
        <f>+COEF_FOUR1_INSTALL</f>
        <v>1.3</v>
      </c>
      <c r="BB55" s="286">
        <v>0</v>
      </c>
      <c r="BC55" s="130">
        <f>IF(AQ55&gt;0,(BB55*AE55),0)</f>
        <v>0</v>
      </c>
      <c r="BD55" s="285">
        <f>+COEF_FOUR2_INSTALL</f>
        <v>1.3</v>
      </c>
      <c r="BE55" s="286">
        <v>0</v>
      </c>
      <c r="BF55" s="130">
        <f>IF(AQ55&gt;0,(BE55*AE55),0)</f>
        <v>0</v>
      </c>
      <c r="BG55" s="285">
        <f>+COEF_FOUR3_INSTALL</f>
        <v>1.3</v>
      </c>
      <c r="BH55" s="286">
        <v>0</v>
      </c>
      <c r="BI55" s="130">
        <f>IF(AQ55&gt;0,(BH55*AE55),0)</f>
        <v>0</v>
      </c>
      <c r="BJ55" s="287">
        <f>+COEF_MTLLOC_INSTALL</f>
        <v>1.1499999999999999</v>
      </c>
      <c r="BK55" s="286">
        <v>0</v>
      </c>
      <c r="BL55" s="130">
        <f>IF(AQ55&gt;0,(BK55*AE55),0)</f>
        <v>0</v>
      </c>
      <c r="BM55" s="287">
        <f>+COEF_MTLAMR_INSTALL</f>
        <v>1.3</v>
      </c>
      <c r="BN55" s="286">
        <v>0</v>
      </c>
      <c r="BO55" s="130">
        <f>IF(AQ55&gt;0,(BN55*AE55),0)</f>
        <v>0</v>
      </c>
      <c r="BP55" s="287">
        <f>+COEF_ST1_INSTALL</f>
        <v>1.1100000000000001</v>
      </c>
      <c r="BQ55" s="286">
        <v>45</v>
      </c>
      <c r="BR55" s="130">
        <f>IF(AQ55&gt;0,(BQ55*AE55),0)</f>
        <v>6930</v>
      </c>
      <c r="BS55" s="287">
        <f>+COEF_ST2_INSTALL</f>
        <v>1.1100000000000001</v>
      </c>
      <c r="BT55" s="286">
        <v>0</v>
      </c>
      <c r="BU55" s="130">
        <f>IF(AQ55&gt;0,(BT55*AE55),0)</f>
        <v>0</v>
      </c>
      <c r="BV55" s="130">
        <f>+(((AX55)*AV55)+(BB55*BA55)+(BE55*BD55)+(BH55*BG55)+(BK55*BJ55)+(BN55*BM55)+(BQ55*BP55)+(BT55*BS55)+(BT55*BS55))-(AU55)</f>
        <v>4.9500000000000028</v>
      </c>
      <c r="BW55" s="130">
        <f>+BV55*AE55</f>
        <v>762.30000000000041</v>
      </c>
      <c r="BX55" s="130">
        <f>AS55-(BW55+BU55+BR55+BO55+BL55+BI55+BF55+BC55+AZ55)</f>
        <v>0</v>
      </c>
      <c r="BY55" s="329"/>
    </row>
    <row r="56" spans="1:99" s="367" customFormat="1">
      <c r="A56" s="392"/>
      <c r="B56" s="261"/>
      <c r="C56" s="237"/>
      <c r="D56" s="397"/>
      <c r="E56" s="401"/>
      <c r="F56" s="127" t="s">
        <v>325</v>
      </c>
      <c r="G56" s="17" t="s">
        <v>105</v>
      </c>
      <c r="H56" s="365"/>
      <c r="I56" s="365"/>
      <c r="J56" s="365"/>
      <c r="K56" s="365"/>
      <c r="L56" s="365"/>
      <c r="M56" s="365"/>
      <c r="N56" s="365"/>
      <c r="O56" s="365"/>
      <c r="P56" s="365"/>
      <c r="Q56" s="365"/>
      <c r="R56" s="365"/>
      <c r="S56" s="418"/>
      <c r="T56" s="365"/>
      <c r="U56" s="365"/>
      <c r="V56" s="365"/>
      <c r="W56" s="365"/>
      <c r="X56" s="365"/>
      <c r="Y56" s="365"/>
      <c r="Z56" s="365"/>
      <c r="AA56" s="365"/>
      <c r="AB56" s="365"/>
      <c r="AC56" s="365"/>
      <c r="AD56" s="365"/>
      <c r="AE56" s="112"/>
      <c r="AF56" s="366"/>
      <c r="AG56" s="366"/>
      <c r="AH56" s="366"/>
      <c r="AI56" s="366"/>
      <c r="AJ56" s="366"/>
      <c r="AK56" s="366"/>
      <c r="AL56" s="366"/>
      <c r="AM56" s="366"/>
      <c r="AN56" s="366"/>
      <c r="AO56" s="366"/>
      <c r="AP56" s="365"/>
      <c r="AQ56" s="441" t="s">
        <v>326</v>
      </c>
      <c r="AR56" s="441" t="str">
        <f>+AQ56</f>
        <v>Non prévu</v>
      </c>
      <c r="AS56" s="442" t="str">
        <f>+AR56</f>
        <v>Non prévu</v>
      </c>
      <c r="AT56" s="255"/>
      <c r="AU56" s="130"/>
      <c r="AV56" s="285"/>
      <c r="AW56" s="286"/>
      <c r="AX56" s="130"/>
      <c r="AY56" s="130"/>
      <c r="AZ56" s="130"/>
      <c r="BA56" s="285"/>
      <c r="BB56" s="286"/>
      <c r="BC56" s="130"/>
      <c r="BD56" s="285"/>
      <c r="BE56" s="286"/>
      <c r="BF56" s="130"/>
      <c r="BG56" s="285"/>
      <c r="BH56" s="286"/>
      <c r="BI56" s="130"/>
      <c r="BJ56" s="287"/>
      <c r="BK56" s="286"/>
      <c r="BL56" s="130"/>
      <c r="BM56" s="287"/>
      <c r="BN56" s="286"/>
      <c r="BO56" s="130"/>
      <c r="BP56" s="287"/>
      <c r="BQ56" s="286"/>
      <c r="BR56" s="130"/>
      <c r="BS56" s="287"/>
      <c r="BT56" s="286"/>
      <c r="BU56" s="130"/>
      <c r="BV56" s="130"/>
      <c r="BW56" s="130"/>
      <c r="BX56" s="130"/>
      <c r="BY56" s="329"/>
    </row>
    <row r="57" spans="1:99" s="367" customFormat="1">
      <c r="A57" s="392"/>
      <c r="B57" s="261"/>
      <c r="C57" s="237"/>
      <c r="D57" s="397"/>
      <c r="E57" s="401"/>
      <c r="F57" s="127"/>
      <c r="G57" s="17"/>
      <c r="H57" s="365"/>
      <c r="I57" s="365"/>
      <c r="J57" s="365"/>
      <c r="K57" s="365"/>
      <c r="L57" s="365"/>
      <c r="M57" s="365"/>
      <c r="N57" s="365"/>
      <c r="O57" s="365"/>
      <c r="P57" s="365"/>
      <c r="Q57" s="365"/>
      <c r="R57" s="365"/>
      <c r="S57" s="418"/>
      <c r="T57" s="365"/>
      <c r="U57" s="365"/>
      <c r="V57" s="365"/>
      <c r="W57" s="365"/>
      <c r="X57" s="365"/>
      <c r="Y57" s="365"/>
      <c r="Z57" s="365"/>
      <c r="AA57" s="365"/>
      <c r="AB57" s="365"/>
      <c r="AC57" s="365"/>
      <c r="AD57" s="365"/>
      <c r="AE57" s="112"/>
      <c r="AF57" s="366"/>
      <c r="AG57" s="366"/>
      <c r="AH57" s="366"/>
      <c r="AI57" s="366"/>
      <c r="AJ57" s="366"/>
      <c r="AK57" s="366"/>
      <c r="AL57" s="366"/>
      <c r="AM57" s="366"/>
      <c r="AN57" s="366"/>
      <c r="AO57" s="366"/>
      <c r="AP57" s="365"/>
      <c r="AQ57" s="439"/>
      <c r="AR57" s="439"/>
      <c r="AS57" s="440"/>
      <c r="AT57" s="255"/>
      <c r="AU57" s="130"/>
      <c r="AV57" s="285"/>
      <c r="AW57" s="286"/>
      <c r="AX57" s="130"/>
      <c r="AY57" s="130"/>
      <c r="AZ57" s="130"/>
      <c r="BA57" s="285"/>
      <c r="BB57" s="286"/>
      <c r="BC57" s="130"/>
      <c r="BD57" s="285"/>
      <c r="BE57" s="286"/>
      <c r="BF57" s="130"/>
      <c r="BG57" s="285"/>
      <c r="BH57" s="286"/>
      <c r="BI57" s="130"/>
      <c r="BJ57" s="287"/>
      <c r="BK57" s="286"/>
      <c r="BL57" s="130"/>
      <c r="BM57" s="287"/>
      <c r="BN57" s="286"/>
      <c r="BO57" s="130"/>
      <c r="BP57" s="287"/>
      <c r="BQ57" s="286"/>
      <c r="BR57" s="130"/>
      <c r="BS57" s="287"/>
      <c r="BT57" s="286"/>
      <c r="BU57" s="130"/>
      <c r="BV57" s="130"/>
      <c r="BW57" s="130"/>
      <c r="BX57" s="130"/>
      <c r="BY57" s="329"/>
    </row>
    <row r="58" spans="1:99" s="240" customFormat="1">
      <c r="A58" s="392"/>
      <c r="B58" s="261"/>
      <c r="C58" s="237"/>
      <c r="D58" s="397"/>
      <c r="E58" s="401" t="s">
        <v>167</v>
      </c>
      <c r="F58" s="127" t="s">
        <v>329</v>
      </c>
      <c r="G58" s="17" t="s">
        <v>108</v>
      </c>
      <c r="H58" s="365">
        <f t="shared" ref="H58:O58" si="77">+T58</f>
        <v>0</v>
      </c>
      <c r="I58" s="365">
        <f t="shared" si="77"/>
        <v>0</v>
      </c>
      <c r="J58" s="365">
        <f t="shared" si="77"/>
        <v>0</v>
      </c>
      <c r="K58" s="365">
        <f t="shared" si="77"/>
        <v>0</v>
      </c>
      <c r="L58" s="365">
        <f t="shared" si="77"/>
        <v>0</v>
      </c>
      <c r="M58" s="365">
        <f t="shared" si="77"/>
        <v>0</v>
      </c>
      <c r="N58" s="365">
        <f t="shared" si="77"/>
        <v>830</v>
      </c>
      <c r="O58" s="365">
        <f t="shared" si="77"/>
        <v>0</v>
      </c>
      <c r="P58" s="365">
        <f t="shared" ref="P58:Q58" si="78">+AB58</f>
        <v>0</v>
      </c>
      <c r="Q58" s="365">
        <f t="shared" si="78"/>
        <v>0</v>
      </c>
      <c r="R58" s="365"/>
      <c r="S58" s="418">
        <f>SUM(T58:AC58)</f>
        <v>830</v>
      </c>
      <c r="T58" s="365">
        <f t="shared" ref="T58:AC58" si="79">ROUND(AF58,ARRONDI_QT)</f>
        <v>0</v>
      </c>
      <c r="U58" s="365">
        <f t="shared" si="79"/>
        <v>0</v>
      </c>
      <c r="V58" s="365">
        <f t="shared" si="79"/>
        <v>0</v>
      </c>
      <c r="W58" s="365">
        <f t="shared" si="79"/>
        <v>0</v>
      </c>
      <c r="X58" s="365">
        <f t="shared" si="79"/>
        <v>0</v>
      </c>
      <c r="Y58" s="365">
        <f t="shared" si="79"/>
        <v>0</v>
      </c>
      <c r="Z58" s="365">
        <f t="shared" si="79"/>
        <v>830</v>
      </c>
      <c r="AA58" s="365">
        <f t="shared" si="79"/>
        <v>0</v>
      </c>
      <c r="AB58" s="365">
        <f t="shared" si="79"/>
        <v>0</v>
      </c>
      <c r="AC58" s="365">
        <f t="shared" si="79"/>
        <v>0</v>
      </c>
      <c r="AD58" s="365"/>
      <c r="AE58" s="112">
        <f>ROUND(SUM(AF58:AO58),ARRONDI_QT)</f>
        <v>830</v>
      </c>
      <c r="AF58" s="366">
        <v>0</v>
      </c>
      <c r="AG58" s="366">
        <v>0</v>
      </c>
      <c r="AH58" s="366">
        <v>0</v>
      </c>
      <c r="AI58" s="366">
        <v>0</v>
      </c>
      <c r="AJ58" s="366">
        <v>0</v>
      </c>
      <c r="AK58" s="366">
        <v>0</v>
      </c>
      <c r="AL58" s="366">
        <f>ROUND((24+850)*0.95,0)</f>
        <v>830</v>
      </c>
      <c r="AM58" s="366">
        <v>0</v>
      </c>
      <c r="AN58" s="366">
        <v>0</v>
      </c>
      <c r="AO58" s="366">
        <v>0</v>
      </c>
      <c r="AP58" s="365"/>
      <c r="AQ58" s="439">
        <f>SUM(H58:Q58)</f>
        <v>830</v>
      </c>
      <c r="AR58" s="439">
        <f>ROUND(AU58+BV58,ARRONDI_PU)</f>
        <v>21.645</v>
      </c>
      <c r="AS58" s="440">
        <f>+AR58*AQ58</f>
        <v>17965.349999999999</v>
      </c>
      <c r="AT58" s="255"/>
      <c r="AU58" s="130">
        <f>+AX58+BB58+BE58+BH58+BK58+BN58+BQ58+BT58</f>
        <v>19.5</v>
      </c>
      <c r="AV58" s="285">
        <f>+COEF_MO_INSTALL</f>
        <v>1.3</v>
      </c>
      <c r="AW58" s="286">
        <v>0</v>
      </c>
      <c r="AX58" s="130">
        <f>+AW58*TH_INSTALL</f>
        <v>0</v>
      </c>
      <c r="AY58" s="130">
        <f>+AW58*AE58</f>
        <v>0</v>
      </c>
      <c r="AZ58" s="130">
        <f>IF(AQ58&gt;0,(AX58*AE58),0)</f>
        <v>0</v>
      </c>
      <c r="BA58" s="285">
        <f>+COEF_FOUR1_INSTALL</f>
        <v>1.3</v>
      </c>
      <c r="BB58" s="286">
        <v>0</v>
      </c>
      <c r="BC58" s="130">
        <f>IF(AQ58&gt;0,(BB58*AE58),0)</f>
        <v>0</v>
      </c>
      <c r="BD58" s="285">
        <f>+COEF_FOUR2_INSTALL</f>
        <v>1.3</v>
      </c>
      <c r="BE58" s="286">
        <v>0</v>
      </c>
      <c r="BF58" s="130">
        <f>IF(AQ58&gt;0,(BE58*AE58),0)</f>
        <v>0</v>
      </c>
      <c r="BG58" s="285">
        <f>+COEF_FOUR3_INSTALL</f>
        <v>1.3</v>
      </c>
      <c r="BH58" s="286">
        <v>0</v>
      </c>
      <c r="BI58" s="130">
        <f>IF(AQ58&gt;0,(BH58*AE58),0)</f>
        <v>0</v>
      </c>
      <c r="BJ58" s="287">
        <f>+COEF_MTLLOC_INSTALL</f>
        <v>1.1499999999999999</v>
      </c>
      <c r="BK58" s="286">
        <v>0</v>
      </c>
      <c r="BL58" s="130">
        <f>IF(AQ58&gt;0,(BK58*AE58),0)</f>
        <v>0</v>
      </c>
      <c r="BM58" s="287">
        <f>+COEF_MTLAMR_INSTALL</f>
        <v>1.3</v>
      </c>
      <c r="BN58" s="286">
        <v>0</v>
      </c>
      <c r="BO58" s="130">
        <f>IF(AQ58&gt;0,(BN58*AE58),0)</f>
        <v>0</v>
      </c>
      <c r="BP58" s="287">
        <f>+COEF_ST1_INSTALL</f>
        <v>1.1100000000000001</v>
      </c>
      <c r="BQ58" s="286">
        <v>19.5</v>
      </c>
      <c r="BR58" s="130">
        <f>IF(AQ58&gt;0,(BQ58*AE58),0)</f>
        <v>16185</v>
      </c>
      <c r="BS58" s="287">
        <f>+COEF_ST2_INSTALL</f>
        <v>1.1100000000000001</v>
      </c>
      <c r="BT58" s="286">
        <v>0</v>
      </c>
      <c r="BU58" s="130">
        <f>IF(AQ58&gt;0,(BT58*AE58),0)</f>
        <v>0</v>
      </c>
      <c r="BV58" s="130">
        <f>+(((AX58)*AV58)+(BB58*BA58)+(BE58*BD58)+(BH58*BG58)+(BK58*BJ58)+(BN58*BM58)+(BQ58*BP58)+(BT58*BS58)+(BT58*BS58))-(AU58)</f>
        <v>2.1450000000000031</v>
      </c>
      <c r="BW58" s="130">
        <f>+BV58*AE58</f>
        <v>1780.3500000000026</v>
      </c>
      <c r="BX58" s="130">
        <f>AS58-(BW58+BU58+BR58+BO58+BL58+BI58+BF58+BC58+AZ58)</f>
        <v>0</v>
      </c>
      <c r="BY58" s="329"/>
      <c r="BZ58" s="367"/>
      <c r="CA58" s="367"/>
      <c r="CB58" s="367"/>
      <c r="CC58" s="367"/>
      <c r="CD58" s="367"/>
      <c r="CE58" s="367"/>
      <c r="CF58" s="367"/>
      <c r="CG58" s="367"/>
      <c r="CH58" s="367"/>
      <c r="CI58" s="367"/>
      <c r="CJ58" s="367"/>
      <c r="CK58" s="367"/>
      <c r="CL58" s="367"/>
      <c r="CM58" s="367"/>
      <c r="CN58" s="367"/>
      <c r="CO58" s="367"/>
      <c r="CP58" s="367"/>
      <c r="CQ58" s="367"/>
      <c r="CR58" s="367"/>
      <c r="CS58" s="367"/>
      <c r="CT58" s="367"/>
      <c r="CU58" s="367"/>
    </row>
    <row r="59" spans="1:99" s="367" customFormat="1">
      <c r="A59" s="392"/>
      <c r="B59" s="261"/>
      <c r="C59" s="237"/>
      <c r="D59" s="397"/>
      <c r="E59" s="428" t="s">
        <v>327</v>
      </c>
      <c r="F59" s="427" t="s">
        <v>328</v>
      </c>
      <c r="G59" s="17"/>
      <c r="H59" s="365"/>
      <c r="I59" s="365"/>
      <c r="J59" s="365"/>
      <c r="K59" s="365"/>
      <c r="L59" s="365"/>
      <c r="M59" s="365"/>
      <c r="N59" s="365"/>
      <c r="O59" s="365"/>
      <c r="P59" s="365"/>
      <c r="Q59" s="365"/>
      <c r="R59" s="365"/>
      <c r="S59" s="418"/>
      <c r="T59" s="365"/>
      <c r="U59" s="365"/>
      <c r="V59" s="365"/>
      <c r="W59" s="365"/>
      <c r="X59" s="365"/>
      <c r="Y59" s="365"/>
      <c r="Z59" s="365"/>
      <c r="AA59" s="365"/>
      <c r="AB59" s="365"/>
      <c r="AC59" s="365"/>
      <c r="AD59" s="365"/>
      <c r="AE59" s="112"/>
      <c r="AF59" s="366"/>
      <c r="AG59" s="366"/>
      <c r="AH59" s="366"/>
      <c r="AI59" s="366"/>
      <c r="AJ59" s="366"/>
      <c r="AK59" s="366"/>
      <c r="AL59" s="366"/>
      <c r="AM59" s="366"/>
      <c r="AN59" s="366"/>
      <c r="AO59" s="366"/>
      <c r="AP59" s="365"/>
      <c r="AQ59" s="439"/>
      <c r="AR59" s="439"/>
      <c r="AS59" s="440"/>
      <c r="AT59" s="255"/>
      <c r="AU59" s="130"/>
      <c r="AV59" s="285"/>
      <c r="AW59" s="286"/>
      <c r="AX59" s="130"/>
      <c r="AY59" s="130"/>
      <c r="AZ59" s="130"/>
      <c r="BA59" s="285"/>
      <c r="BB59" s="286"/>
      <c r="BC59" s="130"/>
      <c r="BD59" s="285"/>
      <c r="BE59" s="286"/>
      <c r="BF59" s="130"/>
      <c r="BG59" s="285"/>
      <c r="BH59" s="286"/>
      <c r="BI59" s="130"/>
      <c r="BJ59" s="287"/>
      <c r="BK59" s="286"/>
      <c r="BL59" s="130"/>
      <c r="BM59" s="287"/>
      <c r="BN59" s="286"/>
      <c r="BO59" s="130"/>
      <c r="BP59" s="287"/>
      <c r="BQ59" s="286"/>
      <c r="BR59" s="130"/>
      <c r="BS59" s="287"/>
      <c r="BT59" s="286"/>
      <c r="BU59" s="130"/>
      <c r="BV59" s="130"/>
      <c r="BW59" s="130"/>
      <c r="BX59" s="130"/>
      <c r="BY59" s="329"/>
    </row>
    <row r="60" spans="1:99" s="240" customFormat="1">
      <c r="A60" s="392"/>
      <c r="B60" s="261"/>
      <c r="C60" s="237"/>
      <c r="D60" s="397"/>
      <c r="E60" s="401" t="s">
        <v>168</v>
      </c>
      <c r="F60" s="127" t="s">
        <v>178</v>
      </c>
      <c r="G60" s="17" t="s">
        <v>105</v>
      </c>
      <c r="H60" s="365">
        <f t="shared" ref="H60:O60" si="80">+T60</f>
        <v>0</v>
      </c>
      <c r="I60" s="365">
        <f t="shared" si="80"/>
        <v>0</v>
      </c>
      <c r="J60" s="365">
        <f t="shared" si="80"/>
        <v>0</v>
      </c>
      <c r="K60" s="365">
        <f t="shared" si="80"/>
        <v>0</v>
      </c>
      <c r="L60" s="365">
        <f t="shared" si="80"/>
        <v>0</v>
      </c>
      <c r="M60" s="365">
        <f t="shared" si="80"/>
        <v>0</v>
      </c>
      <c r="N60" s="365">
        <f t="shared" si="80"/>
        <v>1</v>
      </c>
      <c r="O60" s="365">
        <f t="shared" si="80"/>
        <v>0</v>
      </c>
      <c r="P60" s="365">
        <f t="shared" ref="P60:Q60" si="81">+AB60</f>
        <v>0</v>
      </c>
      <c r="Q60" s="365">
        <f t="shared" si="81"/>
        <v>0</v>
      </c>
      <c r="R60" s="365"/>
      <c r="S60" s="418">
        <f>SUM(T60:AC60)</f>
        <v>1</v>
      </c>
      <c r="T60" s="365">
        <f t="shared" ref="T60:AC60" si="82">ROUND(AF60,ARRONDI_QT)</f>
        <v>0</v>
      </c>
      <c r="U60" s="365">
        <f t="shared" si="82"/>
        <v>0</v>
      </c>
      <c r="V60" s="365">
        <f t="shared" si="82"/>
        <v>0</v>
      </c>
      <c r="W60" s="365">
        <f t="shared" si="82"/>
        <v>0</v>
      </c>
      <c r="X60" s="365">
        <f t="shared" si="82"/>
        <v>0</v>
      </c>
      <c r="Y60" s="365">
        <f t="shared" si="82"/>
        <v>0</v>
      </c>
      <c r="Z60" s="365">
        <f t="shared" si="82"/>
        <v>1</v>
      </c>
      <c r="AA60" s="365">
        <f t="shared" si="82"/>
        <v>0</v>
      </c>
      <c r="AB60" s="365">
        <f t="shared" si="82"/>
        <v>0</v>
      </c>
      <c r="AC60" s="365">
        <f t="shared" si="82"/>
        <v>0</v>
      </c>
      <c r="AD60" s="365"/>
      <c r="AE60" s="112">
        <f>ROUND(SUM(AF60:AO60),ARRONDI_QT)</f>
        <v>1</v>
      </c>
      <c r="AF60" s="366">
        <v>0</v>
      </c>
      <c r="AG60" s="366">
        <v>0</v>
      </c>
      <c r="AH60" s="366">
        <v>0</v>
      </c>
      <c r="AI60" s="366">
        <v>0</v>
      </c>
      <c r="AJ60" s="366">
        <v>0</v>
      </c>
      <c r="AK60" s="366">
        <v>0</v>
      </c>
      <c r="AL60" s="366">
        <v>1</v>
      </c>
      <c r="AM60" s="366">
        <v>0</v>
      </c>
      <c r="AN60" s="366">
        <v>0</v>
      </c>
      <c r="AO60" s="366">
        <v>0</v>
      </c>
      <c r="AP60" s="365"/>
      <c r="AQ60" s="439">
        <f>SUM(H60:Q60)</f>
        <v>1</v>
      </c>
      <c r="AR60" s="439">
        <f>ROUND(AU60+BV60,ARRONDI_PU)</f>
        <v>3996</v>
      </c>
      <c r="AS60" s="440">
        <f>+AR60*AQ60</f>
        <v>3996</v>
      </c>
      <c r="AT60" s="255"/>
      <c r="AU60" s="130">
        <f>+AX60+BB60+BE60+BH60+BK60+BN60+BQ60+BT60</f>
        <v>3600</v>
      </c>
      <c r="AV60" s="285">
        <f>+COEF_MO_INSTALL</f>
        <v>1.3</v>
      </c>
      <c r="AW60" s="286">
        <v>0</v>
      </c>
      <c r="AX60" s="130">
        <f>+AW60*TH_INSTALL</f>
        <v>0</v>
      </c>
      <c r="AY60" s="130">
        <f>+AW60*AE60</f>
        <v>0</v>
      </c>
      <c r="AZ60" s="130">
        <f>IF(AQ60&gt;0,(AX60*AE60),0)</f>
        <v>0</v>
      </c>
      <c r="BA60" s="285">
        <f>+COEF_FOUR1_INSTALL</f>
        <v>1.3</v>
      </c>
      <c r="BB60" s="286">
        <v>0</v>
      </c>
      <c r="BC60" s="130">
        <f>IF(AQ60&gt;0,(BB60*AE60),0)</f>
        <v>0</v>
      </c>
      <c r="BD60" s="285">
        <f>+COEF_FOUR2_INSTALL</f>
        <v>1.3</v>
      </c>
      <c r="BE60" s="286">
        <v>0</v>
      </c>
      <c r="BF60" s="130">
        <f>IF(AQ60&gt;0,(BE60*AE60),0)</f>
        <v>0</v>
      </c>
      <c r="BG60" s="285">
        <f>+COEF_FOUR3_INSTALL</f>
        <v>1.3</v>
      </c>
      <c r="BH60" s="286">
        <v>0</v>
      </c>
      <c r="BI60" s="130">
        <f>IF(AQ60&gt;0,(BH60*AE60),0)</f>
        <v>0</v>
      </c>
      <c r="BJ60" s="287">
        <f>+COEF_MTLLOC_INSTALL</f>
        <v>1.1499999999999999</v>
      </c>
      <c r="BK60" s="286">
        <v>0</v>
      </c>
      <c r="BL60" s="130">
        <f>IF(AQ60&gt;0,(BK60*AE60),0)</f>
        <v>0</v>
      </c>
      <c r="BM60" s="287">
        <f>+COEF_MTLAMR_INSTALL</f>
        <v>1.3</v>
      </c>
      <c r="BN60" s="286">
        <v>0</v>
      </c>
      <c r="BO60" s="130">
        <f>IF(AQ60&gt;0,(BN60*AE60),0)</f>
        <v>0</v>
      </c>
      <c r="BP60" s="287">
        <f>+COEF_ST1_INSTALL</f>
        <v>1.1100000000000001</v>
      </c>
      <c r="BQ60" s="286">
        <v>3600</v>
      </c>
      <c r="BR60" s="130">
        <f>IF(AQ60&gt;0,(BQ60*AE60),0)</f>
        <v>3600</v>
      </c>
      <c r="BS60" s="287">
        <f>+COEF_ST2_INSTALL</f>
        <v>1.1100000000000001</v>
      </c>
      <c r="BT60" s="286">
        <v>0</v>
      </c>
      <c r="BU60" s="130">
        <f>IF(AQ60&gt;0,(BT60*AE60),0)</f>
        <v>0</v>
      </c>
      <c r="BV60" s="130">
        <f>+(((AX60)*AV60)+(BB60*BA60)+(BE60*BD60)+(BH60*BG60)+(BK60*BJ60)+(BN60*BM60)+(BQ60*BP60)+(BT60*BS60)+(BT60*BS60))-(AU60)</f>
        <v>396.00000000000045</v>
      </c>
      <c r="BW60" s="130">
        <f>+BV60*AE60</f>
        <v>396.00000000000045</v>
      </c>
      <c r="BX60" s="130">
        <f>AS60-(BW60+BU60+BR60+BO60+BL60+BI60+BF60+BC60+AZ60)</f>
        <v>0</v>
      </c>
      <c r="BY60" s="329"/>
      <c r="BZ60" s="367"/>
      <c r="CA60" s="367"/>
      <c r="CB60" s="367"/>
      <c r="CC60" s="367"/>
      <c r="CD60" s="367"/>
      <c r="CE60" s="367"/>
      <c r="CF60" s="367"/>
      <c r="CG60" s="367"/>
      <c r="CH60" s="367"/>
      <c r="CI60" s="367"/>
      <c r="CJ60" s="367"/>
      <c r="CK60" s="367"/>
      <c r="CL60" s="367"/>
      <c r="CM60" s="367"/>
      <c r="CN60" s="367"/>
      <c r="CO60" s="367"/>
      <c r="CP60" s="367"/>
      <c r="CQ60" s="367"/>
      <c r="CR60" s="367"/>
      <c r="CS60" s="367"/>
      <c r="CT60" s="367"/>
      <c r="CU60" s="367"/>
    </row>
    <row r="61" spans="1:99" s="240" customFormat="1">
      <c r="A61" s="392"/>
      <c r="B61" s="261"/>
      <c r="C61" s="237"/>
      <c r="D61" s="397"/>
      <c r="E61" s="401" t="s">
        <v>169</v>
      </c>
      <c r="F61" s="127" t="s">
        <v>179</v>
      </c>
      <c r="G61" s="17" t="s">
        <v>105</v>
      </c>
      <c r="H61" s="365"/>
      <c r="I61" s="365"/>
      <c r="J61" s="365"/>
      <c r="K61" s="365"/>
      <c r="L61" s="365"/>
      <c r="M61" s="365"/>
      <c r="N61" s="365"/>
      <c r="O61" s="365"/>
      <c r="P61" s="365"/>
      <c r="Q61" s="365"/>
      <c r="R61" s="365"/>
      <c r="S61" s="418"/>
      <c r="T61" s="365"/>
      <c r="U61" s="365"/>
      <c r="V61" s="365"/>
      <c r="W61" s="365"/>
      <c r="X61" s="365"/>
      <c r="Y61" s="365"/>
      <c r="Z61" s="365"/>
      <c r="AA61" s="365"/>
      <c r="AB61" s="365"/>
      <c r="AC61" s="365"/>
      <c r="AD61" s="365"/>
      <c r="AE61" s="112"/>
      <c r="AF61" s="366"/>
      <c r="AG61" s="366"/>
      <c r="AH61" s="366"/>
      <c r="AI61" s="366"/>
      <c r="AJ61" s="366"/>
      <c r="AK61" s="366"/>
      <c r="AL61" s="366"/>
      <c r="AM61" s="366"/>
      <c r="AN61" s="366"/>
      <c r="AO61" s="366"/>
      <c r="AP61" s="365"/>
      <c r="AQ61" s="441" t="s">
        <v>319</v>
      </c>
      <c r="AR61" s="441" t="str">
        <f>+AQ61</f>
        <v>Pm</v>
      </c>
      <c r="AS61" s="442" t="str">
        <f>+AR61</f>
        <v>Pm</v>
      </c>
      <c r="AT61" s="255"/>
      <c r="AU61" s="130"/>
      <c r="AV61" s="285"/>
      <c r="AW61" s="286"/>
      <c r="AX61" s="130"/>
      <c r="AY61" s="130"/>
      <c r="AZ61" s="130"/>
      <c r="BA61" s="285"/>
      <c r="BB61" s="286"/>
      <c r="BC61" s="130"/>
      <c r="BD61" s="285"/>
      <c r="BE61" s="286"/>
      <c r="BF61" s="130"/>
      <c r="BG61" s="285"/>
      <c r="BH61" s="286"/>
      <c r="BI61" s="130"/>
      <c r="BJ61" s="287"/>
      <c r="BK61" s="286"/>
      <c r="BL61" s="130"/>
      <c r="BM61" s="287"/>
      <c r="BN61" s="286"/>
      <c r="BO61" s="130"/>
      <c r="BP61" s="287"/>
      <c r="BQ61" s="286"/>
      <c r="BR61" s="130"/>
      <c r="BS61" s="287"/>
      <c r="BT61" s="286"/>
      <c r="BU61" s="130"/>
      <c r="BV61" s="130"/>
      <c r="BW61" s="130"/>
      <c r="BX61" s="130"/>
      <c r="BY61" s="329"/>
      <c r="BZ61" s="367"/>
      <c r="CA61" s="367"/>
      <c r="CB61" s="367"/>
      <c r="CC61" s="367"/>
      <c r="CD61" s="367"/>
      <c r="CE61" s="367"/>
      <c r="CF61" s="367"/>
      <c r="CG61" s="367"/>
      <c r="CH61" s="367"/>
      <c r="CI61" s="367"/>
      <c r="CJ61" s="367"/>
      <c r="CK61" s="367"/>
      <c r="CL61" s="367"/>
      <c r="CM61" s="367"/>
      <c r="CN61" s="367"/>
      <c r="CO61" s="367"/>
      <c r="CP61" s="367"/>
      <c r="CQ61" s="367"/>
      <c r="CR61" s="367"/>
      <c r="CS61" s="367"/>
      <c r="CT61" s="367"/>
      <c r="CU61" s="367"/>
    </row>
    <row r="62" spans="1:99" s="393" customFormat="1">
      <c r="B62" s="261"/>
      <c r="C62" s="237"/>
      <c r="D62" s="397"/>
      <c r="E62" s="401" t="s">
        <v>170</v>
      </c>
      <c r="F62" s="127" t="s">
        <v>320</v>
      </c>
      <c r="G62" s="17" t="s">
        <v>105</v>
      </c>
      <c r="H62" s="365">
        <f t="shared" ref="H62" si="83">+T62</f>
        <v>0</v>
      </c>
      <c r="I62" s="365">
        <f t="shared" ref="I62" si="84">+U62</f>
        <v>0</v>
      </c>
      <c r="J62" s="365">
        <f t="shared" ref="J62" si="85">+V62</f>
        <v>0</v>
      </c>
      <c r="K62" s="365">
        <f t="shared" ref="K62" si="86">+W62</f>
        <v>0</v>
      </c>
      <c r="L62" s="365">
        <f t="shared" ref="L62" si="87">+X62</f>
        <v>0</v>
      </c>
      <c r="M62" s="365">
        <f t="shared" ref="M62" si="88">+Y62</f>
        <v>0</v>
      </c>
      <c r="N62" s="365">
        <f t="shared" ref="N62" si="89">+Z62</f>
        <v>1</v>
      </c>
      <c r="O62" s="365">
        <f t="shared" ref="O62" si="90">+AA62</f>
        <v>0</v>
      </c>
      <c r="P62" s="365">
        <f t="shared" ref="P62" si="91">+AB62</f>
        <v>0</v>
      </c>
      <c r="Q62" s="365">
        <f t="shared" ref="Q62" si="92">+AC62</f>
        <v>0</v>
      </c>
      <c r="R62" s="365"/>
      <c r="S62" s="418">
        <f>SUM(T62:AC62)</f>
        <v>1</v>
      </c>
      <c r="T62" s="365">
        <f t="shared" ref="T62" si="93">ROUND(AF62,ARRONDI_QT)</f>
        <v>0</v>
      </c>
      <c r="U62" s="365">
        <f t="shared" ref="U62" si="94">ROUND(AG62,ARRONDI_QT)</f>
        <v>0</v>
      </c>
      <c r="V62" s="365">
        <f t="shared" ref="V62" si="95">ROUND(AH62,ARRONDI_QT)</f>
        <v>0</v>
      </c>
      <c r="W62" s="365">
        <f t="shared" ref="W62" si="96">ROUND(AI62,ARRONDI_QT)</f>
        <v>0</v>
      </c>
      <c r="X62" s="365">
        <f t="shared" ref="X62" si="97">ROUND(AJ62,ARRONDI_QT)</f>
        <v>0</v>
      </c>
      <c r="Y62" s="365">
        <f t="shared" ref="Y62" si="98">ROUND(AK62,ARRONDI_QT)</f>
        <v>0</v>
      </c>
      <c r="Z62" s="365">
        <f t="shared" ref="Z62" si="99">ROUND(AL62,ARRONDI_QT)</f>
        <v>1</v>
      </c>
      <c r="AA62" s="365">
        <f t="shared" ref="AA62" si="100">ROUND(AM62,ARRONDI_QT)</f>
        <v>0</v>
      </c>
      <c r="AB62" s="365">
        <f t="shared" ref="AB62" si="101">ROUND(AN62,ARRONDI_QT)</f>
        <v>0</v>
      </c>
      <c r="AC62" s="365">
        <f t="shared" ref="AC62" si="102">ROUND(AO62,ARRONDI_QT)</f>
        <v>0</v>
      </c>
      <c r="AD62" s="365"/>
      <c r="AE62" s="112">
        <f>ROUND(SUM(AF62:AO62),ARRONDI_QT)</f>
        <v>1</v>
      </c>
      <c r="AF62" s="366">
        <v>0</v>
      </c>
      <c r="AG62" s="366">
        <v>0</v>
      </c>
      <c r="AH62" s="366">
        <v>0</v>
      </c>
      <c r="AI62" s="366">
        <v>0</v>
      </c>
      <c r="AJ62" s="366">
        <v>0</v>
      </c>
      <c r="AK62" s="366">
        <v>0</v>
      </c>
      <c r="AL62" s="366">
        <v>1</v>
      </c>
      <c r="AM62" s="366">
        <v>0</v>
      </c>
      <c r="AN62" s="366">
        <v>0</v>
      </c>
      <c r="AO62" s="366">
        <v>0</v>
      </c>
      <c r="AP62" s="365"/>
      <c r="AQ62" s="439">
        <f>SUM(H62:Q62)</f>
        <v>1</v>
      </c>
      <c r="AR62" s="439">
        <f>ROUND(AU62+BV62,ARRONDI_PU)</f>
        <v>1665</v>
      </c>
      <c r="AS62" s="440">
        <f>+AR62*AQ62</f>
        <v>1665</v>
      </c>
      <c r="AT62" s="255"/>
      <c r="AU62" s="130">
        <f>+AX62+BB62+BE62+BH62+BK62+BN62+BQ62+BT62</f>
        <v>1500</v>
      </c>
      <c r="AV62" s="285">
        <f>+COEF_MO_INSTALL</f>
        <v>1.3</v>
      </c>
      <c r="AW62" s="286">
        <v>0</v>
      </c>
      <c r="AX62" s="130">
        <f>+AW62*TH_INSTALL</f>
        <v>0</v>
      </c>
      <c r="AY62" s="130">
        <f>+AW62*AE62</f>
        <v>0</v>
      </c>
      <c r="AZ62" s="130">
        <f>IF(AQ62&gt;0,(AX62*AE62),0)</f>
        <v>0</v>
      </c>
      <c r="BA62" s="285">
        <f>+COEF_FOUR1_INSTALL</f>
        <v>1.3</v>
      </c>
      <c r="BB62" s="286">
        <v>0</v>
      </c>
      <c r="BC62" s="130">
        <f>IF(AQ62&gt;0,(BB62*AE62),0)</f>
        <v>0</v>
      </c>
      <c r="BD62" s="285">
        <f>+COEF_FOUR2_INSTALL</f>
        <v>1.3</v>
      </c>
      <c r="BE62" s="286">
        <v>0</v>
      </c>
      <c r="BF62" s="130">
        <f>IF(AQ62&gt;0,(BE62*AE62),0)</f>
        <v>0</v>
      </c>
      <c r="BG62" s="285">
        <f>+COEF_FOUR3_INSTALL</f>
        <v>1.3</v>
      </c>
      <c r="BH62" s="286">
        <v>0</v>
      </c>
      <c r="BI62" s="130">
        <f>IF(AQ62&gt;0,(BH62*AE62),0)</f>
        <v>0</v>
      </c>
      <c r="BJ62" s="287">
        <f>+COEF_MTLLOC_INSTALL</f>
        <v>1.1499999999999999</v>
      </c>
      <c r="BK62" s="286">
        <v>0</v>
      </c>
      <c r="BL62" s="130">
        <f>IF(AQ62&gt;0,(BK62*AE62),0)</f>
        <v>0</v>
      </c>
      <c r="BM62" s="287">
        <f>+COEF_MTLAMR_INSTALL</f>
        <v>1.3</v>
      </c>
      <c r="BN62" s="286">
        <v>0</v>
      </c>
      <c r="BO62" s="130">
        <f>IF(AQ62&gt;0,(BN62*AE62),0)</f>
        <v>0</v>
      </c>
      <c r="BP62" s="287">
        <f>+COEF_ST1_INSTALL</f>
        <v>1.1100000000000001</v>
      </c>
      <c r="BQ62" s="286">
        <v>1500</v>
      </c>
      <c r="BR62" s="130">
        <f>IF(AQ62&gt;0,(BQ62*AE62),0)</f>
        <v>1500</v>
      </c>
      <c r="BS62" s="287">
        <f>+COEF_ST2_INSTALL</f>
        <v>1.1100000000000001</v>
      </c>
      <c r="BT62" s="286">
        <v>0</v>
      </c>
      <c r="BU62" s="130">
        <f>IF(AQ62&gt;0,(BT62*AE62),0)</f>
        <v>0</v>
      </c>
      <c r="BV62" s="130">
        <f>+(((AX62)*AV62)+(BB62*BA62)+(BE62*BD62)+(BH62*BG62)+(BK62*BJ62)+(BN62*BM62)+(BQ62*BP62)+(BT62*BS62)+(BT62*BS62))-(AU62)</f>
        <v>165.00000000000023</v>
      </c>
      <c r="BW62" s="130">
        <f>+BV62*AE62</f>
        <v>165.00000000000023</v>
      </c>
      <c r="BX62" s="130">
        <f>AS62-(BW62+BU62+BR62+BO62+BL62+BI62+BF62+BC62+AZ62)</f>
        <v>0</v>
      </c>
      <c r="BY62" s="329"/>
    </row>
    <row r="63" spans="1:99" s="393" customFormat="1">
      <c r="B63" s="261"/>
      <c r="C63" s="237"/>
      <c r="D63" s="397"/>
      <c r="E63" s="401"/>
      <c r="F63" s="127"/>
      <c r="G63" s="17"/>
      <c r="H63" s="365"/>
      <c r="I63" s="365"/>
      <c r="J63" s="365"/>
      <c r="K63" s="365"/>
      <c r="L63" s="365"/>
      <c r="M63" s="365"/>
      <c r="N63" s="365"/>
      <c r="O63" s="365"/>
      <c r="P63" s="365"/>
      <c r="Q63" s="365"/>
      <c r="R63" s="365"/>
      <c r="S63" s="418"/>
      <c r="T63" s="365"/>
      <c r="U63" s="365"/>
      <c r="V63" s="365"/>
      <c r="W63" s="365"/>
      <c r="X63" s="365"/>
      <c r="Y63" s="365"/>
      <c r="Z63" s="365"/>
      <c r="AA63" s="365"/>
      <c r="AB63" s="365"/>
      <c r="AC63" s="365"/>
      <c r="AD63" s="365"/>
      <c r="AE63" s="112"/>
      <c r="AF63" s="366"/>
      <c r="AG63" s="366"/>
      <c r="AH63" s="366"/>
      <c r="AI63" s="366"/>
      <c r="AJ63" s="366"/>
      <c r="AK63" s="366"/>
      <c r="AL63" s="366"/>
      <c r="AM63" s="366"/>
      <c r="AN63" s="366"/>
      <c r="AO63" s="366"/>
      <c r="AP63" s="365"/>
      <c r="AQ63" s="439"/>
      <c r="AR63" s="439"/>
      <c r="AS63" s="440"/>
      <c r="AT63" s="255"/>
      <c r="AU63" s="130"/>
      <c r="AV63" s="285"/>
      <c r="AW63" s="286"/>
      <c r="AX63" s="130"/>
      <c r="AY63" s="130"/>
      <c r="AZ63" s="130"/>
      <c r="BA63" s="285"/>
      <c r="BB63" s="286"/>
      <c r="BC63" s="130"/>
      <c r="BD63" s="285"/>
      <c r="BE63" s="286"/>
      <c r="BF63" s="130"/>
      <c r="BG63" s="285"/>
      <c r="BH63" s="286"/>
      <c r="BI63" s="130"/>
      <c r="BJ63" s="287"/>
      <c r="BK63" s="286"/>
      <c r="BL63" s="130"/>
      <c r="BM63" s="287"/>
      <c r="BN63" s="286"/>
      <c r="BO63" s="130"/>
      <c r="BP63" s="287"/>
      <c r="BQ63" s="286"/>
      <c r="BR63" s="130"/>
      <c r="BS63" s="287"/>
      <c r="BT63" s="286"/>
      <c r="BU63" s="130"/>
      <c r="BV63" s="130"/>
      <c r="BW63" s="130"/>
      <c r="BX63" s="130"/>
      <c r="BY63" s="329"/>
    </row>
    <row r="64" spans="1:99" s="448" customFormat="1">
      <c r="B64" s="261" t="s">
        <v>446</v>
      </c>
      <c r="C64" s="237" t="s">
        <v>103</v>
      </c>
      <c r="D64" s="397" t="s">
        <v>116</v>
      </c>
      <c r="E64" s="401"/>
      <c r="F64" s="127" t="str">
        <f>+D64</f>
        <v xml:space="preserve">  - Débrousaillage et nettoyage cis évacuation en ISDI classe 3</v>
      </c>
      <c r="G64" s="17" t="s">
        <v>105</v>
      </c>
      <c r="H64" s="365">
        <f t="shared" ref="H64:Q64" si="103">+T64</f>
        <v>0</v>
      </c>
      <c r="I64" s="365">
        <f t="shared" si="103"/>
        <v>0</v>
      </c>
      <c r="J64" s="365">
        <f t="shared" si="103"/>
        <v>0</v>
      </c>
      <c r="K64" s="365">
        <f t="shared" si="103"/>
        <v>0</v>
      </c>
      <c r="L64" s="365">
        <f t="shared" si="103"/>
        <v>0</v>
      </c>
      <c r="M64" s="365">
        <f t="shared" si="103"/>
        <v>0</v>
      </c>
      <c r="N64" s="365">
        <f t="shared" si="103"/>
        <v>0</v>
      </c>
      <c r="O64" s="365">
        <f t="shared" si="103"/>
        <v>0</v>
      </c>
      <c r="P64" s="365">
        <f t="shared" si="103"/>
        <v>0</v>
      </c>
      <c r="Q64" s="365">
        <f t="shared" si="103"/>
        <v>0</v>
      </c>
      <c r="R64" s="365"/>
      <c r="S64" s="418">
        <f>SUM(T64:AC64)</f>
        <v>0</v>
      </c>
      <c r="T64" s="365">
        <f t="shared" ref="T64:AC64" si="104">ROUND(AF64,ARRONDI_QT)</f>
        <v>0</v>
      </c>
      <c r="U64" s="365">
        <f t="shared" si="104"/>
        <v>0</v>
      </c>
      <c r="V64" s="365">
        <f t="shared" si="104"/>
        <v>0</v>
      </c>
      <c r="W64" s="365">
        <f t="shared" si="104"/>
        <v>0</v>
      </c>
      <c r="X64" s="365">
        <f t="shared" si="104"/>
        <v>0</v>
      </c>
      <c r="Y64" s="365">
        <f t="shared" si="104"/>
        <v>0</v>
      </c>
      <c r="Z64" s="365">
        <f t="shared" si="104"/>
        <v>0</v>
      </c>
      <c r="AA64" s="365">
        <f t="shared" si="104"/>
        <v>0</v>
      </c>
      <c r="AB64" s="365">
        <f t="shared" si="104"/>
        <v>0</v>
      </c>
      <c r="AC64" s="365">
        <f t="shared" si="104"/>
        <v>0</v>
      </c>
      <c r="AD64" s="365"/>
      <c r="AE64" s="112">
        <f>ROUND(SUM(AF64:AO64),ARRONDI_QT)</f>
        <v>0</v>
      </c>
      <c r="AF64" s="366">
        <v>0</v>
      </c>
      <c r="AG64" s="366">
        <v>0</v>
      </c>
      <c r="AH64" s="366">
        <v>0</v>
      </c>
      <c r="AI64" s="366">
        <v>0</v>
      </c>
      <c r="AJ64" s="366">
        <v>0</v>
      </c>
      <c r="AK64" s="366">
        <v>0</v>
      </c>
      <c r="AL64" s="366">
        <v>0</v>
      </c>
      <c r="AM64" s="366">
        <v>0</v>
      </c>
      <c r="AN64" s="366">
        <v>0</v>
      </c>
      <c r="AO64" s="366">
        <v>0</v>
      </c>
      <c r="AP64" s="365"/>
      <c r="AQ64" s="439">
        <f>SUM(H64:Q64)</f>
        <v>0</v>
      </c>
      <c r="AR64" s="439">
        <f>ROUND(AU64+BV64,ARRONDI_PU)</f>
        <v>0</v>
      </c>
      <c r="AS64" s="440">
        <f>+AR64*AQ64</f>
        <v>0</v>
      </c>
      <c r="AT64" s="255"/>
      <c r="AU64" s="130">
        <f>+AX64+BB64+BE64+BH64+BK64+BN64+BQ64+BT64</f>
        <v>0</v>
      </c>
      <c r="AV64" s="285">
        <f>+COEF_MO_INSTALL</f>
        <v>1.3</v>
      </c>
      <c r="AW64" s="286">
        <v>0</v>
      </c>
      <c r="AX64" s="130">
        <f>+AW64*TH_INSTALL</f>
        <v>0</v>
      </c>
      <c r="AY64" s="130">
        <f>+AW64*AE64</f>
        <v>0</v>
      </c>
      <c r="AZ64" s="130">
        <f>IF(AQ64&gt;0,(AX64*AE64),0)</f>
        <v>0</v>
      </c>
      <c r="BA64" s="285">
        <f>+COEF_FOUR1_INSTALL</f>
        <v>1.3</v>
      </c>
      <c r="BB64" s="286">
        <v>0</v>
      </c>
      <c r="BC64" s="130">
        <f>IF(AQ64&gt;0,(BB64*AE64),0)</f>
        <v>0</v>
      </c>
      <c r="BD64" s="285">
        <f>+COEF_FOUR2_INSTALL</f>
        <v>1.3</v>
      </c>
      <c r="BE64" s="286">
        <v>0</v>
      </c>
      <c r="BF64" s="130">
        <f>IF(AQ64&gt;0,(BE64*AE64),0)</f>
        <v>0</v>
      </c>
      <c r="BG64" s="285">
        <f>+COEF_FOUR3_INSTALL</f>
        <v>1.3</v>
      </c>
      <c r="BH64" s="286">
        <v>0</v>
      </c>
      <c r="BI64" s="130">
        <f>IF(AQ64&gt;0,(BH64*AE64),0)</f>
        <v>0</v>
      </c>
      <c r="BJ64" s="287">
        <f>+COEF_MTLLOC_INSTALL</f>
        <v>1.1499999999999999</v>
      </c>
      <c r="BK64" s="286">
        <v>0</v>
      </c>
      <c r="BL64" s="130">
        <f>IF(AQ64&gt;0,(BK64*AE64),0)</f>
        <v>0</v>
      </c>
      <c r="BM64" s="287">
        <f>+COEF_MTLAMR_INSTALL</f>
        <v>1.3</v>
      </c>
      <c r="BN64" s="286">
        <v>0</v>
      </c>
      <c r="BO64" s="130">
        <f>IF(AQ64&gt;0,(BN64*AE64),0)</f>
        <v>0</v>
      </c>
      <c r="BP64" s="287">
        <f>+COEF_ST1_INSTALL</f>
        <v>1.1100000000000001</v>
      </c>
      <c r="BQ64" s="286">
        <v>0</v>
      </c>
      <c r="BR64" s="130">
        <f>IF(AQ64&gt;0,(BQ64*AE64),0)</f>
        <v>0</v>
      </c>
      <c r="BS64" s="287">
        <f>+COEF_ST2_INSTALL</f>
        <v>1.1100000000000001</v>
      </c>
      <c r="BT64" s="286">
        <v>0</v>
      </c>
      <c r="BU64" s="130">
        <f>IF(AQ64&gt;0,(BT64*AE64),0)</f>
        <v>0</v>
      </c>
      <c r="BV64" s="130">
        <f>+(((AX64)*AV64)+(BB64*BA64)+(BE64*BD64)+(BH64*BG64)+(BK64*BJ64)+(BN64*BM64)+(BQ64*BP64)+(BT64*BS64)+(BT64*BS64))-(AU64)</f>
        <v>0</v>
      </c>
      <c r="BW64" s="130">
        <f>+BV64*AE64</f>
        <v>0</v>
      </c>
      <c r="BX64" s="130">
        <f>AS64-(BW64+BU64+BR64+BO64+BL64+BI64+BF64+BC64+AZ64)</f>
        <v>0</v>
      </c>
      <c r="BY64" s="329"/>
    </row>
    <row r="65" spans="1:99" s="448" customFormat="1">
      <c r="B65" s="261"/>
      <c r="C65" s="237"/>
      <c r="D65" s="397"/>
      <c r="E65" s="401"/>
      <c r="F65" s="127"/>
      <c r="G65" s="17"/>
      <c r="H65" s="365"/>
      <c r="I65" s="365"/>
      <c r="J65" s="365"/>
      <c r="K65" s="365"/>
      <c r="L65" s="365"/>
      <c r="M65" s="365"/>
      <c r="N65" s="365"/>
      <c r="O65" s="365"/>
      <c r="P65" s="365"/>
      <c r="Q65" s="365"/>
      <c r="R65" s="365"/>
      <c r="S65" s="418"/>
      <c r="T65" s="365"/>
      <c r="U65" s="365"/>
      <c r="V65" s="365"/>
      <c r="W65" s="365"/>
      <c r="X65" s="365"/>
      <c r="Y65" s="365"/>
      <c r="Z65" s="365"/>
      <c r="AA65" s="365"/>
      <c r="AB65" s="365"/>
      <c r="AC65" s="365"/>
      <c r="AD65" s="365"/>
      <c r="AE65" s="112"/>
      <c r="AF65" s="366"/>
      <c r="AG65" s="366"/>
      <c r="AH65" s="366"/>
      <c r="AI65" s="366"/>
      <c r="AJ65" s="366"/>
      <c r="AK65" s="366"/>
      <c r="AL65" s="366"/>
      <c r="AM65" s="366"/>
      <c r="AN65" s="366"/>
      <c r="AO65" s="366"/>
      <c r="AP65" s="365"/>
      <c r="AQ65" s="439"/>
      <c r="AR65" s="439"/>
      <c r="AS65" s="440"/>
      <c r="AT65" s="255"/>
      <c r="AU65" s="130"/>
      <c r="AV65" s="285"/>
      <c r="AW65" s="286"/>
      <c r="AX65" s="130"/>
      <c r="AY65" s="130"/>
      <c r="AZ65" s="130"/>
      <c r="BA65" s="285"/>
      <c r="BB65" s="286"/>
      <c r="BC65" s="130"/>
      <c r="BD65" s="285"/>
      <c r="BE65" s="286"/>
      <c r="BF65" s="130"/>
      <c r="BG65" s="285"/>
      <c r="BH65" s="286"/>
      <c r="BI65" s="130"/>
      <c r="BJ65" s="287"/>
      <c r="BK65" s="286"/>
      <c r="BL65" s="130"/>
      <c r="BM65" s="287"/>
      <c r="BN65" s="286"/>
      <c r="BO65" s="130"/>
      <c r="BP65" s="287"/>
      <c r="BQ65" s="286"/>
      <c r="BR65" s="130"/>
      <c r="BS65" s="287"/>
      <c r="BT65" s="286"/>
      <c r="BU65" s="130"/>
      <c r="BV65" s="130"/>
      <c r="BW65" s="130"/>
      <c r="BX65" s="130"/>
      <c r="BY65" s="329"/>
    </row>
    <row r="66" spans="1:99" s="393" customFormat="1">
      <c r="B66" s="261"/>
      <c r="C66" s="237"/>
      <c r="D66" s="397"/>
      <c r="E66" s="401" t="s">
        <v>171</v>
      </c>
      <c r="F66" s="127" t="s">
        <v>172</v>
      </c>
      <c r="G66" s="17"/>
      <c r="H66" s="365"/>
      <c r="I66" s="365"/>
      <c r="J66" s="365"/>
      <c r="K66" s="365"/>
      <c r="L66" s="365"/>
      <c r="M66" s="365"/>
      <c r="N66" s="365"/>
      <c r="O66" s="365"/>
      <c r="P66" s="365"/>
      <c r="Q66" s="365"/>
      <c r="R66" s="365"/>
      <c r="S66" s="418"/>
      <c r="T66" s="365"/>
      <c r="U66" s="365"/>
      <c r="V66" s="365"/>
      <c r="W66" s="365"/>
      <c r="X66" s="365"/>
      <c r="Y66" s="365"/>
      <c r="Z66" s="365"/>
      <c r="AA66" s="365"/>
      <c r="AB66" s="365"/>
      <c r="AC66" s="365"/>
      <c r="AD66" s="365"/>
      <c r="AE66" s="112"/>
      <c r="AF66" s="366"/>
      <c r="AG66" s="366"/>
      <c r="AH66" s="366"/>
      <c r="AI66" s="366"/>
      <c r="AJ66" s="366"/>
      <c r="AK66" s="366"/>
      <c r="AL66" s="366"/>
      <c r="AM66" s="366"/>
      <c r="AN66" s="366"/>
      <c r="AO66" s="366"/>
      <c r="AP66" s="365"/>
      <c r="AQ66" s="439"/>
      <c r="AR66" s="439"/>
      <c r="AS66" s="440"/>
      <c r="AT66" s="255"/>
      <c r="AU66" s="130"/>
      <c r="AV66" s="285"/>
      <c r="AW66" s="286"/>
      <c r="AX66" s="130"/>
      <c r="AY66" s="130"/>
      <c r="AZ66" s="130"/>
      <c r="BA66" s="285"/>
      <c r="BB66" s="286"/>
      <c r="BC66" s="130"/>
      <c r="BD66" s="285"/>
      <c r="BE66" s="286"/>
      <c r="BF66" s="130"/>
      <c r="BG66" s="285"/>
      <c r="BH66" s="286"/>
      <c r="BI66" s="130"/>
      <c r="BJ66" s="287"/>
      <c r="BK66" s="286"/>
      <c r="BL66" s="130"/>
      <c r="BM66" s="287"/>
      <c r="BN66" s="286"/>
      <c r="BO66" s="130"/>
      <c r="BP66" s="287"/>
      <c r="BQ66" s="286"/>
      <c r="BR66" s="130"/>
      <c r="BS66" s="287"/>
      <c r="BT66" s="286"/>
      <c r="BU66" s="130"/>
      <c r="BV66" s="130"/>
      <c r="BW66" s="130"/>
      <c r="BX66" s="130"/>
      <c r="BY66" s="329"/>
    </row>
    <row r="67" spans="1:99" s="240" customFormat="1" ht="26.25">
      <c r="A67" s="392"/>
      <c r="B67" s="261"/>
      <c r="C67" s="237"/>
      <c r="D67" s="397"/>
      <c r="E67" s="402" t="s">
        <v>173</v>
      </c>
      <c r="F67" s="368" t="s">
        <v>407</v>
      </c>
      <c r="G67" s="17" t="s">
        <v>108</v>
      </c>
      <c r="H67" s="365">
        <f t="shared" ref="H67:O67" si="105">+T67</f>
        <v>0</v>
      </c>
      <c r="I67" s="365">
        <f t="shared" si="105"/>
        <v>0</v>
      </c>
      <c r="J67" s="365">
        <f t="shared" si="105"/>
        <v>0</v>
      </c>
      <c r="K67" s="365">
        <f t="shared" si="105"/>
        <v>0</v>
      </c>
      <c r="L67" s="365">
        <f t="shared" si="105"/>
        <v>0</v>
      </c>
      <c r="M67" s="365">
        <f t="shared" si="105"/>
        <v>0</v>
      </c>
      <c r="N67" s="365">
        <f t="shared" si="105"/>
        <v>25</v>
      </c>
      <c r="O67" s="365">
        <f t="shared" si="105"/>
        <v>0</v>
      </c>
      <c r="P67" s="365">
        <f t="shared" ref="P67:Q69" si="106">+AB67</f>
        <v>0</v>
      </c>
      <c r="Q67" s="365">
        <f t="shared" si="106"/>
        <v>0</v>
      </c>
      <c r="R67" s="365"/>
      <c r="S67" s="418">
        <f>SUM(T67:AC67)</f>
        <v>25</v>
      </c>
      <c r="T67" s="365">
        <f t="shared" ref="T67:AC69" si="107">ROUND(AF67,ARRONDI_QT)</f>
        <v>0</v>
      </c>
      <c r="U67" s="365">
        <f t="shared" si="107"/>
        <v>0</v>
      </c>
      <c r="V67" s="365">
        <f t="shared" si="107"/>
        <v>0</v>
      </c>
      <c r="W67" s="365">
        <f t="shared" si="107"/>
        <v>0</v>
      </c>
      <c r="X67" s="365">
        <f t="shared" si="107"/>
        <v>0</v>
      </c>
      <c r="Y67" s="365">
        <f t="shared" si="107"/>
        <v>0</v>
      </c>
      <c r="Z67" s="365">
        <f t="shared" si="107"/>
        <v>25</v>
      </c>
      <c r="AA67" s="365">
        <f t="shared" si="107"/>
        <v>0</v>
      </c>
      <c r="AB67" s="365">
        <f t="shared" si="107"/>
        <v>0</v>
      </c>
      <c r="AC67" s="365">
        <f t="shared" si="107"/>
        <v>0</v>
      </c>
      <c r="AD67" s="365"/>
      <c r="AE67" s="112">
        <f>ROUND(SUM(AF67:AO67),ARRONDI_QT)</f>
        <v>25</v>
      </c>
      <c r="AF67" s="366">
        <v>0</v>
      </c>
      <c r="AG67" s="366">
        <v>0</v>
      </c>
      <c r="AH67" s="366">
        <v>0</v>
      </c>
      <c r="AI67" s="366">
        <v>0</v>
      </c>
      <c r="AJ67" s="366">
        <v>0</v>
      </c>
      <c r="AK67" s="366">
        <v>0</v>
      </c>
      <c r="AL67" s="366">
        <v>25</v>
      </c>
      <c r="AM67" s="366">
        <v>0</v>
      </c>
      <c r="AN67" s="366">
        <v>0</v>
      </c>
      <c r="AO67" s="366">
        <v>0</v>
      </c>
      <c r="AP67" s="365"/>
      <c r="AQ67" s="439">
        <f>SUM(H67:Q67)</f>
        <v>25</v>
      </c>
      <c r="AR67" s="439">
        <f>ROUND(AU67+BV67,ARRONDI_PU)</f>
        <v>83.25</v>
      </c>
      <c r="AS67" s="440">
        <f>+AR67*AQ67</f>
        <v>2081.25</v>
      </c>
      <c r="AT67" s="255"/>
      <c r="AU67" s="130">
        <f>+AX67+BB67+BE67+BH67+BK67+BN67+BQ67+BT67</f>
        <v>75</v>
      </c>
      <c r="AV67" s="285">
        <f>+COEF_MO_INSTALL</f>
        <v>1.3</v>
      </c>
      <c r="AW67" s="286">
        <v>0</v>
      </c>
      <c r="AX67" s="130">
        <f>+AW67*TH_INSTALL</f>
        <v>0</v>
      </c>
      <c r="AY67" s="130">
        <f>+AW67*AE67</f>
        <v>0</v>
      </c>
      <c r="AZ67" s="130">
        <f>IF(AQ67&gt;0,(AX67*AE67),0)</f>
        <v>0</v>
      </c>
      <c r="BA67" s="285">
        <f>+COEF_FOUR1_INSTALL</f>
        <v>1.3</v>
      </c>
      <c r="BB67" s="286">
        <v>0</v>
      </c>
      <c r="BC67" s="130">
        <f>IF(AQ67&gt;0,(BB67*AE67),0)</f>
        <v>0</v>
      </c>
      <c r="BD67" s="285">
        <f>+COEF_FOUR2_INSTALL</f>
        <v>1.3</v>
      </c>
      <c r="BE67" s="286">
        <v>0</v>
      </c>
      <c r="BF67" s="130">
        <f>IF(AQ67&gt;0,(BE67*AE67),0)</f>
        <v>0</v>
      </c>
      <c r="BG67" s="285">
        <f>+COEF_FOUR3_INSTALL</f>
        <v>1.3</v>
      </c>
      <c r="BH67" s="286">
        <v>0</v>
      </c>
      <c r="BI67" s="130">
        <f>IF(AQ67&gt;0,(BH67*AE67),0)</f>
        <v>0</v>
      </c>
      <c r="BJ67" s="287">
        <f>+COEF_MTLLOC_INSTALL</f>
        <v>1.1499999999999999</v>
      </c>
      <c r="BK67" s="286">
        <v>0</v>
      </c>
      <c r="BL67" s="130">
        <f>IF(AQ67&gt;0,(BK67*AE67),0)</f>
        <v>0</v>
      </c>
      <c r="BM67" s="287">
        <f>+COEF_MTLAMR_INSTALL</f>
        <v>1.3</v>
      </c>
      <c r="BN67" s="286">
        <v>0</v>
      </c>
      <c r="BO67" s="130">
        <f>IF(AQ67&gt;0,(BN67*AE67),0)</f>
        <v>0</v>
      </c>
      <c r="BP67" s="287">
        <f>+COEF_ST1_INSTALL</f>
        <v>1.1100000000000001</v>
      </c>
      <c r="BQ67" s="286">
        <v>75</v>
      </c>
      <c r="BR67" s="130">
        <f>IF(AQ67&gt;0,(BQ67*AE67),0)</f>
        <v>1875</v>
      </c>
      <c r="BS67" s="287">
        <f>+COEF_ST2_INSTALL</f>
        <v>1.1100000000000001</v>
      </c>
      <c r="BT67" s="286">
        <v>0</v>
      </c>
      <c r="BU67" s="130">
        <f>IF(AQ67&gt;0,(BT67*AE67),0)</f>
        <v>0</v>
      </c>
      <c r="BV67" s="130">
        <f>+(((AX67)*AV67)+(BB67*BA67)+(BE67*BD67)+(BH67*BG67)+(BK67*BJ67)+(BN67*BM67)+(BQ67*BP67)+(BT67*BS67)+(BT67*BS67))-(AU67)</f>
        <v>8.2500000000000142</v>
      </c>
      <c r="BW67" s="130">
        <f>+BV67*AE67</f>
        <v>206.25000000000034</v>
      </c>
      <c r="BX67" s="130">
        <f>AS67-(BW67+BU67+BR67+BO67+BL67+BI67+BF67+BC67+AZ67)</f>
        <v>0</v>
      </c>
      <c r="BY67" s="329"/>
      <c r="BZ67" s="370"/>
      <c r="CA67" s="370"/>
      <c r="CB67" s="370"/>
      <c r="CC67" s="370"/>
      <c r="CD67" s="370"/>
      <c r="CE67" s="370"/>
      <c r="CF67" s="367"/>
      <c r="CG67" s="367"/>
      <c r="CH67" s="367"/>
      <c r="CI67" s="367"/>
      <c r="CJ67" s="367"/>
      <c r="CK67" s="367"/>
      <c r="CL67" s="367"/>
      <c r="CM67" s="367"/>
      <c r="CN67" s="367"/>
      <c r="CO67" s="367"/>
      <c r="CP67" s="367"/>
      <c r="CQ67" s="367"/>
      <c r="CR67" s="367"/>
      <c r="CS67" s="367"/>
      <c r="CT67" s="367"/>
      <c r="CU67" s="367"/>
    </row>
    <row r="68" spans="1:99" s="444" customFormat="1">
      <c r="B68" s="261"/>
      <c r="C68" s="237"/>
      <c r="D68" s="397"/>
      <c r="E68" s="401"/>
      <c r="F68" s="127"/>
      <c r="G68" s="17"/>
      <c r="H68" s="365"/>
      <c r="I68" s="365"/>
      <c r="J68" s="365"/>
      <c r="K68" s="365"/>
      <c r="L68" s="365"/>
      <c r="M68" s="365"/>
      <c r="N68" s="365"/>
      <c r="O68" s="365"/>
      <c r="P68" s="365"/>
      <c r="Q68" s="365"/>
      <c r="R68" s="365"/>
      <c r="S68" s="418"/>
      <c r="T68" s="365"/>
      <c r="U68" s="365"/>
      <c r="V68" s="365"/>
      <c r="W68" s="365"/>
      <c r="X68" s="365"/>
      <c r="Y68" s="365"/>
      <c r="Z68" s="365"/>
      <c r="AA68" s="365"/>
      <c r="AB68" s="365"/>
      <c r="AC68" s="365"/>
      <c r="AD68" s="365"/>
      <c r="AE68" s="112"/>
      <c r="AF68" s="366"/>
      <c r="AG68" s="366"/>
      <c r="AH68" s="366"/>
      <c r="AI68" s="366"/>
      <c r="AJ68" s="366"/>
      <c r="AK68" s="366"/>
      <c r="AL68" s="366"/>
      <c r="AM68" s="366"/>
      <c r="AN68" s="366"/>
      <c r="AO68" s="366"/>
      <c r="AP68" s="365"/>
      <c r="AQ68" s="439"/>
      <c r="AR68" s="439"/>
      <c r="AS68" s="440"/>
      <c r="AT68" s="255"/>
      <c r="AU68" s="130"/>
      <c r="AV68" s="285"/>
      <c r="AW68" s="286"/>
      <c r="AX68" s="130"/>
      <c r="AY68" s="130"/>
      <c r="AZ68" s="130"/>
      <c r="BA68" s="285"/>
      <c r="BB68" s="286"/>
      <c r="BC68" s="130"/>
      <c r="BD68" s="285"/>
      <c r="BE68" s="286"/>
      <c r="BF68" s="130"/>
      <c r="BG68" s="285"/>
      <c r="BH68" s="286"/>
      <c r="BI68" s="130"/>
      <c r="BJ68" s="287"/>
      <c r="BK68" s="286"/>
      <c r="BL68" s="130"/>
      <c r="BM68" s="287"/>
      <c r="BN68" s="286"/>
      <c r="BO68" s="130"/>
      <c r="BP68" s="287"/>
      <c r="BQ68" s="286"/>
      <c r="BR68" s="130"/>
      <c r="BS68" s="287"/>
      <c r="BT68" s="286"/>
      <c r="BU68" s="130"/>
      <c r="BV68" s="130"/>
      <c r="BW68" s="130"/>
      <c r="BX68" s="130"/>
      <c r="BY68" s="329"/>
    </row>
    <row r="69" spans="1:99" s="327" customFormat="1">
      <c r="A69" s="392"/>
      <c r="B69" s="261"/>
      <c r="C69" s="237"/>
      <c r="D69" s="397"/>
      <c r="E69" s="401" t="s">
        <v>174</v>
      </c>
      <c r="F69" s="127" t="s">
        <v>338</v>
      </c>
      <c r="G69" s="17" t="s">
        <v>105</v>
      </c>
      <c r="H69" s="365">
        <f t="shared" ref="H69:O69" si="108">+T69</f>
        <v>0</v>
      </c>
      <c r="I69" s="365">
        <f t="shared" si="108"/>
        <v>0</v>
      </c>
      <c r="J69" s="365">
        <f t="shared" si="108"/>
        <v>0</v>
      </c>
      <c r="K69" s="365">
        <f t="shared" si="108"/>
        <v>0</v>
      </c>
      <c r="L69" s="365">
        <f t="shared" si="108"/>
        <v>0</v>
      </c>
      <c r="M69" s="365">
        <f t="shared" si="108"/>
        <v>0</v>
      </c>
      <c r="N69" s="365">
        <f t="shared" si="108"/>
        <v>1</v>
      </c>
      <c r="O69" s="365">
        <f t="shared" si="108"/>
        <v>0</v>
      </c>
      <c r="P69" s="365">
        <f t="shared" si="106"/>
        <v>0</v>
      </c>
      <c r="Q69" s="365">
        <f t="shared" si="106"/>
        <v>0</v>
      </c>
      <c r="R69" s="365"/>
      <c r="S69" s="418">
        <f>SUM(T69:AC69)</f>
        <v>1</v>
      </c>
      <c r="T69" s="365">
        <f t="shared" si="107"/>
        <v>0</v>
      </c>
      <c r="U69" s="365">
        <f t="shared" si="107"/>
        <v>0</v>
      </c>
      <c r="V69" s="365">
        <f t="shared" si="107"/>
        <v>0</v>
      </c>
      <c r="W69" s="365">
        <f t="shared" si="107"/>
        <v>0</v>
      </c>
      <c r="X69" s="365">
        <f t="shared" si="107"/>
        <v>0</v>
      </c>
      <c r="Y69" s="365">
        <f t="shared" si="107"/>
        <v>0</v>
      </c>
      <c r="Z69" s="365">
        <f t="shared" si="107"/>
        <v>1</v>
      </c>
      <c r="AA69" s="365">
        <f t="shared" si="107"/>
        <v>0</v>
      </c>
      <c r="AB69" s="365">
        <f t="shared" si="107"/>
        <v>0</v>
      </c>
      <c r="AC69" s="365">
        <f t="shared" si="107"/>
        <v>0</v>
      </c>
      <c r="AD69" s="365"/>
      <c r="AE69" s="112">
        <f>ROUND(SUM(AF69:AO69),ARRONDI_QT)</f>
        <v>1</v>
      </c>
      <c r="AF69" s="366">
        <v>0</v>
      </c>
      <c r="AG69" s="366">
        <v>0</v>
      </c>
      <c r="AH69" s="366">
        <v>0</v>
      </c>
      <c r="AI69" s="366">
        <v>0</v>
      </c>
      <c r="AJ69" s="366">
        <v>0</v>
      </c>
      <c r="AK69" s="366">
        <v>0</v>
      </c>
      <c r="AL69" s="366">
        <v>1</v>
      </c>
      <c r="AM69" s="366">
        <v>0</v>
      </c>
      <c r="AN69" s="366">
        <v>0</v>
      </c>
      <c r="AO69" s="366">
        <v>0</v>
      </c>
      <c r="AP69" s="365"/>
      <c r="AQ69" s="439">
        <f>SUM(H69:Q69)</f>
        <v>1</v>
      </c>
      <c r="AR69" s="439">
        <f>ROUND(AU69+BV69,ARRONDI_PU)</f>
        <v>5550</v>
      </c>
      <c r="AS69" s="440">
        <f>+AR69*AQ69</f>
        <v>5550</v>
      </c>
      <c r="AT69" s="255"/>
      <c r="AU69" s="130">
        <f>+AX69+BB69+BE69+BH69+BK69+BN69+BQ69+BT69</f>
        <v>5000</v>
      </c>
      <c r="AV69" s="285">
        <f>+COEF_MO_INSTALL</f>
        <v>1.3</v>
      </c>
      <c r="AW69" s="286">
        <v>0</v>
      </c>
      <c r="AX69" s="130">
        <f>+AW69*TH_INSTALL</f>
        <v>0</v>
      </c>
      <c r="AY69" s="130">
        <f>+AW69*AE69</f>
        <v>0</v>
      </c>
      <c r="AZ69" s="130">
        <f>IF(AQ69&gt;0,(AX69*AE69),0)</f>
        <v>0</v>
      </c>
      <c r="BA69" s="285">
        <f>+COEF_FOUR1_INSTALL</f>
        <v>1.3</v>
      </c>
      <c r="BB69" s="286">
        <v>0</v>
      </c>
      <c r="BC69" s="130">
        <f>IF(AQ69&gt;0,(BB69*AE69),0)</f>
        <v>0</v>
      </c>
      <c r="BD69" s="285">
        <f>+COEF_FOUR2_INSTALL</f>
        <v>1.3</v>
      </c>
      <c r="BE69" s="286">
        <v>0</v>
      </c>
      <c r="BF69" s="130">
        <f>IF(AQ69&gt;0,(BE69*AE69),0)</f>
        <v>0</v>
      </c>
      <c r="BG69" s="285">
        <f>+COEF_FOUR3_INSTALL</f>
        <v>1.3</v>
      </c>
      <c r="BH69" s="286">
        <v>0</v>
      </c>
      <c r="BI69" s="130">
        <f>IF(AQ69&gt;0,(BH69*AE69),0)</f>
        <v>0</v>
      </c>
      <c r="BJ69" s="287">
        <f>+COEF_MTLLOC_INSTALL</f>
        <v>1.1499999999999999</v>
      </c>
      <c r="BK69" s="286">
        <v>0</v>
      </c>
      <c r="BL69" s="130">
        <f>IF(AQ69&gt;0,(BK69*AE69),0)</f>
        <v>0</v>
      </c>
      <c r="BM69" s="287">
        <f>+COEF_MTLAMR_INSTALL</f>
        <v>1.3</v>
      </c>
      <c r="BN69" s="286">
        <v>0</v>
      </c>
      <c r="BO69" s="130">
        <f>IF(AQ69&gt;0,(BN69*AE69),0)</f>
        <v>0</v>
      </c>
      <c r="BP69" s="287">
        <f>+COEF_ST1_INSTALL</f>
        <v>1.1100000000000001</v>
      </c>
      <c r="BQ69" s="286">
        <v>5000</v>
      </c>
      <c r="BR69" s="130">
        <f>IF(AQ69&gt;0,(BQ69*AE69),0)</f>
        <v>5000</v>
      </c>
      <c r="BS69" s="287">
        <f>+COEF_ST2_INSTALL</f>
        <v>1.1100000000000001</v>
      </c>
      <c r="BT69" s="286">
        <v>0</v>
      </c>
      <c r="BU69" s="130">
        <f>IF(AQ69&gt;0,(BT69*AE69),0)</f>
        <v>0</v>
      </c>
      <c r="BV69" s="130">
        <f>+(((AX69)*AV69)+(BB69*BA69)+(BE69*BD69)+(BH69*BG69)+(BK69*BJ69)+(BN69*BM69)+(BQ69*BP69)+(BT69*BS69)+(BT69*BS69))-(AU69)</f>
        <v>550.00000000000091</v>
      </c>
      <c r="BW69" s="130">
        <f>+BV69*AE69</f>
        <v>550.00000000000091</v>
      </c>
      <c r="BX69" s="130">
        <f>AS69-(BW69+BU69+BR69+BO69+BL69+BI69+BF69+BC69+AZ69)</f>
        <v>0</v>
      </c>
      <c r="BY69" s="329"/>
      <c r="BZ69" s="367"/>
      <c r="CA69" s="367"/>
      <c r="CB69" s="367"/>
      <c r="CC69" s="367"/>
      <c r="CD69" s="367"/>
      <c r="CE69" s="367"/>
      <c r="CF69" s="367"/>
      <c r="CG69" s="367"/>
      <c r="CH69" s="367"/>
      <c r="CI69" s="367"/>
      <c r="CJ69" s="367"/>
      <c r="CK69" s="367"/>
      <c r="CL69" s="367"/>
      <c r="CM69" s="367"/>
      <c r="CN69" s="367"/>
      <c r="CO69" s="367"/>
      <c r="CP69" s="367"/>
      <c r="CQ69" s="367"/>
      <c r="CR69" s="367"/>
      <c r="CS69" s="367"/>
      <c r="CT69" s="367"/>
      <c r="CU69" s="367"/>
    </row>
    <row r="70" spans="1:99" s="393" customFormat="1">
      <c r="B70" s="261"/>
      <c r="C70" s="237"/>
      <c r="D70" s="397"/>
      <c r="E70" s="401"/>
      <c r="F70" s="127"/>
      <c r="G70" s="17"/>
      <c r="H70" s="365"/>
      <c r="I70" s="365"/>
      <c r="J70" s="365"/>
      <c r="K70" s="365"/>
      <c r="L70" s="365"/>
      <c r="M70" s="365"/>
      <c r="N70" s="365"/>
      <c r="O70" s="365"/>
      <c r="P70" s="365"/>
      <c r="Q70" s="365"/>
      <c r="R70" s="365"/>
      <c r="S70" s="418"/>
      <c r="T70" s="365"/>
      <c r="U70" s="365"/>
      <c r="V70" s="365"/>
      <c r="W70" s="365"/>
      <c r="X70" s="365"/>
      <c r="Y70" s="365"/>
      <c r="Z70" s="365"/>
      <c r="AA70" s="365"/>
      <c r="AB70" s="365"/>
      <c r="AC70" s="365"/>
      <c r="AD70" s="365"/>
      <c r="AE70" s="112"/>
      <c r="AF70" s="366"/>
      <c r="AG70" s="366"/>
      <c r="AH70" s="366"/>
      <c r="AI70" s="366"/>
      <c r="AJ70" s="366"/>
      <c r="AK70" s="366"/>
      <c r="AL70" s="366"/>
      <c r="AM70" s="366"/>
      <c r="AN70" s="366"/>
      <c r="AO70" s="366"/>
      <c r="AP70" s="365"/>
      <c r="AQ70" s="439"/>
      <c r="AR70" s="439"/>
      <c r="AS70" s="440"/>
      <c r="AT70" s="255"/>
      <c r="AU70" s="130"/>
      <c r="AV70" s="285"/>
      <c r="AW70" s="286"/>
      <c r="AX70" s="130"/>
      <c r="AY70" s="130"/>
      <c r="AZ70" s="130"/>
      <c r="BA70" s="285"/>
      <c r="BB70" s="286"/>
      <c r="BC70" s="130"/>
      <c r="BD70" s="285"/>
      <c r="BE70" s="286"/>
      <c r="BF70" s="130"/>
      <c r="BG70" s="285"/>
      <c r="BH70" s="286"/>
      <c r="BI70" s="130"/>
      <c r="BJ70" s="287"/>
      <c r="BK70" s="286"/>
      <c r="BL70" s="130"/>
      <c r="BM70" s="287"/>
      <c r="BN70" s="286"/>
      <c r="BO70" s="130"/>
      <c r="BP70" s="287"/>
      <c r="BQ70" s="286"/>
      <c r="BR70" s="130"/>
      <c r="BS70" s="287"/>
      <c r="BT70" s="286"/>
      <c r="BU70" s="130"/>
      <c r="BV70" s="130"/>
      <c r="BW70" s="130"/>
      <c r="BX70" s="130"/>
      <c r="BY70" s="329"/>
    </row>
    <row r="71" spans="1:99" s="240" customFormat="1" ht="39">
      <c r="A71" s="392"/>
      <c r="B71" s="261"/>
      <c r="C71" s="237"/>
      <c r="D71" s="397"/>
      <c r="E71" s="402" t="s">
        <v>175</v>
      </c>
      <c r="F71" s="368" t="s">
        <v>409</v>
      </c>
      <c r="G71" s="17" t="s">
        <v>26</v>
      </c>
      <c r="H71" s="365"/>
      <c r="I71" s="365"/>
      <c r="J71" s="365"/>
      <c r="K71" s="365"/>
      <c r="L71" s="365"/>
      <c r="M71" s="365"/>
      <c r="N71" s="365"/>
      <c r="O71" s="365"/>
      <c r="P71" s="365"/>
      <c r="Q71" s="365"/>
      <c r="R71" s="365"/>
      <c r="S71" s="418"/>
      <c r="T71" s="365"/>
      <c r="U71" s="365"/>
      <c r="V71" s="365"/>
      <c r="W71" s="365"/>
      <c r="X71" s="365"/>
      <c r="Y71" s="365"/>
      <c r="Z71" s="365"/>
      <c r="AA71" s="365"/>
      <c r="AB71" s="365"/>
      <c r="AC71" s="365"/>
      <c r="AD71" s="365"/>
      <c r="AE71" s="112"/>
      <c r="AF71" s="366"/>
      <c r="AG71" s="366"/>
      <c r="AH71" s="366"/>
      <c r="AI71" s="366"/>
      <c r="AJ71" s="366"/>
      <c r="AK71" s="366"/>
      <c r="AL71" s="366"/>
      <c r="AM71" s="366"/>
      <c r="AN71" s="366"/>
      <c r="AO71" s="366"/>
      <c r="AP71" s="365"/>
      <c r="AQ71" s="441" t="s">
        <v>104</v>
      </c>
      <c r="AR71" s="441" t="str">
        <f>+AQ71</f>
        <v>Sans objet</v>
      </c>
      <c r="AS71" s="442" t="str">
        <f>+AR71</f>
        <v>Sans objet</v>
      </c>
      <c r="AT71" s="255"/>
      <c r="AU71" s="130"/>
      <c r="AV71" s="285"/>
      <c r="AW71" s="286"/>
      <c r="AX71" s="130"/>
      <c r="AY71" s="130"/>
      <c r="AZ71" s="130"/>
      <c r="BA71" s="285"/>
      <c r="BB71" s="286"/>
      <c r="BC71" s="130"/>
      <c r="BD71" s="285"/>
      <c r="BE71" s="286"/>
      <c r="BF71" s="130"/>
      <c r="BG71" s="285"/>
      <c r="BH71" s="286"/>
      <c r="BI71" s="130"/>
      <c r="BJ71" s="287"/>
      <c r="BK71" s="286"/>
      <c r="BL71" s="130"/>
      <c r="BM71" s="287"/>
      <c r="BN71" s="286"/>
      <c r="BO71" s="130"/>
      <c r="BP71" s="287"/>
      <c r="BQ71" s="286"/>
      <c r="BR71" s="130"/>
      <c r="BS71" s="287"/>
      <c r="BT71" s="286"/>
      <c r="BU71" s="130"/>
      <c r="BV71" s="130"/>
      <c r="BW71" s="130"/>
      <c r="BX71" s="130"/>
      <c r="BY71" s="329"/>
      <c r="BZ71" s="443"/>
      <c r="CA71" s="443"/>
      <c r="CB71" s="443"/>
      <c r="CC71" s="443"/>
      <c r="CD71" s="443"/>
      <c r="CE71" s="443"/>
      <c r="CF71" s="443"/>
      <c r="CG71" s="443"/>
      <c r="CH71" s="443"/>
      <c r="CI71" s="443"/>
      <c r="CJ71" s="367"/>
      <c r="CK71" s="367"/>
      <c r="CL71" s="367"/>
      <c r="CM71" s="367"/>
      <c r="CN71" s="367"/>
      <c r="CO71" s="367"/>
      <c r="CP71" s="367"/>
      <c r="CQ71" s="367"/>
      <c r="CR71" s="367"/>
      <c r="CS71" s="367"/>
      <c r="CT71" s="367"/>
      <c r="CU71" s="367"/>
    </row>
    <row r="72" spans="1:99" s="393" customFormat="1">
      <c r="B72" s="261"/>
      <c r="C72" s="237"/>
      <c r="D72" s="397"/>
      <c r="E72" s="401"/>
      <c r="F72" s="127"/>
      <c r="G72" s="17"/>
      <c r="H72" s="365"/>
      <c r="I72" s="365"/>
      <c r="J72" s="365"/>
      <c r="K72" s="365"/>
      <c r="L72" s="365"/>
      <c r="M72" s="365"/>
      <c r="N72" s="365"/>
      <c r="O72" s="365"/>
      <c r="P72" s="365"/>
      <c r="Q72" s="365"/>
      <c r="R72" s="365"/>
      <c r="S72" s="418"/>
      <c r="T72" s="365"/>
      <c r="U72" s="365"/>
      <c r="V72" s="365"/>
      <c r="W72" s="365"/>
      <c r="X72" s="365"/>
      <c r="Y72" s="365"/>
      <c r="Z72" s="365"/>
      <c r="AA72" s="365"/>
      <c r="AB72" s="365"/>
      <c r="AC72" s="365"/>
      <c r="AD72" s="365"/>
      <c r="AE72" s="112"/>
      <c r="AF72" s="366"/>
      <c r="AG72" s="366"/>
      <c r="AH72" s="366"/>
      <c r="AI72" s="366"/>
      <c r="AJ72" s="366"/>
      <c r="AK72" s="366"/>
      <c r="AL72" s="366"/>
      <c r="AM72" s="366"/>
      <c r="AN72" s="366"/>
      <c r="AO72" s="366"/>
      <c r="AP72" s="365"/>
      <c r="AQ72" s="439"/>
      <c r="AR72" s="439"/>
      <c r="AS72" s="440"/>
      <c r="AT72" s="255"/>
      <c r="AU72" s="130"/>
      <c r="AV72" s="285"/>
      <c r="AW72" s="286"/>
      <c r="AX72" s="130"/>
      <c r="AY72" s="130"/>
      <c r="AZ72" s="130"/>
      <c r="BA72" s="285"/>
      <c r="BB72" s="286"/>
      <c r="BC72" s="130"/>
      <c r="BD72" s="285"/>
      <c r="BE72" s="286"/>
      <c r="BF72" s="130"/>
      <c r="BG72" s="285"/>
      <c r="BH72" s="286"/>
      <c r="BI72" s="130"/>
      <c r="BJ72" s="287"/>
      <c r="BK72" s="286"/>
      <c r="BL72" s="130"/>
      <c r="BM72" s="287"/>
      <c r="BN72" s="286"/>
      <c r="BO72" s="130"/>
      <c r="BP72" s="287"/>
      <c r="BQ72" s="286"/>
      <c r="BR72" s="130"/>
      <c r="BS72" s="287"/>
      <c r="BT72" s="286"/>
      <c r="BU72" s="130"/>
      <c r="BV72" s="130"/>
      <c r="BW72" s="130"/>
      <c r="BX72" s="130"/>
      <c r="BY72" s="329"/>
    </row>
    <row r="73" spans="1:99" s="240" customFormat="1">
      <c r="A73" s="392"/>
      <c r="B73" s="261"/>
      <c r="C73" s="237"/>
      <c r="D73" s="397"/>
      <c r="E73" s="401" t="s">
        <v>336</v>
      </c>
      <c r="F73" s="127" t="s">
        <v>337</v>
      </c>
      <c r="G73" s="17" t="s">
        <v>26</v>
      </c>
      <c r="H73" s="365"/>
      <c r="I73" s="365"/>
      <c r="J73" s="365"/>
      <c r="K73" s="365"/>
      <c r="L73" s="365"/>
      <c r="M73" s="365"/>
      <c r="N73" s="365"/>
      <c r="O73" s="365"/>
      <c r="P73" s="365"/>
      <c r="Q73" s="365"/>
      <c r="R73" s="365"/>
      <c r="S73" s="418"/>
      <c r="T73" s="365"/>
      <c r="U73" s="365"/>
      <c r="V73" s="365"/>
      <c r="W73" s="365"/>
      <c r="X73" s="365"/>
      <c r="Y73" s="365"/>
      <c r="Z73" s="365"/>
      <c r="AA73" s="365"/>
      <c r="AB73" s="365"/>
      <c r="AC73" s="365"/>
      <c r="AD73" s="365"/>
      <c r="AE73" s="112"/>
      <c r="AF73" s="366"/>
      <c r="AG73" s="366"/>
      <c r="AH73" s="366"/>
      <c r="AI73" s="366"/>
      <c r="AJ73" s="366"/>
      <c r="AK73" s="366"/>
      <c r="AL73" s="366"/>
      <c r="AM73" s="366"/>
      <c r="AN73" s="366"/>
      <c r="AO73" s="366"/>
      <c r="AP73" s="365"/>
      <c r="AQ73" s="441" t="s">
        <v>104</v>
      </c>
      <c r="AR73" s="441" t="str">
        <f>+AQ73</f>
        <v>Sans objet</v>
      </c>
      <c r="AS73" s="442" t="str">
        <f>+AR73</f>
        <v>Sans objet</v>
      </c>
      <c r="AT73" s="255"/>
      <c r="AU73" s="130"/>
      <c r="AV73" s="285"/>
      <c r="AW73" s="286"/>
      <c r="AX73" s="130"/>
      <c r="AY73" s="130"/>
      <c r="AZ73" s="130"/>
      <c r="BA73" s="285"/>
      <c r="BB73" s="286"/>
      <c r="BC73" s="130"/>
      <c r="BD73" s="285"/>
      <c r="BE73" s="286"/>
      <c r="BF73" s="130"/>
      <c r="BG73" s="285"/>
      <c r="BH73" s="286"/>
      <c r="BI73" s="130"/>
      <c r="BJ73" s="287"/>
      <c r="BK73" s="286"/>
      <c r="BL73" s="130"/>
      <c r="BM73" s="287"/>
      <c r="BN73" s="286"/>
      <c r="BO73" s="130"/>
      <c r="BP73" s="287"/>
      <c r="BQ73" s="286"/>
      <c r="BR73" s="130"/>
      <c r="BS73" s="287"/>
      <c r="BT73" s="286"/>
      <c r="BU73" s="130"/>
      <c r="BV73" s="130"/>
      <c r="BW73" s="130"/>
      <c r="BX73" s="130"/>
      <c r="BY73" s="329"/>
      <c r="BZ73" s="367"/>
      <c r="CA73" s="367"/>
      <c r="CB73" s="367"/>
      <c r="CC73" s="367"/>
      <c r="CD73" s="367"/>
      <c r="CE73" s="367"/>
      <c r="CF73" s="367"/>
      <c r="CG73" s="367"/>
      <c r="CH73" s="367"/>
      <c r="CI73" s="367"/>
      <c r="CJ73" s="367"/>
      <c r="CK73" s="367"/>
      <c r="CL73" s="367"/>
      <c r="CM73" s="367"/>
      <c r="CN73" s="367"/>
      <c r="CO73" s="367"/>
      <c r="CP73" s="367"/>
      <c r="CQ73" s="367"/>
      <c r="CR73" s="367"/>
      <c r="CS73" s="367"/>
      <c r="CT73" s="367"/>
      <c r="CU73" s="367"/>
    </row>
    <row r="74" spans="1:99" s="240" customFormat="1">
      <c r="A74" s="392"/>
      <c r="B74" s="261"/>
      <c r="C74" s="237"/>
      <c r="D74" s="397"/>
      <c r="E74" s="125"/>
      <c r="F74" s="131"/>
      <c r="G74" s="17"/>
      <c r="H74" s="232"/>
      <c r="I74" s="232"/>
      <c r="J74" s="232"/>
      <c r="K74" s="232"/>
      <c r="L74" s="232"/>
      <c r="M74" s="232"/>
      <c r="N74" s="232"/>
      <c r="O74" s="232"/>
      <c r="P74" s="232"/>
      <c r="Q74" s="232"/>
      <c r="R74" s="232"/>
      <c r="S74" s="419"/>
      <c r="T74" s="112"/>
      <c r="U74" s="112"/>
      <c r="V74" s="112"/>
      <c r="W74" s="112"/>
      <c r="X74" s="112"/>
      <c r="Y74" s="112"/>
      <c r="Z74" s="112"/>
      <c r="AA74" s="112"/>
      <c r="AB74" s="112"/>
      <c r="AC74" s="112"/>
      <c r="AD74" s="232"/>
      <c r="AE74" s="112"/>
      <c r="AF74" s="112"/>
      <c r="AG74" s="112"/>
      <c r="AH74" s="112"/>
      <c r="AI74" s="112"/>
      <c r="AJ74" s="112"/>
      <c r="AK74" s="112"/>
      <c r="AL74" s="112"/>
      <c r="AM74" s="112"/>
      <c r="AN74" s="112"/>
      <c r="AO74" s="112"/>
      <c r="AP74" s="232"/>
      <c r="AQ74" s="439"/>
      <c r="AR74" s="439"/>
      <c r="AS74" s="440"/>
      <c r="AU74" s="455"/>
      <c r="AV74" s="284"/>
      <c r="AW74" s="128"/>
      <c r="AX74" s="128"/>
      <c r="AY74" s="128"/>
      <c r="AZ74" s="128"/>
      <c r="BA74" s="284"/>
      <c r="BB74" s="128"/>
      <c r="BC74" s="128"/>
      <c r="BD74" s="284"/>
      <c r="BE74" s="128"/>
      <c r="BF74" s="128"/>
      <c r="BG74" s="284"/>
      <c r="BH74" s="128"/>
      <c r="BI74" s="128"/>
      <c r="BJ74" s="284"/>
      <c r="BK74" s="128"/>
      <c r="BL74" s="128"/>
      <c r="BM74" s="284"/>
      <c r="BN74" s="128"/>
      <c r="BO74" s="128"/>
      <c r="BP74" s="284"/>
      <c r="BQ74" s="128"/>
      <c r="BR74" s="128"/>
      <c r="BS74" s="284"/>
      <c r="BT74" s="128"/>
      <c r="BU74" s="128"/>
      <c r="BV74" s="128"/>
      <c r="BW74" s="128"/>
      <c r="BX74" s="330"/>
    </row>
    <row r="75" spans="1:99" s="240" customFormat="1">
      <c r="A75" s="392"/>
      <c r="B75" s="269"/>
      <c r="C75" s="239"/>
      <c r="D75" s="239"/>
      <c r="E75" s="132"/>
      <c r="F75" s="133"/>
      <c r="G75" s="436" t="str">
        <f>"ST - "&amp;F8</f>
        <v>ST - TERRASSEMENT</v>
      </c>
      <c r="H75" s="230"/>
      <c r="I75" s="230"/>
      <c r="J75" s="230"/>
      <c r="K75" s="230"/>
      <c r="L75" s="230"/>
      <c r="M75" s="230"/>
      <c r="N75" s="230"/>
      <c r="O75" s="230"/>
      <c r="P75" s="230"/>
      <c r="Q75" s="404"/>
      <c r="R75" s="404"/>
      <c r="S75" s="420"/>
      <c r="T75" s="291"/>
      <c r="U75" s="291"/>
      <c r="V75" s="291"/>
      <c r="W75" s="291"/>
      <c r="X75" s="291"/>
      <c r="Y75" s="291"/>
      <c r="Z75" s="291"/>
      <c r="AA75" s="291"/>
      <c r="AB75" s="291"/>
      <c r="AC75" s="291"/>
      <c r="AD75" s="404"/>
      <c r="AE75" s="291"/>
      <c r="AF75" s="291"/>
      <c r="AG75" s="291"/>
      <c r="AH75" s="291"/>
      <c r="AI75" s="291"/>
      <c r="AJ75" s="291"/>
      <c r="AK75" s="291"/>
      <c r="AL75" s="291"/>
      <c r="AM75" s="291"/>
      <c r="AN75" s="291"/>
      <c r="AO75" s="291"/>
      <c r="AP75" s="404"/>
      <c r="AQ75" s="134"/>
      <c r="AR75" s="135"/>
      <c r="AS75" s="435">
        <f>SUM(AS9:AS74)</f>
        <v>266217.65299999999</v>
      </c>
      <c r="AU75" s="456" t="str">
        <f>"ST - DÉBOURSÉ : "&amp;F8</f>
        <v>ST - DÉBOURSÉ : TERRASSEMENT</v>
      </c>
      <c r="AV75" s="282"/>
      <c r="AW75" s="282"/>
      <c r="AX75" s="289" t="s">
        <v>50</v>
      </c>
      <c r="AY75" s="290">
        <f>SUM(AY9:AY74)</f>
        <v>31.880000000000003</v>
      </c>
      <c r="AZ75" s="290">
        <f>SUM(AZ9:AZ74)</f>
        <v>940.46</v>
      </c>
      <c r="BA75" s="291"/>
      <c r="BB75" s="292" t="s">
        <v>42</v>
      </c>
      <c r="BC75" s="290">
        <f>SUM(BC9:BC74)</f>
        <v>13070.8</v>
      </c>
      <c r="BD75" s="291"/>
      <c r="BE75" s="292" t="s">
        <v>43</v>
      </c>
      <c r="BF75" s="290">
        <f>SUM(BF9:BF74)</f>
        <v>46</v>
      </c>
      <c r="BG75" s="291"/>
      <c r="BH75" s="292" t="s">
        <v>44</v>
      </c>
      <c r="BI75" s="290">
        <f>SUM(BI9:BI74)</f>
        <v>95</v>
      </c>
      <c r="BJ75" s="291"/>
      <c r="BK75" s="292" t="s">
        <v>45</v>
      </c>
      <c r="BL75" s="290">
        <f>SUM(BL9:BL74)</f>
        <v>791</v>
      </c>
      <c r="BM75" s="291"/>
      <c r="BN75" s="292" t="s">
        <v>46</v>
      </c>
      <c r="BO75" s="290">
        <f>SUM(BO9:BO74)</f>
        <v>0</v>
      </c>
      <c r="BP75" s="291"/>
      <c r="BQ75" s="292" t="s">
        <v>47</v>
      </c>
      <c r="BR75" s="290">
        <f>SUM(BR9:BR74)</f>
        <v>222441.5</v>
      </c>
      <c r="BS75" s="291"/>
      <c r="BT75" s="292" t="s">
        <v>48</v>
      </c>
      <c r="BU75" s="290">
        <f>SUM(BU9:BU74)</f>
        <v>0</v>
      </c>
      <c r="BV75" s="292" t="s">
        <v>49</v>
      </c>
      <c r="BW75" s="290">
        <f>SUM(BW9:BW74)</f>
        <v>28832.893000000015</v>
      </c>
      <c r="BX75" s="290">
        <f>SUM(BX9:BX74)</f>
        <v>0</v>
      </c>
    </row>
    <row r="76" spans="1:99" s="240" customFormat="1" ht="7.15" customHeight="1">
      <c r="A76" s="392"/>
      <c r="B76" s="30"/>
      <c r="C76" s="31"/>
      <c r="D76" s="31"/>
      <c r="E76" s="30"/>
      <c r="F76" s="31"/>
      <c r="G76" s="31"/>
      <c r="H76" s="31"/>
      <c r="I76" s="31"/>
      <c r="J76" s="31"/>
      <c r="K76" s="31"/>
      <c r="L76" s="31"/>
      <c r="M76" s="31"/>
      <c r="N76" s="31"/>
      <c r="O76" s="31"/>
      <c r="P76" s="31"/>
      <c r="Q76" s="405"/>
      <c r="R76" s="405"/>
      <c r="S76" s="415"/>
      <c r="T76" s="281"/>
      <c r="U76" s="281"/>
      <c r="V76" s="281"/>
      <c r="W76" s="281"/>
      <c r="X76" s="281"/>
      <c r="Y76" s="281"/>
      <c r="Z76" s="281"/>
      <c r="AA76" s="281"/>
      <c r="AB76" s="281"/>
      <c r="AC76" s="281"/>
      <c r="AD76" s="405"/>
      <c r="AE76" s="281"/>
      <c r="AF76" s="281"/>
      <c r="AG76" s="281"/>
      <c r="AH76" s="281"/>
      <c r="AI76" s="281"/>
      <c r="AJ76" s="281"/>
      <c r="AK76" s="281"/>
      <c r="AL76" s="281"/>
      <c r="AM76" s="281"/>
      <c r="AN76" s="281"/>
      <c r="AO76" s="281"/>
      <c r="AP76" s="405"/>
      <c r="AQ76" s="32"/>
      <c r="AR76" s="33"/>
      <c r="AS76" s="34"/>
      <c r="AU76" s="277"/>
      <c r="AV76" s="278"/>
      <c r="AW76" s="279"/>
      <c r="AX76" s="279"/>
      <c r="AY76" s="279"/>
      <c r="AZ76" s="279"/>
      <c r="BA76" s="279"/>
      <c r="BB76" s="279"/>
      <c r="BC76" s="279"/>
      <c r="BD76" s="279"/>
      <c r="BE76" s="279"/>
      <c r="BF76" s="279"/>
      <c r="BG76" s="279"/>
      <c r="BH76" s="279"/>
      <c r="BI76" s="279"/>
      <c r="BJ76" s="279"/>
      <c r="BK76" s="279"/>
      <c r="BL76" s="279"/>
      <c r="BM76" s="279"/>
      <c r="BN76" s="279"/>
      <c r="BO76" s="279"/>
      <c r="BP76" s="279"/>
      <c r="BQ76" s="279"/>
      <c r="BR76" s="279"/>
      <c r="BS76" s="279"/>
      <c r="BT76" s="279"/>
      <c r="BU76" s="279"/>
      <c r="BV76" s="279"/>
      <c r="BW76" s="280"/>
      <c r="BX76" s="291"/>
    </row>
    <row r="77" spans="1:99" s="240" customFormat="1">
      <c r="A77" s="392"/>
      <c r="B77" s="328" t="str">
        <f>+E77</f>
        <v>B</v>
      </c>
      <c r="C77" s="41" t="str">
        <f>+F77</f>
        <v>VRD</v>
      </c>
      <c r="D77" s="36"/>
      <c r="E77" s="35" t="s">
        <v>182</v>
      </c>
      <c r="F77" s="41" t="s">
        <v>183</v>
      </c>
      <c r="G77" s="36"/>
      <c r="H77" s="72"/>
      <c r="I77" s="72"/>
      <c r="J77" s="72"/>
      <c r="K77" s="72"/>
      <c r="L77" s="72"/>
      <c r="M77" s="72"/>
      <c r="N77" s="72"/>
      <c r="O77" s="72"/>
      <c r="P77" s="72"/>
      <c r="Q77" s="72"/>
      <c r="R77" s="72"/>
      <c r="S77" s="416"/>
      <c r="T77" s="72"/>
      <c r="U77" s="72"/>
      <c r="V77" s="72"/>
      <c r="W77" s="72"/>
      <c r="X77" s="72"/>
      <c r="Y77" s="72"/>
      <c r="Z77" s="72"/>
      <c r="AA77" s="72"/>
      <c r="AB77" s="72"/>
      <c r="AC77" s="72"/>
      <c r="AD77" s="72"/>
      <c r="AE77" s="72"/>
      <c r="AF77" s="72"/>
      <c r="AG77" s="72"/>
      <c r="AH77" s="72"/>
      <c r="AI77" s="72"/>
      <c r="AJ77" s="72"/>
      <c r="AK77" s="72"/>
      <c r="AL77" s="72"/>
      <c r="AM77" s="72"/>
      <c r="AN77" s="72"/>
      <c r="AO77" s="72"/>
      <c r="AP77" s="72"/>
      <c r="AQ77" s="37"/>
      <c r="AR77" s="38"/>
      <c r="AS77" s="39"/>
      <c r="AU77" s="121" t="str">
        <f>+" Déboursé chapitre : "&amp;F77</f>
        <v xml:space="preserve"> Déboursé chapitre : VRD</v>
      </c>
      <c r="AV77" s="122"/>
      <c r="AW77" s="123"/>
      <c r="AX77" s="123"/>
      <c r="AY77" s="123"/>
      <c r="AZ77" s="123"/>
      <c r="BA77" s="123"/>
      <c r="BB77" s="123"/>
      <c r="BC77" s="123"/>
      <c r="BD77" s="123"/>
      <c r="BE77" s="123"/>
      <c r="BF77" s="123"/>
      <c r="BG77" s="123"/>
      <c r="BH77" s="123"/>
      <c r="BI77" s="123"/>
      <c r="BJ77" s="123"/>
      <c r="BK77" s="123"/>
      <c r="BL77" s="123"/>
      <c r="BM77" s="123"/>
      <c r="BN77" s="123"/>
      <c r="BO77" s="123"/>
      <c r="BP77" s="123"/>
      <c r="BQ77" s="123"/>
      <c r="BR77" s="123"/>
      <c r="BS77" s="123"/>
      <c r="BT77" s="123"/>
      <c r="BU77" s="123"/>
      <c r="BV77" s="123"/>
      <c r="BW77" s="124"/>
      <c r="BX77" s="137"/>
    </row>
    <row r="78" spans="1:99" s="240" customFormat="1">
      <c r="A78" s="392"/>
      <c r="B78" s="258"/>
      <c r="C78" s="238"/>
      <c r="D78" s="396"/>
      <c r="E78" s="110"/>
      <c r="F78" s="127"/>
      <c r="G78" s="17"/>
      <c r="H78" s="114"/>
      <c r="I78" s="114"/>
      <c r="J78" s="114"/>
      <c r="K78" s="114"/>
      <c r="L78" s="114"/>
      <c r="M78" s="114"/>
      <c r="N78" s="114"/>
      <c r="O78" s="114"/>
      <c r="P78" s="114"/>
      <c r="Q78" s="114"/>
      <c r="R78" s="114"/>
      <c r="S78" s="417"/>
      <c r="T78" s="114"/>
      <c r="U78" s="114"/>
      <c r="V78" s="114"/>
      <c r="W78" s="114"/>
      <c r="X78" s="114"/>
      <c r="Y78" s="114"/>
      <c r="Z78" s="114"/>
      <c r="AA78" s="114"/>
      <c r="AB78" s="114"/>
      <c r="AC78" s="114"/>
      <c r="AD78" s="114"/>
      <c r="AE78" s="114"/>
      <c r="AF78" s="114"/>
      <c r="AG78" s="114"/>
      <c r="AH78" s="114"/>
      <c r="AI78" s="114"/>
      <c r="AJ78" s="114"/>
      <c r="AK78" s="114"/>
      <c r="AL78" s="114"/>
      <c r="AM78" s="114"/>
      <c r="AN78" s="114"/>
      <c r="AO78" s="114"/>
      <c r="AP78" s="114"/>
      <c r="AQ78" s="437"/>
      <c r="AR78" s="437"/>
      <c r="AS78" s="438"/>
      <c r="AU78" s="454"/>
      <c r="AV78" s="284"/>
      <c r="AW78" s="128"/>
      <c r="AX78" s="128"/>
      <c r="AY78" s="128"/>
      <c r="AZ78" s="128"/>
      <c r="BA78" s="284"/>
      <c r="BB78" s="128"/>
      <c r="BC78" s="128"/>
      <c r="BD78" s="284"/>
      <c r="BE78" s="128"/>
      <c r="BF78" s="128"/>
      <c r="BG78" s="284"/>
      <c r="BH78" s="128"/>
      <c r="BI78" s="128"/>
      <c r="BJ78" s="284"/>
      <c r="BK78" s="128"/>
      <c r="BL78" s="128"/>
      <c r="BM78" s="284"/>
      <c r="BN78" s="128"/>
      <c r="BO78" s="128"/>
      <c r="BP78" s="284"/>
      <c r="BQ78" s="128"/>
      <c r="BR78" s="128"/>
      <c r="BS78" s="284"/>
      <c r="BT78" s="128"/>
      <c r="BU78" s="128"/>
      <c r="BV78" s="128"/>
      <c r="BW78" s="128"/>
      <c r="BX78" s="331"/>
    </row>
    <row r="79" spans="1:99" s="327" customFormat="1">
      <c r="A79" s="392"/>
      <c r="B79" s="261"/>
      <c r="C79" s="237"/>
      <c r="D79" s="397"/>
      <c r="E79" s="110" t="s">
        <v>184</v>
      </c>
      <c r="F79" s="127" t="s">
        <v>185</v>
      </c>
      <c r="G79" s="17" t="s">
        <v>105</v>
      </c>
      <c r="H79" s="365"/>
      <c r="I79" s="365"/>
      <c r="J79" s="365"/>
      <c r="K79" s="365"/>
      <c r="L79" s="365"/>
      <c r="M79" s="365"/>
      <c r="N79" s="365"/>
      <c r="O79" s="365"/>
      <c r="P79" s="365"/>
      <c r="Q79" s="365"/>
      <c r="R79" s="365"/>
      <c r="S79" s="418"/>
      <c r="T79" s="365"/>
      <c r="U79" s="365"/>
      <c r="V79" s="365"/>
      <c r="W79" s="365"/>
      <c r="X79" s="365"/>
      <c r="Y79" s="365"/>
      <c r="Z79" s="365"/>
      <c r="AA79" s="365"/>
      <c r="AB79" s="365"/>
      <c r="AC79" s="365"/>
      <c r="AD79" s="365"/>
      <c r="AE79" s="112"/>
      <c r="AF79" s="366"/>
      <c r="AG79" s="366"/>
      <c r="AH79" s="366"/>
      <c r="AI79" s="366"/>
      <c r="AJ79" s="366"/>
      <c r="AK79" s="366"/>
      <c r="AL79" s="129"/>
      <c r="AM79" s="129"/>
      <c r="AN79" s="129"/>
      <c r="AO79" s="129"/>
      <c r="AP79" s="276"/>
      <c r="AQ79" s="441" t="s">
        <v>401</v>
      </c>
      <c r="AR79" s="441" t="str">
        <f>+AQ79</f>
        <v>Compris</v>
      </c>
      <c r="AS79" s="442" t="str">
        <f>+AR79</f>
        <v>Compris</v>
      </c>
      <c r="AT79" s="255"/>
      <c r="AU79" s="130"/>
      <c r="AV79" s="285"/>
      <c r="AW79" s="286"/>
      <c r="AX79" s="130"/>
      <c r="AY79" s="130"/>
      <c r="AZ79" s="130"/>
      <c r="BA79" s="285"/>
      <c r="BB79" s="286"/>
      <c r="BC79" s="130"/>
      <c r="BD79" s="285"/>
      <c r="BE79" s="286"/>
      <c r="BF79" s="130"/>
      <c r="BG79" s="285"/>
      <c r="BH79" s="286"/>
      <c r="BI79" s="130"/>
      <c r="BJ79" s="287"/>
      <c r="BK79" s="286"/>
      <c r="BL79" s="130"/>
      <c r="BM79" s="287"/>
      <c r="BN79" s="286"/>
      <c r="BO79" s="130"/>
      <c r="BP79" s="287"/>
      <c r="BQ79" s="286"/>
      <c r="BR79" s="130"/>
      <c r="BS79" s="287"/>
      <c r="BT79" s="286"/>
      <c r="BU79" s="130"/>
      <c r="BV79" s="130"/>
      <c r="BW79" s="130"/>
      <c r="BX79" s="130"/>
      <c r="BY79" s="256"/>
      <c r="BZ79" s="393"/>
      <c r="CA79" s="393"/>
      <c r="CB79" s="393"/>
      <c r="CC79" s="393"/>
      <c r="CD79" s="393"/>
    </row>
    <row r="80" spans="1:99" s="327" customFormat="1">
      <c r="A80" s="392"/>
      <c r="B80" s="261"/>
      <c r="C80" s="237"/>
      <c r="D80" s="397"/>
      <c r="E80" s="110"/>
      <c r="F80" s="127"/>
      <c r="G80" s="17"/>
      <c r="H80" s="276"/>
      <c r="I80" s="276"/>
      <c r="J80" s="276"/>
      <c r="K80" s="276"/>
      <c r="L80" s="276"/>
      <c r="M80" s="276"/>
      <c r="N80" s="276"/>
      <c r="O80" s="276"/>
      <c r="P80" s="276"/>
      <c r="Q80" s="276"/>
      <c r="R80" s="276"/>
      <c r="S80" s="418"/>
      <c r="T80" s="112"/>
      <c r="U80" s="112"/>
      <c r="V80" s="112"/>
      <c r="W80" s="112"/>
      <c r="X80" s="112"/>
      <c r="Y80" s="112"/>
      <c r="Z80" s="112"/>
      <c r="AA80" s="112"/>
      <c r="AB80" s="112"/>
      <c r="AC80" s="112"/>
      <c r="AD80" s="276"/>
      <c r="AE80" s="112"/>
      <c r="AF80" s="129"/>
      <c r="AG80" s="129"/>
      <c r="AH80" s="129"/>
      <c r="AI80" s="129"/>
      <c r="AJ80" s="129"/>
      <c r="AK80" s="129"/>
      <c r="AL80" s="129"/>
      <c r="AM80" s="129"/>
      <c r="AN80" s="129"/>
      <c r="AO80" s="129"/>
      <c r="AP80" s="276"/>
      <c r="AQ80" s="439"/>
      <c r="AR80" s="439"/>
      <c r="AS80" s="440"/>
      <c r="AT80" s="255"/>
      <c r="AU80" s="130"/>
      <c r="AV80" s="285"/>
      <c r="AW80" s="286"/>
      <c r="AX80" s="130"/>
      <c r="AY80" s="130"/>
      <c r="AZ80" s="130"/>
      <c r="BA80" s="285"/>
      <c r="BB80" s="286"/>
      <c r="BC80" s="130"/>
      <c r="BD80" s="285"/>
      <c r="BE80" s="286"/>
      <c r="BF80" s="130"/>
      <c r="BG80" s="285"/>
      <c r="BH80" s="286"/>
      <c r="BI80" s="130"/>
      <c r="BJ80" s="287"/>
      <c r="BK80" s="286"/>
      <c r="BL80" s="130"/>
      <c r="BM80" s="287"/>
      <c r="BN80" s="286"/>
      <c r="BO80" s="130"/>
      <c r="BP80" s="287"/>
      <c r="BQ80" s="286"/>
      <c r="BR80" s="130"/>
      <c r="BS80" s="287"/>
      <c r="BT80" s="286"/>
      <c r="BU80" s="130"/>
      <c r="BV80" s="130"/>
      <c r="BW80" s="130"/>
      <c r="BX80" s="130"/>
      <c r="BY80" s="256"/>
    </row>
    <row r="81" spans="1:77" s="327" customFormat="1">
      <c r="A81" s="392"/>
      <c r="B81" s="261"/>
      <c r="C81" s="237"/>
      <c r="D81" s="397"/>
      <c r="E81" s="110" t="s">
        <v>186</v>
      </c>
      <c r="F81" s="127" t="s">
        <v>187</v>
      </c>
      <c r="G81" s="17"/>
      <c r="H81" s="276"/>
      <c r="I81" s="276"/>
      <c r="J81" s="276"/>
      <c r="K81" s="276"/>
      <c r="L81" s="276"/>
      <c r="M81" s="276"/>
      <c r="N81" s="276"/>
      <c r="O81" s="276"/>
      <c r="P81" s="276"/>
      <c r="Q81" s="276"/>
      <c r="R81" s="276"/>
      <c r="S81" s="418"/>
      <c r="T81" s="112"/>
      <c r="U81" s="112"/>
      <c r="V81" s="112"/>
      <c r="W81" s="112"/>
      <c r="X81" s="112"/>
      <c r="Y81" s="112"/>
      <c r="Z81" s="112"/>
      <c r="AA81" s="112"/>
      <c r="AB81" s="112"/>
      <c r="AC81" s="112"/>
      <c r="AD81" s="276"/>
      <c r="AE81" s="112"/>
      <c r="AF81" s="129"/>
      <c r="AG81" s="129"/>
      <c r="AH81" s="129"/>
      <c r="AI81" s="129"/>
      <c r="AJ81" s="129"/>
      <c r="AK81" s="129"/>
      <c r="AL81" s="129"/>
      <c r="AM81" s="129"/>
      <c r="AN81" s="129"/>
      <c r="AO81" s="129"/>
      <c r="AP81" s="276"/>
      <c r="AQ81" s="439"/>
      <c r="AR81" s="439"/>
      <c r="AS81" s="440"/>
      <c r="AT81" s="255"/>
      <c r="AU81" s="130"/>
      <c r="AV81" s="285"/>
      <c r="AW81" s="286"/>
      <c r="AX81" s="130"/>
      <c r="AY81" s="130"/>
      <c r="AZ81" s="130"/>
      <c r="BA81" s="285"/>
      <c r="BB81" s="286"/>
      <c r="BC81" s="130"/>
      <c r="BD81" s="285"/>
      <c r="BE81" s="286"/>
      <c r="BF81" s="130"/>
      <c r="BG81" s="285"/>
      <c r="BH81" s="286"/>
      <c r="BI81" s="130"/>
      <c r="BJ81" s="287"/>
      <c r="BK81" s="286"/>
      <c r="BL81" s="130"/>
      <c r="BM81" s="287"/>
      <c r="BN81" s="286"/>
      <c r="BO81" s="130"/>
      <c r="BP81" s="287"/>
      <c r="BQ81" s="286"/>
      <c r="BR81" s="130"/>
      <c r="BS81" s="287"/>
      <c r="BT81" s="286"/>
      <c r="BU81" s="130"/>
      <c r="BV81" s="130"/>
      <c r="BW81" s="130"/>
      <c r="BX81" s="130"/>
      <c r="BY81" s="256"/>
    </row>
    <row r="82" spans="1:77" s="327" customFormat="1">
      <c r="A82" s="392"/>
      <c r="B82" s="261"/>
      <c r="C82" s="237"/>
      <c r="D82" s="397"/>
      <c r="E82" s="110" t="s">
        <v>188</v>
      </c>
      <c r="F82" s="127" t="s">
        <v>339</v>
      </c>
      <c r="G82" s="17" t="s">
        <v>107</v>
      </c>
      <c r="H82" s="365">
        <f t="shared" ref="H82:O82" si="109">+T82</f>
        <v>0</v>
      </c>
      <c r="I82" s="365">
        <f t="shared" si="109"/>
        <v>0</v>
      </c>
      <c r="J82" s="365">
        <f t="shared" si="109"/>
        <v>0</v>
      </c>
      <c r="K82" s="365">
        <f t="shared" si="109"/>
        <v>0</v>
      </c>
      <c r="L82" s="365">
        <f t="shared" si="109"/>
        <v>0</v>
      </c>
      <c r="M82" s="365">
        <f t="shared" si="109"/>
        <v>0</v>
      </c>
      <c r="N82" s="365">
        <f t="shared" si="109"/>
        <v>55</v>
      </c>
      <c r="O82" s="365">
        <f t="shared" si="109"/>
        <v>0</v>
      </c>
      <c r="P82" s="365">
        <f t="shared" ref="P82:Q84" si="110">+AB82</f>
        <v>0</v>
      </c>
      <c r="Q82" s="365">
        <f t="shared" si="110"/>
        <v>0</v>
      </c>
      <c r="R82" s="365"/>
      <c r="S82" s="418">
        <f>SUM(T82:AC82)</f>
        <v>55</v>
      </c>
      <c r="T82" s="365">
        <f t="shared" ref="T82:AC84" si="111">ROUND(AF82,ARRONDI_QT)</f>
        <v>0</v>
      </c>
      <c r="U82" s="365">
        <f t="shared" si="111"/>
        <v>0</v>
      </c>
      <c r="V82" s="365">
        <f t="shared" si="111"/>
        <v>0</v>
      </c>
      <c r="W82" s="365">
        <f t="shared" si="111"/>
        <v>0</v>
      </c>
      <c r="X82" s="365">
        <f t="shared" si="111"/>
        <v>0</v>
      </c>
      <c r="Y82" s="365">
        <f t="shared" si="111"/>
        <v>0</v>
      </c>
      <c r="Z82" s="365">
        <f t="shared" si="111"/>
        <v>55</v>
      </c>
      <c r="AA82" s="365">
        <f t="shared" si="111"/>
        <v>0</v>
      </c>
      <c r="AB82" s="365">
        <f t="shared" si="111"/>
        <v>0</v>
      </c>
      <c r="AC82" s="365">
        <f t="shared" si="111"/>
        <v>0</v>
      </c>
      <c r="AD82" s="365"/>
      <c r="AE82" s="112">
        <f>ROUND(SUM(AF82:AO82),ARRONDI_QT)</f>
        <v>55</v>
      </c>
      <c r="AF82" s="366">
        <v>0</v>
      </c>
      <c r="AG82" s="366">
        <v>0</v>
      </c>
      <c r="AH82" s="366">
        <v>0</v>
      </c>
      <c r="AI82" s="366">
        <v>0</v>
      </c>
      <c r="AJ82" s="366">
        <v>0</v>
      </c>
      <c r="AK82" s="366">
        <v>0</v>
      </c>
      <c r="AL82" s="366">
        <v>55</v>
      </c>
      <c r="AM82" s="366">
        <v>0</v>
      </c>
      <c r="AN82" s="366">
        <v>0</v>
      </c>
      <c r="AO82" s="366">
        <v>0</v>
      </c>
      <c r="AP82" s="365"/>
      <c r="AQ82" s="439">
        <f>SUM(H82:Q82)</f>
        <v>55</v>
      </c>
      <c r="AR82" s="439">
        <f>ROUND(AU82+BV82,ARRONDI_PU)</f>
        <v>26.196000000000002</v>
      </c>
      <c r="AS82" s="440">
        <f>+AR82*AQ82</f>
        <v>1440.78</v>
      </c>
      <c r="AT82" s="255"/>
      <c r="AU82" s="130">
        <f>+AX82+BB82+BE82+BH82+BK82+BN82+BQ82+BT82</f>
        <v>23.6</v>
      </c>
      <c r="AV82" s="285">
        <f>+COEF_MO_INSTALL</f>
        <v>1.3</v>
      </c>
      <c r="AW82" s="286">
        <v>0</v>
      </c>
      <c r="AX82" s="130">
        <f>+AW82*TH_INSTALL</f>
        <v>0</v>
      </c>
      <c r="AY82" s="130">
        <f>+AW82*AE82</f>
        <v>0</v>
      </c>
      <c r="AZ82" s="130">
        <f>IF(AQ82&gt;0,(AX82*AE82),0)</f>
        <v>0</v>
      </c>
      <c r="BA82" s="285">
        <f>+COEF_FOUR1_INSTALL</f>
        <v>1.3</v>
      </c>
      <c r="BB82" s="286">
        <v>0</v>
      </c>
      <c r="BC82" s="130">
        <f>IF(AQ82&gt;0,(BB82*AE82),0)</f>
        <v>0</v>
      </c>
      <c r="BD82" s="285">
        <f>+COEF_FOUR2_INSTALL</f>
        <v>1.3</v>
      </c>
      <c r="BE82" s="286">
        <v>0</v>
      </c>
      <c r="BF82" s="130">
        <f>IF(AQ82&gt;0,(BE82*AE82),0)</f>
        <v>0</v>
      </c>
      <c r="BG82" s="285">
        <f>+COEF_FOUR3_INSTALL</f>
        <v>1.3</v>
      </c>
      <c r="BH82" s="286">
        <v>0</v>
      </c>
      <c r="BI82" s="130">
        <f>IF(AQ82&gt;0,(BH82*AE82),0)</f>
        <v>0</v>
      </c>
      <c r="BJ82" s="287">
        <f>+COEF_MTLLOC_INSTALL</f>
        <v>1.1499999999999999</v>
      </c>
      <c r="BK82" s="286">
        <v>0</v>
      </c>
      <c r="BL82" s="130">
        <f>IF(AQ82&gt;0,(BK82*AE82),0)</f>
        <v>0</v>
      </c>
      <c r="BM82" s="287">
        <f>+COEF_MTLAMR_INSTALL</f>
        <v>1.3</v>
      </c>
      <c r="BN82" s="286">
        <v>0</v>
      </c>
      <c r="BO82" s="130">
        <f>IF(AQ82&gt;0,(BN82*AE82),0)</f>
        <v>0</v>
      </c>
      <c r="BP82" s="287">
        <f>+COEF_ST1_INSTALL</f>
        <v>1.1100000000000001</v>
      </c>
      <c r="BQ82" s="286">
        <f>22+1.6</f>
        <v>23.6</v>
      </c>
      <c r="BR82" s="130">
        <f>IF(AQ82&gt;0,(BQ82*AE82),0)</f>
        <v>1298</v>
      </c>
      <c r="BS82" s="287">
        <f>+COEF_ST2_INSTALL</f>
        <v>1.1100000000000001</v>
      </c>
      <c r="BT82" s="286">
        <v>0</v>
      </c>
      <c r="BU82" s="130">
        <f>IF(AQ82&gt;0,(BT82*AE82),0)</f>
        <v>0</v>
      </c>
      <c r="BV82" s="130">
        <f>+(((AX82)*AV82)+(BB82*BA82)+(BE82*BD82)+(BH82*BG82)+(BK82*BJ82)+(BN82*BM82)+(BQ82*BP82)+(BT82*BS82)+(BT82*BS82))-(AU82)</f>
        <v>2.5960000000000036</v>
      </c>
      <c r="BW82" s="130">
        <f>+BV82*AE82</f>
        <v>142.7800000000002</v>
      </c>
      <c r="BX82" s="130">
        <f>AS82-(BW82+BU82+BR82+BO82+BL82+BI82+BF82+BC82+AZ82)</f>
        <v>0</v>
      </c>
      <c r="BY82" s="329"/>
    </row>
    <row r="83" spans="1:77" s="393" customFormat="1">
      <c r="B83" s="261"/>
      <c r="C83" s="237"/>
      <c r="D83" s="397"/>
      <c r="E83" s="110"/>
      <c r="F83" s="127" t="s">
        <v>345</v>
      </c>
      <c r="G83" s="17" t="s">
        <v>107</v>
      </c>
      <c r="H83" s="365">
        <f t="shared" ref="H83" si="112">+T83</f>
        <v>0</v>
      </c>
      <c r="I83" s="365">
        <f t="shared" ref="I83" si="113">+U83</f>
        <v>0</v>
      </c>
      <c r="J83" s="365">
        <f t="shared" ref="J83" si="114">+V83</f>
        <v>0</v>
      </c>
      <c r="K83" s="365">
        <f t="shared" ref="K83" si="115">+W83</f>
        <v>0</v>
      </c>
      <c r="L83" s="365">
        <f t="shared" ref="L83" si="116">+X83</f>
        <v>0</v>
      </c>
      <c r="M83" s="365">
        <f t="shared" ref="M83" si="117">+Y83</f>
        <v>0</v>
      </c>
      <c r="N83" s="365">
        <f t="shared" ref="N83" si="118">+Z83</f>
        <v>165</v>
      </c>
      <c r="O83" s="365">
        <f t="shared" ref="O83" si="119">+AA83</f>
        <v>0</v>
      </c>
      <c r="P83" s="365">
        <f t="shared" ref="P83" si="120">+AB83</f>
        <v>0</v>
      </c>
      <c r="Q83" s="365">
        <f t="shared" ref="Q83" si="121">+AC83</f>
        <v>0</v>
      </c>
      <c r="R83" s="365"/>
      <c r="S83" s="418">
        <f>SUM(T83:AC83)</f>
        <v>165</v>
      </c>
      <c r="T83" s="365">
        <f t="shared" ref="T83" si="122">ROUND(AF83,ARRONDI_QT)</f>
        <v>0</v>
      </c>
      <c r="U83" s="365">
        <f t="shared" ref="U83" si="123">ROUND(AG83,ARRONDI_QT)</f>
        <v>0</v>
      </c>
      <c r="V83" s="365">
        <f t="shared" ref="V83" si="124">ROUND(AH83,ARRONDI_QT)</f>
        <v>0</v>
      </c>
      <c r="W83" s="365">
        <f t="shared" ref="W83" si="125">ROUND(AI83,ARRONDI_QT)</f>
        <v>0</v>
      </c>
      <c r="X83" s="365">
        <f t="shared" ref="X83" si="126">ROUND(AJ83,ARRONDI_QT)</f>
        <v>0</v>
      </c>
      <c r="Y83" s="365">
        <f t="shared" ref="Y83" si="127">ROUND(AK83,ARRONDI_QT)</f>
        <v>0</v>
      </c>
      <c r="Z83" s="365">
        <f t="shared" ref="Z83" si="128">ROUND(AL83,ARRONDI_QT)</f>
        <v>165</v>
      </c>
      <c r="AA83" s="365">
        <f t="shared" ref="AA83" si="129">ROUND(AM83,ARRONDI_QT)</f>
        <v>0</v>
      </c>
      <c r="AB83" s="365">
        <f t="shared" ref="AB83" si="130">ROUND(AN83,ARRONDI_QT)</f>
        <v>0</v>
      </c>
      <c r="AC83" s="365">
        <f t="shared" ref="AC83" si="131">ROUND(AO83,ARRONDI_QT)</f>
        <v>0</v>
      </c>
      <c r="AD83" s="365"/>
      <c r="AE83" s="112">
        <f>ROUND(SUM(AF83:AO83),ARRONDI_QT)</f>
        <v>165</v>
      </c>
      <c r="AF83" s="366">
        <v>0</v>
      </c>
      <c r="AG83" s="366">
        <v>0</v>
      </c>
      <c r="AH83" s="366">
        <v>0</v>
      </c>
      <c r="AI83" s="366">
        <v>0</v>
      </c>
      <c r="AJ83" s="366">
        <v>0</v>
      </c>
      <c r="AK83" s="366">
        <v>0</v>
      </c>
      <c r="AL83" s="366">
        <v>165</v>
      </c>
      <c r="AM83" s="366">
        <v>0</v>
      </c>
      <c r="AN83" s="366">
        <v>0</v>
      </c>
      <c r="AO83" s="366">
        <v>0</v>
      </c>
      <c r="AP83" s="365"/>
      <c r="AQ83" s="439">
        <f>SUM(H83:Q83)</f>
        <v>165</v>
      </c>
      <c r="AR83" s="439">
        <f>ROUND(AU83+BV83,ARRONDI_PU)</f>
        <v>18.425999999999998</v>
      </c>
      <c r="AS83" s="440">
        <f>+AR83*AQ83</f>
        <v>3040.2899999999995</v>
      </c>
      <c r="AT83" s="255"/>
      <c r="AU83" s="130">
        <f>+AX83+BB83+BE83+BH83+BK83+BN83+BQ83+BT83</f>
        <v>16.600000000000001</v>
      </c>
      <c r="AV83" s="285">
        <f>+COEF_MO_INSTALL</f>
        <v>1.3</v>
      </c>
      <c r="AW83" s="286">
        <v>0</v>
      </c>
      <c r="AX83" s="130">
        <f>+AW83*TH_INSTALL</f>
        <v>0</v>
      </c>
      <c r="AY83" s="130">
        <f>+AW83*AE83</f>
        <v>0</v>
      </c>
      <c r="AZ83" s="130">
        <f>IF(AQ83&gt;0,(AX83*AE83),0)</f>
        <v>0</v>
      </c>
      <c r="BA83" s="285">
        <f>+COEF_FOUR1_INSTALL</f>
        <v>1.3</v>
      </c>
      <c r="BB83" s="286">
        <v>0</v>
      </c>
      <c r="BC83" s="130">
        <f>IF(AQ83&gt;0,(BB83*AE83),0)</f>
        <v>0</v>
      </c>
      <c r="BD83" s="285">
        <f>+COEF_FOUR2_INSTALL</f>
        <v>1.3</v>
      </c>
      <c r="BE83" s="286">
        <v>0</v>
      </c>
      <c r="BF83" s="130">
        <f>IF(AQ83&gt;0,(BE83*AE83),0)</f>
        <v>0</v>
      </c>
      <c r="BG83" s="285">
        <f>+COEF_FOUR3_INSTALL</f>
        <v>1.3</v>
      </c>
      <c r="BH83" s="286">
        <v>0</v>
      </c>
      <c r="BI83" s="130">
        <f>IF(AQ83&gt;0,(BH83*AE83),0)</f>
        <v>0</v>
      </c>
      <c r="BJ83" s="287">
        <f>+COEF_MTLLOC_INSTALL</f>
        <v>1.1499999999999999</v>
      </c>
      <c r="BK83" s="286">
        <v>0</v>
      </c>
      <c r="BL83" s="130">
        <f>IF(AQ83&gt;0,(BK83*AE83),0)</f>
        <v>0</v>
      </c>
      <c r="BM83" s="287">
        <f>+COEF_MTLAMR_INSTALL</f>
        <v>1.3</v>
      </c>
      <c r="BN83" s="286">
        <v>0</v>
      </c>
      <c r="BO83" s="130">
        <f>IF(AQ83&gt;0,(BN83*AE83),0)</f>
        <v>0</v>
      </c>
      <c r="BP83" s="287">
        <f>+COEF_ST1_INSTALL</f>
        <v>1.1100000000000001</v>
      </c>
      <c r="BQ83" s="286">
        <f>15+1.6</f>
        <v>16.600000000000001</v>
      </c>
      <c r="BR83" s="130">
        <f>IF(AQ83&gt;0,(BQ83*AE83),0)</f>
        <v>2739.0000000000005</v>
      </c>
      <c r="BS83" s="287">
        <f>+COEF_ST2_INSTALL</f>
        <v>1.1100000000000001</v>
      </c>
      <c r="BT83" s="286">
        <v>0</v>
      </c>
      <c r="BU83" s="130">
        <f>IF(AQ83&gt;0,(BT83*AE83),0)</f>
        <v>0</v>
      </c>
      <c r="BV83" s="130">
        <f>+(((AX83)*AV83)+(BB83*BA83)+(BE83*BD83)+(BH83*BG83)+(BK83*BJ83)+(BN83*BM83)+(BQ83*BP83)+(BT83*BS83)+(BT83*BS83))-(AU83)</f>
        <v>1.8260000000000005</v>
      </c>
      <c r="BW83" s="130">
        <f>+BV83*AE83</f>
        <v>301.29000000000008</v>
      </c>
      <c r="BX83" s="130">
        <f>AS83-(BW83+BU83+BR83+BO83+BL83+BI83+BF83+BC83+AZ83)</f>
        <v>0</v>
      </c>
      <c r="BY83" s="329"/>
    </row>
    <row r="84" spans="1:77" s="327" customFormat="1">
      <c r="A84" s="392"/>
      <c r="B84" s="261"/>
      <c r="C84" s="237"/>
      <c r="D84" s="397"/>
      <c r="E84" s="110" t="s">
        <v>189</v>
      </c>
      <c r="F84" s="127" t="s">
        <v>410</v>
      </c>
      <c r="G84" s="17" t="s">
        <v>33</v>
      </c>
      <c r="H84" s="365">
        <f t="shared" ref="H84:O84" si="132">+T84</f>
        <v>0</v>
      </c>
      <c r="I84" s="365">
        <f t="shared" si="132"/>
        <v>0</v>
      </c>
      <c r="J84" s="365">
        <f t="shared" si="132"/>
        <v>0</v>
      </c>
      <c r="K84" s="365">
        <f t="shared" si="132"/>
        <v>0</v>
      </c>
      <c r="L84" s="365">
        <f t="shared" si="132"/>
        <v>0</v>
      </c>
      <c r="M84" s="365">
        <f t="shared" si="132"/>
        <v>0</v>
      </c>
      <c r="N84" s="365">
        <f t="shared" si="132"/>
        <v>2</v>
      </c>
      <c r="O84" s="365">
        <f t="shared" si="132"/>
        <v>0</v>
      </c>
      <c r="P84" s="365">
        <f t="shared" si="110"/>
        <v>0</v>
      </c>
      <c r="Q84" s="365">
        <f t="shared" si="110"/>
        <v>0</v>
      </c>
      <c r="R84" s="365"/>
      <c r="S84" s="418">
        <f>SUM(T84:AC84)</f>
        <v>2</v>
      </c>
      <c r="T84" s="365">
        <f t="shared" si="111"/>
        <v>0</v>
      </c>
      <c r="U84" s="365">
        <f t="shared" si="111"/>
        <v>0</v>
      </c>
      <c r="V84" s="365">
        <f t="shared" si="111"/>
        <v>0</v>
      </c>
      <c r="W84" s="365">
        <f t="shared" si="111"/>
        <v>0</v>
      </c>
      <c r="X84" s="365">
        <f t="shared" si="111"/>
        <v>0</v>
      </c>
      <c r="Y84" s="365">
        <f t="shared" si="111"/>
        <v>0</v>
      </c>
      <c r="Z84" s="365">
        <f t="shared" si="111"/>
        <v>2</v>
      </c>
      <c r="AA84" s="365">
        <f t="shared" si="111"/>
        <v>0</v>
      </c>
      <c r="AB84" s="365">
        <f t="shared" si="111"/>
        <v>0</v>
      </c>
      <c r="AC84" s="365">
        <f t="shared" si="111"/>
        <v>0</v>
      </c>
      <c r="AD84" s="365"/>
      <c r="AE84" s="112">
        <f>ROUND(SUM(AF84:AO84),ARRONDI_QT)</f>
        <v>2</v>
      </c>
      <c r="AF84" s="366">
        <v>0</v>
      </c>
      <c r="AG84" s="366">
        <v>0</v>
      </c>
      <c r="AH84" s="366">
        <v>0</v>
      </c>
      <c r="AI84" s="366">
        <v>0</v>
      </c>
      <c r="AJ84" s="366">
        <v>0</v>
      </c>
      <c r="AK84" s="366">
        <v>0</v>
      </c>
      <c r="AL84" s="366">
        <v>2</v>
      </c>
      <c r="AM84" s="366">
        <v>0</v>
      </c>
      <c r="AN84" s="366">
        <v>0</v>
      </c>
      <c r="AO84" s="366">
        <v>0</v>
      </c>
      <c r="AP84" s="365"/>
      <c r="AQ84" s="439">
        <f>SUM(H84:Q84)</f>
        <v>2</v>
      </c>
      <c r="AR84" s="439">
        <f>ROUND(AU84+BV84,ARRONDI_PU)</f>
        <v>590.56399999999996</v>
      </c>
      <c r="AS84" s="440">
        <f>+AR84*AQ84</f>
        <v>1181.1279999999999</v>
      </c>
      <c r="AT84" s="255"/>
      <c r="AU84" s="130">
        <f>+AX84+BB84+BE84+BH84+BK84+BN84+BQ84+BT84</f>
        <v>532.04</v>
      </c>
      <c r="AV84" s="285">
        <f>+COEF_MO_INSTALL</f>
        <v>1.3</v>
      </c>
      <c r="AW84" s="286">
        <v>0</v>
      </c>
      <c r="AX84" s="130">
        <f>+AW84*TH_INSTALL</f>
        <v>0</v>
      </c>
      <c r="AY84" s="130">
        <f>+AW84*AE84</f>
        <v>0</v>
      </c>
      <c r="AZ84" s="130">
        <f>IF(AQ84&gt;0,(AX84*AE84),0)</f>
        <v>0</v>
      </c>
      <c r="BA84" s="285">
        <f>+COEF_FOUR1_INSTALL</f>
        <v>1.3</v>
      </c>
      <c r="BB84" s="286">
        <v>0</v>
      </c>
      <c r="BC84" s="130">
        <f>IF(AQ84&gt;0,(BB84*AE84),0)</f>
        <v>0</v>
      </c>
      <c r="BD84" s="285">
        <f>+COEF_FOUR2_INSTALL</f>
        <v>1.3</v>
      </c>
      <c r="BE84" s="286">
        <v>0</v>
      </c>
      <c r="BF84" s="130">
        <f>IF(AQ84&gt;0,(BE84*AE84),0)</f>
        <v>0</v>
      </c>
      <c r="BG84" s="285">
        <f>+COEF_FOUR3_INSTALL</f>
        <v>1.3</v>
      </c>
      <c r="BH84" s="286">
        <v>0</v>
      </c>
      <c r="BI84" s="130">
        <f>IF(AQ84&gt;0,(BH84*AE84),0)</f>
        <v>0</v>
      </c>
      <c r="BJ84" s="287">
        <f>+COEF_MTLLOC_INSTALL</f>
        <v>1.1499999999999999</v>
      </c>
      <c r="BK84" s="286">
        <v>0</v>
      </c>
      <c r="BL84" s="130">
        <f>IF(AQ84&gt;0,(BK84*AE84),0)</f>
        <v>0</v>
      </c>
      <c r="BM84" s="287">
        <f>+COEF_MTLAMR_INSTALL</f>
        <v>1.3</v>
      </c>
      <c r="BN84" s="286">
        <v>0</v>
      </c>
      <c r="BO84" s="130">
        <f>IF(AQ84&gt;0,(BN84*AE84),0)</f>
        <v>0</v>
      </c>
      <c r="BP84" s="287">
        <f>+COEF_ST1_INSTALL</f>
        <v>1.1100000000000001</v>
      </c>
      <c r="BQ84" s="286">
        <v>532.04</v>
      </c>
      <c r="BR84" s="130">
        <f>IF(AQ84&gt;0,(BQ84*AE84),0)</f>
        <v>1064.08</v>
      </c>
      <c r="BS84" s="287">
        <f>+COEF_ST2_INSTALL</f>
        <v>1.1100000000000001</v>
      </c>
      <c r="BT84" s="286">
        <v>0</v>
      </c>
      <c r="BU84" s="130">
        <f>IF(AQ84&gt;0,(BT84*AE84),0)</f>
        <v>0</v>
      </c>
      <c r="BV84" s="130">
        <f>+(((AX84)*AV84)+(BB84*BA84)+(BE84*BD84)+(BH84*BG84)+(BK84*BJ84)+(BN84*BM84)+(BQ84*BP84)+(BT84*BS84)+(BT84*BS84))-(AU84)</f>
        <v>58.524400000000014</v>
      </c>
      <c r="BW84" s="130">
        <f>+BV84*AE84</f>
        <v>117.04880000000003</v>
      </c>
      <c r="BX84" s="130">
        <f>AS84-(BW84+BU84+BR84+BO84+BL84+BI84+BF84+BC84+AZ84)</f>
        <v>-8.0000000002655725E-4</v>
      </c>
      <c r="BY84" s="329"/>
    </row>
    <row r="85" spans="1:77" s="393" customFormat="1">
      <c r="B85" s="261"/>
      <c r="C85" s="237"/>
      <c r="D85" s="397"/>
      <c r="E85" s="110"/>
      <c r="F85" s="127"/>
      <c r="G85" s="17"/>
      <c r="H85" s="365"/>
      <c r="I85" s="365"/>
      <c r="J85" s="365"/>
      <c r="K85" s="365"/>
      <c r="L85" s="365"/>
      <c r="M85" s="365"/>
      <c r="N85" s="365"/>
      <c r="O85" s="365"/>
      <c r="P85" s="365"/>
      <c r="Q85" s="365"/>
      <c r="R85" s="365"/>
      <c r="S85" s="418"/>
      <c r="T85" s="365"/>
      <c r="U85" s="365"/>
      <c r="V85" s="365"/>
      <c r="W85" s="365"/>
      <c r="X85" s="365"/>
      <c r="Y85" s="365"/>
      <c r="Z85" s="365"/>
      <c r="AA85" s="365"/>
      <c r="AB85" s="365"/>
      <c r="AC85" s="365"/>
      <c r="AD85" s="365"/>
      <c r="AE85" s="112"/>
      <c r="AF85" s="366"/>
      <c r="AG85" s="366"/>
      <c r="AH85" s="366"/>
      <c r="AI85" s="366"/>
      <c r="AJ85" s="366"/>
      <c r="AK85" s="366"/>
      <c r="AL85" s="366"/>
      <c r="AM85" s="366"/>
      <c r="AN85" s="366"/>
      <c r="AO85" s="366"/>
      <c r="AP85" s="365"/>
      <c r="AQ85" s="439"/>
      <c r="AR85" s="439"/>
      <c r="AS85" s="440"/>
      <c r="AT85" s="255"/>
      <c r="AU85" s="130"/>
      <c r="AV85" s="285"/>
      <c r="AW85" s="286"/>
      <c r="AX85" s="130"/>
      <c r="AY85" s="130"/>
      <c r="AZ85" s="130"/>
      <c r="BA85" s="285"/>
      <c r="BB85" s="286"/>
      <c r="BC85" s="130"/>
      <c r="BD85" s="285"/>
      <c r="BE85" s="286"/>
      <c r="BF85" s="130"/>
      <c r="BG85" s="285"/>
      <c r="BH85" s="286"/>
      <c r="BI85" s="130"/>
      <c r="BJ85" s="287"/>
      <c r="BK85" s="286"/>
      <c r="BL85" s="130"/>
      <c r="BM85" s="287"/>
      <c r="BN85" s="286"/>
      <c r="BO85" s="130"/>
      <c r="BP85" s="287"/>
      <c r="BQ85" s="286"/>
      <c r="BR85" s="130"/>
      <c r="BS85" s="287"/>
      <c r="BT85" s="286"/>
      <c r="BU85" s="130"/>
      <c r="BV85" s="130"/>
      <c r="BW85" s="130"/>
      <c r="BX85" s="130"/>
      <c r="BY85" s="329"/>
    </row>
    <row r="86" spans="1:77" s="327" customFormat="1">
      <c r="A86" s="392"/>
      <c r="B86" s="261"/>
      <c r="C86" s="237"/>
      <c r="D86" s="397"/>
      <c r="E86" s="110" t="s">
        <v>190</v>
      </c>
      <c r="F86" s="127" t="s">
        <v>340</v>
      </c>
      <c r="G86" s="17"/>
      <c r="H86" s="276"/>
      <c r="I86" s="276"/>
      <c r="J86" s="276"/>
      <c r="K86" s="276"/>
      <c r="L86" s="276"/>
      <c r="M86" s="276"/>
      <c r="N86" s="276"/>
      <c r="O86" s="276"/>
      <c r="P86" s="276"/>
      <c r="Q86" s="276"/>
      <c r="R86" s="276"/>
      <c r="S86" s="418"/>
      <c r="T86" s="112"/>
      <c r="U86" s="112"/>
      <c r="V86" s="112"/>
      <c r="W86" s="112"/>
      <c r="X86" s="112"/>
      <c r="Y86" s="112"/>
      <c r="Z86" s="112"/>
      <c r="AA86" s="112"/>
      <c r="AB86" s="112"/>
      <c r="AC86" s="112"/>
      <c r="AD86" s="276"/>
      <c r="AE86" s="112"/>
      <c r="AF86" s="129"/>
      <c r="AG86" s="129"/>
      <c r="AH86" s="129"/>
      <c r="AI86" s="129"/>
      <c r="AJ86" s="129"/>
      <c r="AK86" s="129"/>
      <c r="AL86" s="129"/>
      <c r="AM86" s="129"/>
      <c r="AN86" s="129"/>
      <c r="AO86" s="129"/>
      <c r="AP86" s="276"/>
      <c r="AQ86" s="439"/>
      <c r="AR86" s="439"/>
      <c r="AS86" s="440"/>
      <c r="AT86" s="255"/>
      <c r="AU86" s="130"/>
      <c r="AV86" s="285"/>
      <c r="AW86" s="286"/>
      <c r="AX86" s="130"/>
      <c r="AY86" s="130"/>
      <c r="AZ86" s="130"/>
      <c r="BA86" s="285"/>
      <c r="BB86" s="286"/>
      <c r="BC86" s="130"/>
      <c r="BD86" s="285"/>
      <c r="BE86" s="286"/>
      <c r="BF86" s="130"/>
      <c r="BG86" s="285"/>
      <c r="BH86" s="286"/>
      <c r="BI86" s="130"/>
      <c r="BJ86" s="287"/>
      <c r="BK86" s="286"/>
      <c r="BL86" s="130"/>
      <c r="BM86" s="287"/>
      <c r="BN86" s="286"/>
      <c r="BO86" s="130"/>
      <c r="BP86" s="287"/>
      <c r="BQ86" s="286"/>
      <c r="BR86" s="130"/>
      <c r="BS86" s="287"/>
      <c r="BT86" s="286"/>
      <c r="BU86" s="130"/>
      <c r="BV86" s="130"/>
      <c r="BW86" s="130"/>
      <c r="BX86" s="130"/>
      <c r="BY86" s="256"/>
    </row>
    <row r="87" spans="1:77" s="393" customFormat="1">
      <c r="B87" s="261"/>
      <c r="C87" s="237"/>
      <c r="D87" s="397"/>
      <c r="E87" s="110" t="s">
        <v>342</v>
      </c>
      <c r="F87" s="127" t="s">
        <v>343</v>
      </c>
      <c r="G87" s="17" t="s">
        <v>107</v>
      </c>
      <c r="H87" s="365">
        <f t="shared" ref="H87:H89" si="133">+T87</f>
        <v>0</v>
      </c>
      <c r="I87" s="365">
        <f t="shared" ref="I87:I89" si="134">+U87</f>
        <v>0</v>
      </c>
      <c r="J87" s="365">
        <f t="shared" ref="J87:J89" si="135">+V87</f>
        <v>0</v>
      </c>
      <c r="K87" s="365">
        <f t="shared" ref="K87:K89" si="136">+W87</f>
        <v>0</v>
      </c>
      <c r="L87" s="365">
        <f t="shared" ref="L87:L89" si="137">+X87</f>
        <v>0</v>
      </c>
      <c r="M87" s="365">
        <f t="shared" ref="M87:M89" si="138">+Y87</f>
        <v>0</v>
      </c>
      <c r="N87" s="365">
        <f t="shared" ref="N87:N89" si="139">+Z87</f>
        <v>90</v>
      </c>
      <c r="O87" s="365">
        <f t="shared" ref="O87:O89" si="140">+AA87</f>
        <v>0</v>
      </c>
      <c r="P87" s="365">
        <f t="shared" ref="P87:P89" si="141">+AB87</f>
        <v>0</v>
      </c>
      <c r="Q87" s="365">
        <f t="shared" ref="Q87:Q89" si="142">+AC87</f>
        <v>0</v>
      </c>
      <c r="R87" s="365"/>
      <c r="S87" s="418">
        <f>SUM(T87:AC87)</f>
        <v>90</v>
      </c>
      <c r="T87" s="365">
        <f t="shared" ref="T87:T89" si="143">ROUND(AF87,ARRONDI_QT)</f>
        <v>0</v>
      </c>
      <c r="U87" s="365">
        <f t="shared" ref="U87:U89" si="144">ROUND(AG87,ARRONDI_QT)</f>
        <v>0</v>
      </c>
      <c r="V87" s="365">
        <f t="shared" ref="V87:V89" si="145">ROUND(AH87,ARRONDI_QT)</f>
        <v>0</v>
      </c>
      <c r="W87" s="365">
        <f t="shared" ref="W87:W89" si="146">ROUND(AI87,ARRONDI_QT)</f>
        <v>0</v>
      </c>
      <c r="X87" s="365">
        <f t="shared" ref="X87:X89" si="147">ROUND(AJ87,ARRONDI_QT)</f>
        <v>0</v>
      </c>
      <c r="Y87" s="365">
        <f t="shared" ref="Y87:Y89" si="148">ROUND(AK87,ARRONDI_QT)</f>
        <v>0</v>
      </c>
      <c r="Z87" s="365">
        <f t="shared" ref="Z87:Z89" si="149">ROUND(AL87,ARRONDI_QT)</f>
        <v>90</v>
      </c>
      <c r="AA87" s="365">
        <f t="shared" ref="AA87:AA89" si="150">ROUND(AM87,ARRONDI_QT)</f>
        <v>0</v>
      </c>
      <c r="AB87" s="365">
        <f t="shared" ref="AB87:AB89" si="151">ROUND(AN87,ARRONDI_QT)</f>
        <v>0</v>
      </c>
      <c r="AC87" s="365">
        <f t="shared" ref="AC87:AC89" si="152">ROUND(AO87,ARRONDI_QT)</f>
        <v>0</v>
      </c>
      <c r="AD87" s="365"/>
      <c r="AE87" s="112">
        <f>ROUND(SUM(AF87:AO87),ARRONDI_QT)</f>
        <v>90</v>
      </c>
      <c r="AF87" s="366">
        <v>0</v>
      </c>
      <c r="AG87" s="366">
        <v>0</v>
      </c>
      <c r="AH87" s="366">
        <v>0</v>
      </c>
      <c r="AI87" s="366">
        <v>0</v>
      </c>
      <c r="AJ87" s="366">
        <v>0</v>
      </c>
      <c r="AK87" s="366">
        <v>0</v>
      </c>
      <c r="AL87" s="366">
        <v>90</v>
      </c>
      <c r="AM87" s="366">
        <v>0</v>
      </c>
      <c r="AN87" s="366">
        <v>0</v>
      </c>
      <c r="AO87" s="366">
        <v>0</v>
      </c>
      <c r="AP87" s="365"/>
      <c r="AQ87" s="439">
        <f>SUM(H87:Q87)</f>
        <v>90</v>
      </c>
      <c r="AR87" s="439">
        <f>ROUND(AU87+BV87,ARRONDI_PU)</f>
        <v>26.196000000000002</v>
      </c>
      <c r="AS87" s="440">
        <f>+AR87*AQ87</f>
        <v>2357.6400000000003</v>
      </c>
      <c r="AT87" s="255"/>
      <c r="AU87" s="130">
        <f>+AX87+BB87+BE87+BH87+BK87+BN87+BQ87+BT87</f>
        <v>23.6</v>
      </c>
      <c r="AV87" s="285">
        <f>+COEF_MO_INSTALL</f>
        <v>1.3</v>
      </c>
      <c r="AW87" s="286">
        <v>0</v>
      </c>
      <c r="AX87" s="130">
        <f>+AW87*TH_INSTALL</f>
        <v>0</v>
      </c>
      <c r="AY87" s="130">
        <f>+AW87*AE87</f>
        <v>0</v>
      </c>
      <c r="AZ87" s="130">
        <f>IF(AQ87&gt;0,(AX87*AE87),0)</f>
        <v>0</v>
      </c>
      <c r="BA87" s="285">
        <f>+COEF_FOUR1_INSTALL</f>
        <v>1.3</v>
      </c>
      <c r="BB87" s="286">
        <v>0</v>
      </c>
      <c r="BC87" s="130">
        <f>IF(AQ87&gt;0,(BB87*AE87),0)</f>
        <v>0</v>
      </c>
      <c r="BD87" s="285">
        <f>+COEF_FOUR2_INSTALL</f>
        <v>1.3</v>
      </c>
      <c r="BE87" s="286">
        <v>0</v>
      </c>
      <c r="BF87" s="130">
        <f>IF(AQ87&gt;0,(BE87*AE87),0)</f>
        <v>0</v>
      </c>
      <c r="BG87" s="285">
        <f>+COEF_FOUR3_INSTALL</f>
        <v>1.3</v>
      </c>
      <c r="BH87" s="286">
        <v>0</v>
      </c>
      <c r="BI87" s="130">
        <f>IF(AQ87&gt;0,(BH87*AE87),0)</f>
        <v>0</v>
      </c>
      <c r="BJ87" s="287">
        <f>+COEF_MTLLOC_INSTALL</f>
        <v>1.1499999999999999</v>
      </c>
      <c r="BK87" s="286">
        <v>0</v>
      </c>
      <c r="BL87" s="130">
        <f>IF(AQ87&gt;0,(BK87*AE87),0)</f>
        <v>0</v>
      </c>
      <c r="BM87" s="287">
        <f>+COEF_MTLAMR_INSTALL</f>
        <v>1.3</v>
      </c>
      <c r="BN87" s="286">
        <v>0</v>
      </c>
      <c r="BO87" s="130">
        <f>IF(AQ87&gt;0,(BN87*AE87),0)</f>
        <v>0</v>
      </c>
      <c r="BP87" s="287">
        <f>+COEF_ST1_INSTALL</f>
        <v>1.1100000000000001</v>
      </c>
      <c r="BQ87" s="286">
        <f>22+1.6</f>
        <v>23.6</v>
      </c>
      <c r="BR87" s="130">
        <f>IF(AQ87&gt;0,(BQ87*AE87),0)</f>
        <v>2124</v>
      </c>
      <c r="BS87" s="287">
        <f>+COEF_ST2_INSTALL</f>
        <v>1.1100000000000001</v>
      </c>
      <c r="BT87" s="286">
        <v>0</v>
      </c>
      <c r="BU87" s="130">
        <f>IF(AQ87&gt;0,(BT87*AE87),0)</f>
        <v>0</v>
      </c>
      <c r="BV87" s="130">
        <f>+(((AX87)*AV87)+(BB87*BA87)+(BE87*BD87)+(BH87*BG87)+(BK87*BJ87)+(BN87*BM87)+(BQ87*BP87)+(BT87*BS87)+(BT87*BS87))-(AU87)</f>
        <v>2.5960000000000036</v>
      </c>
      <c r="BW87" s="130">
        <f>+BV87*AE87</f>
        <v>233.64000000000033</v>
      </c>
      <c r="BX87" s="130">
        <f>AS87-(BW87+BU87+BR87+BO87+BL87+BI87+BF87+BC87+AZ87)</f>
        <v>0</v>
      </c>
      <c r="BY87" s="329"/>
    </row>
    <row r="88" spans="1:77" s="393" customFormat="1">
      <c r="B88" s="261"/>
      <c r="C88" s="237"/>
      <c r="D88" s="397"/>
      <c r="E88" s="110"/>
      <c r="F88" s="127" t="s">
        <v>344</v>
      </c>
      <c r="G88" s="17" t="s">
        <v>107</v>
      </c>
      <c r="H88" s="365">
        <f t="shared" si="133"/>
        <v>0</v>
      </c>
      <c r="I88" s="365">
        <f t="shared" si="134"/>
        <v>0</v>
      </c>
      <c r="J88" s="365">
        <f t="shared" si="135"/>
        <v>0</v>
      </c>
      <c r="K88" s="365">
        <f t="shared" si="136"/>
        <v>0</v>
      </c>
      <c r="L88" s="365">
        <f t="shared" si="137"/>
        <v>0</v>
      </c>
      <c r="M88" s="365">
        <f t="shared" si="138"/>
        <v>0</v>
      </c>
      <c r="N88" s="365">
        <f t="shared" si="139"/>
        <v>165</v>
      </c>
      <c r="O88" s="365">
        <f t="shared" si="140"/>
        <v>0</v>
      </c>
      <c r="P88" s="365">
        <f t="shared" si="141"/>
        <v>0</v>
      </c>
      <c r="Q88" s="365">
        <f t="shared" si="142"/>
        <v>0</v>
      </c>
      <c r="R88" s="365"/>
      <c r="S88" s="418">
        <f>SUM(T88:AC88)</f>
        <v>165</v>
      </c>
      <c r="T88" s="365">
        <f t="shared" si="143"/>
        <v>0</v>
      </c>
      <c r="U88" s="365">
        <f t="shared" si="144"/>
        <v>0</v>
      </c>
      <c r="V88" s="365">
        <f t="shared" si="145"/>
        <v>0</v>
      </c>
      <c r="W88" s="365">
        <f t="shared" si="146"/>
        <v>0</v>
      </c>
      <c r="X88" s="365">
        <f t="shared" si="147"/>
        <v>0</v>
      </c>
      <c r="Y88" s="365">
        <f t="shared" si="148"/>
        <v>0</v>
      </c>
      <c r="Z88" s="365">
        <f t="shared" si="149"/>
        <v>165</v>
      </c>
      <c r="AA88" s="365">
        <f t="shared" si="150"/>
        <v>0</v>
      </c>
      <c r="AB88" s="365">
        <f t="shared" si="151"/>
        <v>0</v>
      </c>
      <c r="AC88" s="365">
        <f t="shared" si="152"/>
        <v>0</v>
      </c>
      <c r="AD88" s="365"/>
      <c r="AE88" s="112">
        <f>ROUND(SUM(AF88:AO88),ARRONDI_QT)</f>
        <v>165</v>
      </c>
      <c r="AF88" s="366">
        <v>0</v>
      </c>
      <c r="AG88" s="366">
        <v>0</v>
      </c>
      <c r="AH88" s="366">
        <v>0</v>
      </c>
      <c r="AI88" s="366">
        <v>0</v>
      </c>
      <c r="AJ88" s="366">
        <v>0</v>
      </c>
      <c r="AK88" s="366">
        <v>0</v>
      </c>
      <c r="AL88" s="366">
        <v>165</v>
      </c>
      <c r="AM88" s="366">
        <v>0</v>
      </c>
      <c r="AN88" s="366">
        <v>0</v>
      </c>
      <c r="AO88" s="366">
        <v>0</v>
      </c>
      <c r="AP88" s="365"/>
      <c r="AQ88" s="439">
        <f>SUM(H88:Q88)</f>
        <v>165</v>
      </c>
      <c r="AR88" s="439">
        <f>ROUND(AU88+BV88,ARRONDI_PU)</f>
        <v>20.646000000000001</v>
      </c>
      <c r="AS88" s="440">
        <f>+AR88*AQ88</f>
        <v>3406.59</v>
      </c>
      <c r="AT88" s="255"/>
      <c r="AU88" s="130">
        <f>+AX88+BB88+BE88+BH88+BK88+BN88+BQ88+BT88</f>
        <v>18.600000000000001</v>
      </c>
      <c r="AV88" s="285">
        <f>+COEF_MO_INSTALL</f>
        <v>1.3</v>
      </c>
      <c r="AW88" s="286">
        <v>0</v>
      </c>
      <c r="AX88" s="130">
        <f>+AW88*TH_INSTALL</f>
        <v>0</v>
      </c>
      <c r="AY88" s="130">
        <f>+AW88*AE88</f>
        <v>0</v>
      </c>
      <c r="AZ88" s="130">
        <f>IF(AQ88&gt;0,(AX88*AE88),0)</f>
        <v>0</v>
      </c>
      <c r="BA88" s="285">
        <f>+COEF_FOUR1_INSTALL</f>
        <v>1.3</v>
      </c>
      <c r="BB88" s="286">
        <v>0</v>
      </c>
      <c r="BC88" s="130">
        <f>IF(AQ88&gt;0,(BB88*AE88),0)</f>
        <v>0</v>
      </c>
      <c r="BD88" s="285">
        <f>+COEF_FOUR2_INSTALL</f>
        <v>1.3</v>
      </c>
      <c r="BE88" s="286">
        <v>0</v>
      </c>
      <c r="BF88" s="130">
        <f>IF(AQ88&gt;0,(BE88*AE88),0)</f>
        <v>0</v>
      </c>
      <c r="BG88" s="285">
        <f>+COEF_FOUR3_INSTALL</f>
        <v>1.3</v>
      </c>
      <c r="BH88" s="286">
        <v>0</v>
      </c>
      <c r="BI88" s="130">
        <f>IF(AQ88&gt;0,(BH88*AE88),0)</f>
        <v>0</v>
      </c>
      <c r="BJ88" s="287">
        <f>+COEF_MTLLOC_INSTALL</f>
        <v>1.1499999999999999</v>
      </c>
      <c r="BK88" s="286">
        <v>0</v>
      </c>
      <c r="BL88" s="130">
        <f>IF(AQ88&gt;0,(BK88*AE88),0)</f>
        <v>0</v>
      </c>
      <c r="BM88" s="287">
        <f>+COEF_MTLAMR_INSTALL</f>
        <v>1.3</v>
      </c>
      <c r="BN88" s="286">
        <v>0</v>
      </c>
      <c r="BO88" s="130">
        <f>IF(AQ88&gt;0,(BN88*AE88),0)</f>
        <v>0</v>
      </c>
      <c r="BP88" s="287">
        <f>+COEF_ST1_INSTALL</f>
        <v>1.1100000000000001</v>
      </c>
      <c r="BQ88" s="286">
        <f>17+1.6</f>
        <v>18.600000000000001</v>
      </c>
      <c r="BR88" s="130">
        <f>IF(AQ88&gt;0,(BQ88*AE88),0)</f>
        <v>3069.0000000000005</v>
      </c>
      <c r="BS88" s="287">
        <f>+COEF_ST2_INSTALL</f>
        <v>1.1100000000000001</v>
      </c>
      <c r="BT88" s="286">
        <v>0</v>
      </c>
      <c r="BU88" s="130">
        <f>IF(AQ88&gt;0,(BT88*AE88),0)</f>
        <v>0</v>
      </c>
      <c r="BV88" s="130">
        <f>+(((AX88)*AV88)+(BB88*BA88)+(BE88*BD88)+(BH88*BG88)+(BK88*BJ88)+(BN88*BM88)+(BQ88*BP88)+(BT88*BS88)+(BT88*BS88))-(AU88)</f>
        <v>2.0460000000000029</v>
      </c>
      <c r="BW88" s="130">
        <f>+BV88*AE88</f>
        <v>337.59000000000049</v>
      </c>
      <c r="BX88" s="130">
        <f>AS88-(BW88+BU88+BR88+BO88+BL88+BI88+BF88+BC88+AZ88)</f>
        <v>0</v>
      </c>
      <c r="BY88" s="329"/>
    </row>
    <row r="89" spans="1:77" s="393" customFormat="1">
      <c r="B89" s="261"/>
      <c r="C89" s="237"/>
      <c r="D89" s="397"/>
      <c r="E89" s="110"/>
      <c r="F89" s="127" t="s">
        <v>341</v>
      </c>
      <c r="G89" s="17" t="s">
        <v>33</v>
      </c>
      <c r="H89" s="365">
        <f t="shared" si="133"/>
        <v>0</v>
      </c>
      <c r="I89" s="365">
        <f t="shared" si="134"/>
        <v>0</v>
      </c>
      <c r="J89" s="365">
        <f t="shared" si="135"/>
        <v>0</v>
      </c>
      <c r="K89" s="365">
        <f t="shared" si="136"/>
        <v>0</v>
      </c>
      <c r="L89" s="365">
        <f t="shared" si="137"/>
        <v>0</v>
      </c>
      <c r="M89" s="365">
        <f t="shared" si="138"/>
        <v>0</v>
      </c>
      <c r="N89" s="365">
        <f t="shared" si="139"/>
        <v>2</v>
      </c>
      <c r="O89" s="365">
        <f t="shared" si="140"/>
        <v>0</v>
      </c>
      <c r="P89" s="365">
        <f t="shared" si="141"/>
        <v>0</v>
      </c>
      <c r="Q89" s="365">
        <f t="shared" si="142"/>
        <v>0</v>
      </c>
      <c r="R89" s="365"/>
      <c r="S89" s="418">
        <f>SUM(T89:AC89)</f>
        <v>2</v>
      </c>
      <c r="T89" s="365">
        <f t="shared" si="143"/>
        <v>0</v>
      </c>
      <c r="U89" s="365">
        <f t="shared" si="144"/>
        <v>0</v>
      </c>
      <c r="V89" s="365">
        <f t="shared" si="145"/>
        <v>0</v>
      </c>
      <c r="W89" s="365">
        <f t="shared" si="146"/>
        <v>0</v>
      </c>
      <c r="X89" s="365">
        <f t="shared" si="147"/>
        <v>0</v>
      </c>
      <c r="Y89" s="365">
        <f t="shared" si="148"/>
        <v>0</v>
      </c>
      <c r="Z89" s="365">
        <f t="shared" si="149"/>
        <v>2</v>
      </c>
      <c r="AA89" s="365">
        <f t="shared" si="150"/>
        <v>0</v>
      </c>
      <c r="AB89" s="365">
        <f t="shared" si="151"/>
        <v>0</v>
      </c>
      <c r="AC89" s="365">
        <f t="shared" si="152"/>
        <v>0</v>
      </c>
      <c r="AD89" s="365"/>
      <c r="AE89" s="112">
        <f>ROUND(SUM(AF89:AO89),ARRONDI_QT)</f>
        <v>2</v>
      </c>
      <c r="AF89" s="366">
        <v>0</v>
      </c>
      <c r="AG89" s="366">
        <v>0</v>
      </c>
      <c r="AH89" s="366">
        <v>0</v>
      </c>
      <c r="AI89" s="366">
        <v>0</v>
      </c>
      <c r="AJ89" s="366">
        <v>0</v>
      </c>
      <c r="AK89" s="366">
        <v>0</v>
      </c>
      <c r="AL89" s="366">
        <v>2</v>
      </c>
      <c r="AM89" s="366">
        <v>0</v>
      </c>
      <c r="AN89" s="366">
        <v>0</v>
      </c>
      <c r="AO89" s="366">
        <v>0</v>
      </c>
      <c r="AP89" s="365"/>
      <c r="AQ89" s="439">
        <f>SUM(H89:Q89)</f>
        <v>2</v>
      </c>
      <c r="AR89" s="439">
        <f>ROUND(AU89+BV89,ARRONDI_PU)</f>
        <v>754.8</v>
      </c>
      <c r="AS89" s="440">
        <f>+AR89*AQ89</f>
        <v>1509.6</v>
      </c>
      <c r="AT89" s="255"/>
      <c r="AU89" s="130">
        <f>+AX89+BB89+BE89+BH89+BK89+BN89+BQ89+BT89</f>
        <v>680</v>
      </c>
      <c r="AV89" s="285">
        <f>+COEF_MO_INSTALL</f>
        <v>1.3</v>
      </c>
      <c r="AW89" s="286">
        <v>0</v>
      </c>
      <c r="AX89" s="130">
        <f>+AW89*TH_INSTALL</f>
        <v>0</v>
      </c>
      <c r="AY89" s="130">
        <f>+AW89*AE89</f>
        <v>0</v>
      </c>
      <c r="AZ89" s="130">
        <f>IF(AQ89&gt;0,(AX89*AE89),0)</f>
        <v>0</v>
      </c>
      <c r="BA89" s="285">
        <f>+COEF_FOUR1_INSTALL</f>
        <v>1.3</v>
      </c>
      <c r="BB89" s="286">
        <v>0</v>
      </c>
      <c r="BC89" s="130">
        <f>IF(AQ89&gt;0,(BB89*AE89),0)</f>
        <v>0</v>
      </c>
      <c r="BD89" s="285">
        <f>+COEF_FOUR2_INSTALL</f>
        <v>1.3</v>
      </c>
      <c r="BE89" s="286">
        <v>0</v>
      </c>
      <c r="BF89" s="130">
        <f>IF(AQ89&gt;0,(BE89*AE89),0)</f>
        <v>0</v>
      </c>
      <c r="BG89" s="285">
        <f>+COEF_FOUR3_INSTALL</f>
        <v>1.3</v>
      </c>
      <c r="BH89" s="286">
        <v>0</v>
      </c>
      <c r="BI89" s="130">
        <f>IF(AQ89&gt;0,(BH89*AE89),0)</f>
        <v>0</v>
      </c>
      <c r="BJ89" s="287">
        <f>+COEF_MTLLOC_INSTALL</f>
        <v>1.1499999999999999</v>
      </c>
      <c r="BK89" s="286">
        <v>0</v>
      </c>
      <c r="BL89" s="130">
        <f>IF(AQ89&gt;0,(BK89*AE89),0)</f>
        <v>0</v>
      </c>
      <c r="BM89" s="287">
        <f>+COEF_MTLAMR_INSTALL</f>
        <v>1.3</v>
      </c>
      <c r="BN89" s="286">
        <v>0</v>
      </c>
      <c r="BO89" s="130">
        <f>IF(AQ89&gt;0,(BN89*AE89),0)</f>
        <v>0</v>
      </c>
      <c r="BP89" s="287">
        <f>+COEF_ST1_INSTALL</f>
        <v>1.1100000000000001</v>
      </c>
      <c r="BQ89" s="286">
        <v>680</v>
      </c>
      <c r="BR89" s="130">
        <f>IF(AQ89&gt;0,(BQ89*AE89),0)</f>
        <v>1360</v>
      </c>
      <c r="BS89" s="287">
        <f>+COEF_ST2_INSTALL</f>
        <v>1.1100000000000001</v>
      </c>
      <c r="BT89" s="286">
        <v>0</v>
      </c>
      <c r="BU89" s="130">
        <f>IF(AQ89&gt;0,(BT89*AE89),0)</f>
        <v>0</v>
      </c>
      <c r="BV89" s="130">
        <f>+(((AX89)*AV89)+(BB89*BA89)+(BE89*BD89)+(BH89*BG89)+(BK89*BJ89)+(BN89*BM89)+(BQ89*BP89)+(BT89*BS89)+(BT89*BS89))-(AU89)</f>
        <v>74.800000000000068</v>
      </c>
      <c r="BW89" s="130">
        <f>+BV89*AE89</f>
        <v>149.60000000000014</v>
      </c>
      <c r="BX89" s="130">
        <f>AS89-(BW89+BU89+BR89+BO89+BL89+BI89+BF89+BC89+AZ89)</f>
        <v>0</v>
      </c>
      <c r="BY89" s="329"/>
    </row>
    <row r="90" spans="1:77" s="327" customFormat="1">
      <c r="A90" s="392"/>
      <c r="B90" s="261"/>
      <c r="C90" s="237"/>
      <c r="D90" s="397"/>
      <c r="E90" s="110"/>
      <c r="F90" s="127"/>
      <c r="G90" s="17"/>
      <c r="H90" s="276"/>
      <c r="I90" s="276"/>
      <c r="J90" s="276"/>
      <c r="K90" s="276"/>
      <c r="L90" s="276"/>
      <c r="M90" s="276"/>
      <c r="N90" s="276"/>
      <c r="O90" s="276"/>
      <c r="P90" s="276"/>
      <c r="Q90" s="276"/>
      <c r="R90" s="276"/>
      <c r="S90" s="418"/>
      <c r="T90" s="112"/>
      <c r="U90" s="112"/>
      <c r="V90" s="112"/>
      <c r="W90" s="112"/>
      <c r="X90" s="112"/>
      <c r="Y90" s="112"/>
      <c r="Z90" s="112"/>
      <c r="AA90" s="112"/>
      <c r="AB90" s="112"/>
      <c r="AC90" s="112"/>
      <c r="AD90" s="276"/>
      <c r="AE90" s="112"/>
      <c r="AF90" s="129"/>
      <c r="AG90" s="129"/>
      <c r="AH90" s="129"/>
      <c r="AI90" s="129"/>
      <c r="AJ90" s="129"/>
      <c r="AK90" s="129"/>
      <c r="AL90" s="129"/>
      <c r="AM90" s="129"/>
      <c r="AN90" s="129"/>
      <c r="AO90" s="129"/>
      <c r="AP90" s="276"/>
      <c r="AQ90" s="439"/>
      <c r="AR90" s="439"/>
      <c r="AS90" s="440"/>
      <c r="AT90" s="255"/>
      <c r="AU90" s="130"/>
      <c r="AV90" s="285"/>
      <c r="AW90" s="286"/>
      <c r="AX90" s="130"/>
      <c r="AY90" s="130"/>
      <c r="AZ90" s="130"/>
      <c r="BA90" s="285"/>
      <c r="BB90" s="286"/>
      <c r="BC90" s="130"/>
      <c r="BD90" s="285"/>
      <c r="BE90" s="286"/>
      <c r="BF90" s="130"/>
      <c r="BG90" s="285"/>
      <c r="BH90" s="286"/>
      <c r="BI90" s="130"/>
      <c r="BJ90" s="287"/>
      <c r="BK90" s="286"/>
      <c r="BL90" s="130"/>
      <c r="BM90" s="287"/>
      <c r="BN90" s="286"/>
      <c r="BO90" s="130"/>
      <c r="BP90" s="287"/>
      <c r="BQ90" s="286"/>
      <c r="BR90" s="130"/>
      <c r="BS90" s="287"/>
      <c r="BT90" s="286"/>
      <c r="BU90" s="130"/>
      <c r="BV90" s="130"/>
      <c r="BW90" s="130"/>
      <c r="BX90" s="130"/>
      <c r="BY90" s="256"/>
    </row>
    <row r="91" spans="1:77" s="327" customFormat="1">
      <c r="A91" s="392"/>
      <c r="B91" s="261"/>
      <c r="C91" s="237"/>
      <c r="D91" s="397"/>
      <c r="E91" s="110" t="s">
        <v>191</v>
      </c>
      <c r="F91" s="127" t="s">
        <v>192</v>
      </c>
      <c r="G91" s="17"/>
      <c r="H91" s="276"/>
      <c r="I91" s="276"/>
      <c r="J91" s="276"/>
      <c r="K91" s="276"/>
      <c r="L91" s="276"/>
      <c r="M91" s="276"/>
      <c r="N91" s="276"/>
      <c r="O91" s="276"/>
      <c r="P91" s="276"/>
      <c r="Q91" s="276"/>
      <c r="R91" s="276"/>
      <c r="S91" s="418"/>
      <c r="T91" s="112"/>
      <c r="U91" s="112"/>
      <c r="V91" s="112"/>
      <c r="W91" s="112"/>
      <c r="X91" s="112"/>
      <c r="Y91" s="112"/>
      <c r="Z91" s="112"/>
      <c r="AA91" s="112"/>
      <c r="AB91" s="112"/>
      <c r="AC91" s="112"/>
      <c r="AD91" s="276"/>
      <c r="AE91" s="112"/>
      <c r="AF91" s="129"/>
      <c r="AG91" s="129"/>
      <c r="AH91" s="129"/>
      <c r="AI91" s="129"/>
      <c r="AJ91" s="129"/>
      <c r="AK91" s="129"/>
      <c r="AL91" s="129"/>
      <c r="AM91" s="129"/>
      <c r="AN91" s="129"/>
      <c r="AO91" s="129"/>
      <c r="AP91" s="276"/>
      <c r="AQ91" s="439"/>
      <c r="AR91" s="439"/>
      <c r="AS91" s="440"/>
      <c r="AT91" s="255"/>
      <c r="AU91" s="130">
        <f>SUM(AS93:AS113)</f>
        <v>96388.72</v>
      </c>
      <c r="AV91" s="285"/>
      <c r="AW91" s="286"/>
      <c r="AX91" s="130"/>
      <c r="AY91" s="130"/>
      <c r="AZ91" s="130"/>
      <c r="BA91" s="285"/>
      <c r="BB91" s="286"/>
      <c r="BC91" s="130"/>
      <c r="BD91" s="285"/>
      <c r="BE91" s="286"/>
      <c r="BF91" s="130"/>
      <c r="BG91" s="285"/>
      <c r="BH91" s="286"/>
      <c r="BI91" s="130"/>
      <c r="BJ91" s="287"/>
      <c r="BK91" s="286"/>
      <c r="BL91" s="130"/>
      <c r="BM91" s="287"/>
      <c r="BN91" s="286"/>
      <c r="BO91" s="130"/>
      <c r="BP91" s="287"/>
      <c r="BQ91" s="286"/>
      <c r="BR91" s="130"/>
      <c r="BS91" s="287"/>
      <c r="BT91" s="286"/>
      <c r="BU91" s="130"/>
      <c r="BV91" s="130"/>
      <c r="BW91" s="130"/>
      <c r="BX91" s="130"/>
      <c r="BY91" s="256"/>
    </row>
    <row r="92" spans="1:77" s="444" customFormat="1">
      <c r="B92" s="261"/>
      <c r="C92" s="237"/>
      <c r="D92" s="397"/>
      <c r="E92" s="110" t="s">
        <v>193</v>
      </c>
      <c r="F92" s="127" t="s">
        <v>413</v>
      </c>
      <c r="G92" s="17"/>
      <c r="H92" s="276"/>
      <c r="I92" s="276"/>
      <c r="J92" s="276"/>
      <c r="K92" s="276"/>
      <c r="L92" s="276"/>
      <c r="M92" s="276"/>
      <c r="N92" s="276"/>
      <c r="O92" s="276"/>
      <c r="P92" s="276"/>
      <c r="Q92" s="276"/>
      <c r="R92" s="276"/>
      <c r="S92" s="418"/>
      <c r="T92" s="112"/>
      <c r="U92" s="112"/>
      <c r="V92" s="112"/>
      <c r="W92" s="112"/>
      <c r="X92" s="112"/>
      <c r="Y92" s="112"/>
      <c r="Z92" s="112"/>
      <c r="AA92" s="112"/>
      <c r="AB92" s="112"/>
      <c r="AC92" s="112"/>
      <c r="AD92" s="276"/>
      <c r="AE92" s="112"/>
      <c r="AF92" s="129"/>
      <c r="AG92" s="129"/>
      <c r="AH92" s="129"/>
      <c r="AI92" s="129"/>
      <c r="AJ92" s="129"/>
      <c r="AK92" s="129"/>
      <c r="AL92" s="129"/>
      <c r="AM92" s="129"/>
      <c r="AN92" s="129"/>
      <c r="AO92" s="129"/>
      <c r="AP92" s="276"/>
      <c r="AQ92" s="439"/>
      <c r="AR92" s="439"/>
      <c r="AS92" s="440"/>
      <c r="AT92" s="255"/>
      <c r="AU92" s="130"/>
      <c r="AV92" s="285"/>
      <c r="AW92" s="286"/>
      <c r="AX92" s="130"/>
      <c r="AY92" s="130"/>
      <c r="AZ92" s="130"/>
      <c r="BA92" s="285"/>
      <c r="BB92" s="286"/>
      <c r="BC92" s="130"/>
      <c r="BD92" s="285"/>
      <c r="BE92" s="286"/>
      <c r="BF92" s="130"/>
      <c r="BG92" s="285"/>
      <c r="BH92" s="286"/>
      <c r="BI92" s="130"/>
      <c r="BJ92" s="287"/>
      <c r="BK92" s="286"/>
      <c r="BL92" s="130"/>
      <c r="BM92" s="287"/>
      <c r="BN92" s="286"/>
      <c r="BO92" s="130"/>
      <c r="BP92" s="287"/>
      <c r="BQ92" s="286"/>
      <c r="BR92" s="130"/>
      <c r="BS92" s="287"/>
      <c r="BT92" s="286"/>
      <c r="BU92" s="130"/>
      <c r="BV92" s="130"/>
      <c r="BW92" s="130"/>
      <c r="BX92" s="130"/>
      <c r="BY92" s="256"/>
    </row>
    <row r="93" spans="1:77" s="327" customFormat="1">
      <c r="A93" s="392"/>
      <c r="B93" s="261"/>
      <c r="C93" s="237"/>
      <c r="D93" s="397"/>
      <c r="E93" s="110"/>
      <c r="F93" s="127" t="s">
        <v>414</v>
      </c>
      <c r="G93" s="17" t="s">
        <v>33</v>
      </c>
      <c r="H93" s="365">
        <f t="shared" ref="H93:O96" si="153">+T93</f>
        <v>0</v>
      </c>
      <c r="I93" s="365">
        <f t="shared" si="153"/>
        <v>0</v>
      </c>
      <c r="J93" s="365">
        <f t="shared" si="153"/>
        <v>0</v>
      </c>
      <c r="K93" s="365">
        <f t="shared" si="153"/>
        <v>0</v>
      </c>
      <c r="L93" s="365">
        <f t="shared" si="153"/>
        <v>0</v>
      </c>
      <c r="M93" s="365">
        <f t="shared" si="153"/>
        <v>0</v>
      </c>
      <c r="N93" s="365">
        <f t="shared" si="153"/>
        <v>7</v>
      </c>
      <c r="O93" s="365">
        <f t="shared" si="153"/>
        <v>0</v>
      </c>
      <c r="P93" s="365">
        <f t="shared" ref="P93:Q96" si="154">+AB93</f>
        <v>0</v>
      </c>
      <c r="Q93" s="365">
        <f t="shared" si="154"/>
        <v>0</v>
      </c>
      <c r="R93" s="365"/>
      <c r="S93" s="418">
        <f>SUM(T93:AC93)</f>
        <v>7</v>
      </c>
      <c r="T93" s="365">
        <f t="shared" ref="T93:AC96" si="155">ROUND(AF93,ARRONDI_QT)</f>
        <v>0</v>
      </c>
      <c r="U93" s="365">
        <f t="shared" si="155"/>
        <v>0</v>
      </c>
      <c r="V93" s="365">
        <f t="shared" si="155"/>
        <v>0</v>
      </c>
      <c r="W93" s="365">
        <f t="shared" si="155"/>
        <v>0</v>
      </c>
      <c r="X93" s="365">
        <f t="shared" si="155"/>
        <v>0</v>
      </c>
      <c r="Y93" s="365">
        <f t="shared" si="155"/>
        <v>0</v>
      </c>
      <c r="Z93" s="365">
        <f t="shared" si="155"/>
        <v>7</v>
      </c>
      <c r="AA93" s="365">
        <f t="shared" si="155"/>
        <v>0</v>
      </c>
      <c r="AB93" s="365">
        <f t="shared" si="155"/>
        <v>0</v>
      </c>
      <c r="AC93" s="365">
        <f t="shared" si="155"/>
        <v>0</v>
      </c>
      <c r="AD93" s="365"/>
      <c r="AE93" s="112">
        <f>ROUND(SUM(AF93:AO93),ARRONDI_QT)</f>
        <v>7</v>
      </c>
      <c r="AF93" s="366">
        <v>0</v>
      </c>
      <c r="AG93" s="366">
        <v>0</v>
      </c>
      <c r="AH93" s="366">
        <v>0</v>
      </c>
      <c r="AI93" s="366">
        <v>0</v>
      </c>
      <c r="AJ93" s="366">
        <v>0</v>
      </c>
      <c r="AK93" s="366">
        <v>0</v>
      </c>
      <c r="AL93" s="366">
        <v>7</v>
      </c>
      <c r="AM93" s="366">
        <v>0</v>
      </c>
      <c r="AN93" s="366">
        <v>0</v>
      </c>
      <c r="AO93" s="366">
        <v>0</v>
      </c>
      <c r="AP93" s="365"/>
      <c r="AQ93" s="439">
        <f>SUM(H93:Q93)</f>
        <v>7</v>
      </c>
      <c r="AR93" s="439">
        <f>ROUND(AU93+BV93,ARRONDI_PU)</f>
        <v>445.49900000000002</v>
      </c>
      <c r="AS93" s="440">
        <f>+AR93*AQ93</f>
        <v>3118.4930000000004</v>
      </c>
      <c r="AT93" s="255"/>
      <c r="AU93" s="130">
        <f>+AX93+BB93+BE93+BH93+BK93+BN93+BQ93+BT93</f>
        <v>401.35</v>
      </c>
      <c r="AV93" s="285">
        <f>+COEF_MO_INSTALL</f>
        <v>1.3</v>
      </c>
      <c r="AW93" s="286">
        <v>0</v>
      </c>
      <c r="AX93" s="130">
        <f>+AW93*TH_INSTALL</f>
        <v>0</v>
      </c>
      <c r="AY93" s="130">
        <f>+AW93*AE93</f>
        <v>0</v>
      </c>
      <c r="AZ93" s="130">
        <f>IF(AQ93&gt;0,(AX93*AE93),0)</f>
        <v>0</v>
      </c>
      <c r="BA93" s="285">
        <f>+COEF_FOUR1_INSTALL</f>
        <v>1.3</v>
      </c>
      <c r="BB93" s="286">
        <v>0</v>
      </c>
      <c r="BC93" s="130">
        <f>IF(AQ93&gt;0,(BB93*AE93),0)</f>
        <v>0</v>
      </c>
      <c r="BD93" s="285">
        <f>+COEF_FOUR2_INSTALL</f>
        <v>1.3</v>
      </c>
      <c r="BE93" s="286">
        <v>0</v>
      </c>
      <c r="BF93" s="130">
        <f>IF(AQ93&gt;0,(BE93*AE93),0)</f>
        <v>0</v>
      </c>
      <c r="BG93" s="285">
        <f>+COEF_FOUR3_INSTALL</f>
        <v>1.3</v>
      </c>
      <c r="BH93" s="286">
        <v>0</v>
      </c>
      <c r="BI93" s="130">
        <f>IF(AQ93&gt;0,(BH93*AE93),0)</f>
        <v>0</v>
      </c>
      <c r="BJ93" s="287">
        <f>+COEF_MTLLOC_INSTALL</f>
        <v>1.1499999999999999</v>
      </c>
      <c r="BK93" s="286">
        <v>0</v>
      </c>
      <c r="BL93" s="130">
        <f>IF(AQ93&gt;0,(BK93*AE93),0)</f>
        <v>0</v>
      </c>
      <c r="BM93" s="287">
        <f>+COEF_MTLAMR_INSTALL</f>
        <v>1.3</v>
      </c>
      <c r="BN93" s="286">
        <v>0</v>
      </c>
      <c r="BO93" s="130">
        <f>IF(AQ93&gt;0,(BN93*AE93),0)</f>
        <v>0</v>
      </c>
      <c r="BP93" s="287">
        <f>+COEF_ST1_INSTALL</f>
        <v>1.1100000000000001</v>
      </c>
      <c r="BQ93" s="286">
        <v>401.35</v>
      </c>
      <c r="BR93" s="130">
        <f>IF(AQ93&gt;0,(BQ93*AE93),0)</f>
        <v>2809.4500000000003</v>
      </c>
      <c r="BS93" s="287">
        <f>+COEF_ST2_INSTALL</f>
        <v>1.1100000000000001</v>
      </c>
      <c r="BT93" s="286">
        <v>0</v>
      </c>
      <c r="BU93" s="130">
        <f>IF(AQ93&gt;0,(BT93*AE93),0)</f>
        <v>0</v>
      </c>
      <c r="BV93" s="130">
        <f>+(((AX93)*AV93)+(BB93*BA93)+(BE93*BD93)+(BH93*BG93)+(BK93*BJ93)+(BN93*BM93)+(BQ93*BP93)+(BT93*BS93)+(BT93*BS93))-(AU93)</f>
        <v>44.14850000000007</v>
      </c>
      <c r="BW93" s="130">
        <f>+BV93*AE93</f>
        <v>309.03950000000049</v>
      </c>
      <c r="BX93" s="130">
        <f>AS93-(BW93+BU93+BR93+BO93+BL93+BI93+BF93+BC93+AZ93)</f>
        <v>3.4999999998035491E-3</v>
      </c>
      <c r="BY93" s="329"/>
    </row>
    <row r="94" spans="1:77" s="444" customFormat="1">
      <c r="B94" s="261"/>
      <c r="C94" s="237"/>
      <c r="D94" s="397"/>
      <c r="E94" s="110"/>
      <c r="F94" s="127" t="s">
        <v>415</v>
      </c>
      <c r="G94" s="17" t="s">
        <v>33</v>
      </c>
      <c r="H94" s="365">
        <f t="shared" ref="H94" si="156">+T94</f>
        <v>0</v>
      </c>
      <c r="I94" s="365">
        <f t="shared" ref="I94" si="157">+U94</f>
        <v>0</v>
      </c>
      <c r="J94" s="365">
        <f t="shared" ref="J94" si="158">+V94</f>
        <v>0</v>
      </c>
      <c r="K94" s="365">
        <f t="shared" ref="K94" si="159">+W94</f>
        <v>0</v>
      </c>
      <c r="L94" s="365">
        <f t="shared" ref="L94" si="160">+X94</f>
        <v>0</v>
      </c>
      <c r="M94" s="365">
        <f t="shared" ref="M94" si="161">+Y94</f>
        <v>0</v>
      </c>
      <c r="N94" s="365">
        <f t="shared" ref="N94" si="162">+Z94</f>
        <v>5</v>
      </c>
      <c r="O94" s="365">
        <f t="shared" ref="O94" si="163">+AA94</f>
        <v>0</v>
      </c>
      <c r="P94" s="365">
        <f t="shared" ref="P94" si="164">+AB94</f>
        <v>0</v>
      </c>
      <c r="Q94" s="365">
        <f t="shared" ref="Q94" si="165">+AC94</f>
        <v>0</v>
      </c>
      <c r="R94" s="365"/>
      <c r="S94" s="418">
        <f>SUM(T94:AC94)</f>
        <v>5</v>
      </c>
      <c r="T94" s="365">
        <f t="shared" ref="T94" si="166">ROUND(AF94,ARRONDI_QT)</f>
        <v>0</v>
      </c>
      <c r="U94" s="365">
        <f t="shared" ref="U94" si="167">ROUND(AG94,ARRONDI_QT)</f>
        <v>0</v>
      </c>
      <c r="V94" s="365">
        <f t="shared" ref="V94" si="168">ROUND(AH94,ARRONDI_QT)</f>
        <v>0</v>
      </c>
      <c r="W94" s="365">
        <f t="shared" ref="W94" si="169">ROUND(AI94,ARRONDI_QT)</f>
        <v>0</v>
      </c>
      <c r="X94" s="365">
        <f t="shared" ref="X94" si="170">ROUND(AJ94,ARRONDI_QT)</f>
        <v>0</v>
      </c>
      <c r="Y94" s="365">
        <f t="shared" ref="Y94" si="171">ROUND(AK94,ARRONDI_QT)</f>
        <v>0</v>
      </c>
      <c r="Z94" s="365">
        <f t="shared" ref="Z94" si="172">ROUND(AL94,ARRONDI_QT)</f>
        <v>5</v>
      </c>
      <c r="AA94" s="365">
        <f t="shared" ref="AA94" si="173">ROUND(AM94,ARRONDI_QT)</f>
        <v>0</v>
      </c>
      <c r="AB94" s="365">
        <f t="shared" ref="AB94" si="174">ROUND(AN94,ARRONDI_QT)</f>
        <v>0</v>
      </c>
      <c r="AC94" s="365">
        <f t="shared" ref="AC94" si="175">ROUND(AO94,ARRONDI_QT)</f>
        <v>0</v>
      </c>
      <c r="AD94" s="365"/>
      <c r="AE94" s="112">
        <f>ROUND(SUM(AF94:AO94),ARRONDI_QT)</f>
        <v>5</v>
      </c>
      <c r="AF94" s="366">
        <v>0</v>
      </c>
      <c r="AG94" s="366">
        <v>0</v>
      </c>
      <c r="AH94" s="366">
        <v>0</v>
      </c>
      <c r="AI94" s="366">
        <v>0</v>
      </c>
      <c r="AJ94" s="366">
        <v>0</v>
      </c>
      <c r="AK94" s="366">
        <v>0</v>
      </c>
      <c r="AL94" s="366">
        <v>5</v>
      </c>
      <c r="AM94" s="366">
        <v>0</v>
      </c>
      <c r="AN94" s="366">
        <v>0</v>
      </c>
      <c r="AO94" s="366">
        <v>0</v>
      </c>
      <c r="AP94" s="365"/>
      <c r="AQ94" s="439">
        <f>SUM(H94:Q94)</f>
        <v>5</v>
      </c>
      <c r="AR94" s="439">
        <f>ROUND(AU94+BV94,ARRONDI_PU)</f>
        <v>377.62200000000001</v>
      </c>
      <c r="AS94" s="440">
        <f>+AR94*AQ94</f>
        <v>1888.1100000000001</v>
      </c>
      <c r="AT94" s="255"/>
      <c r="AU94" s="130">
        <f>+AX94+BB94+BE94+BH94+BK94+BN94+BQ94+BT94</f>
        <v>340.2</v>
      </c>
      <c r="AV94" s="285">
        <f>+COEF_MO_INSTALL</f>
        <v>1.3</v>
      </c>
      <c r="AW94" s="286">
        <v>0</v>
      </c>
      <c r="AX94" s="130">
        <f>+AW94*TH_INSTALL</f>
        <v>0</v>
      </c>
      <c r="AY94" s="130">
        <f>+AW94*AE94</f>
        <v>0</v>
      </c>
      <c r="AZ94" s="130">
        <f>IF(AQ94&gt;0,(AX94*AE94),0)</f>
        <v>0</v>
      </c>
      <c r="BA94" s="285">
        <f>+COEF_FOUR1_INSTALL</f>
        <v>1.3</v>
      </c>
      <c r="BB94" s="286">
        <v>0</v>
      </c>
      <c r="BC94" s="130">
        <f>IF(AQ94&gt;0,(BB94*AE94),0)</f>
        <v>0</v>
      </c>
      <c r="BD94" s="285">
        <f>+COEF_FOUR2_INSTALL</f>
        <v>1.3</v>
      </c>
      <c r="BE94" s="286">
        <v>0</v>
      </c>
      <c r="BF94" s="130">
        <f>IF(AQ94&gt;0,(BE94*AE94),0)</f>
        <v>0</v>
      </c>
      <c r="BG94" s="285">
        <f>+COEF_FOUR3_INSTALL</f>
        <v>1.3</v>
      </c>
      <c r="BH94" s="286">
        <v>0</v>
      </c>
      <c r="BI94" s="130">
        <f>IF(AQ94&gt;0,(BH94*AE94),0)</f>
        <v>0</v>
      </c>
      <c r="BJ94" s="287">
        <f>+COEF_MTLLOC_INSTALL</f>
        <v>1.1499999999999999</v>
      </c>
      <c r="BK94" s="286">
        <v>0</v>
      </c>
      <c r="BL94" s="130">
        <f>IF(AQ94&gt;0,(BK94*AE94),0)</f>
        <v>0</v>
      </c>
      <c r="BM94" s="287">
        <f>+COEF_MTLAMR_INSTALL</f>
        <v>1.3</v>
      </c>
      <c r="BN94" s="286">
        <v>0</v>
      </c>
      <c r="BO94" s="130">
        <f>IF(AQ94&gt;0,(BN94*AE94),0)</f>
        <v>0</v>
      </c>
      <c r="BP94" s="287">
        <f>+COEF_ST1_INSTALL</f>
        <v>1.1100000000000001</v>
      </c>
      <c r="BQ94" s="286">
        <v>340.2</v>
      </c>
      <c r="BR94" s="130">
        <f>IF(AQ94&gt;0,(BQ94*AE94),0)</f>
        <v>1701</v>
      </c>
      <c r="BS94" s="287">
        <f>+COEF_ST2_INSTALL</f>
        <v>1.1100000000000001</v>
      </c>
      <c r="BT94" s="286">
        <v>0</v>
      </c>
      <c r="BU94" s="130">
        <f>IF(AQ94&gt;0,(BT94*AE94),0)</f>
        <v>0</v>
      </c>
      <c r="BV94" s="130">
        <f>+(((AX94)*AV94)+(BB94*BA94)+(BE94*BD94)+(BH94*BG94)+(BK94*BJ94)+(BN94*BM94)+(BQ94*BP94)+(BT94*BS94)+(BT94*BS94))-(AU94)</f>
        <v>37.422000000000025</v>
      </c>
      <c r="BW94" s="130">
        <f>+BV94*AE94</f>
        <v>187.11000000000013</v>
      </c>
      <c r="BX94" s="130">
        <f>AS94-(BW94+BU94+BR94+BO94+BL94+BI94+BF94+BC94+AZ94)</f>
        <v>0</v>
      </c>
      <c r="BY94" s="329"/>
    </row>
    <row r="95" spans="1:77" s="444" customFormat="1">
      <c r="B95" s="261"/>
      <c r="C95" s="237"/>
      <c r="D95" s="397"/>
      <c r="E95" s="110"/>
      <c r="F95" s="127"/>
      <c r="G95" s="17"/>
      <c r="H95" s="365"/>
      <c r="I95" s="365"/>
      <c r="J95" s="365"/>
      <c r="K95" s="365"/>
      <c r="L95" s="365"/>
      <c r="M95" s="365"/>
      <c r="N95" s="365"/>
      <c r="O95" s="365"/>
      <c r="P95" s="365"/>
      <c r="Q95" s="365"/>
      <c r="R95" s="365"/>
      <c r="S95" s="418"/>
      <c r="T95" s="365"/>
      <c r="U95" s="365"/>
      <c r="V95" s="365"/>
      <c r="W95" s="365"/>
      <c r="X95" s="365"/>
      <c r="Y95" s="365"/>
      <c r="Z95" s="365"/>
      <c r="AA95" s="365"/>
      <c r="AB95" s="365"/>
      <c r="AC95" s="365"/>
      <c r="AD95" s="365"/>
      <c r="AE95" s="112"/>
      <c r="AF95" s="366"/>
      <c r="AG95" s="366"/>
      <c r="AH95" s="366"/>
      <c r="AI95" s="366"/>
      <c r="AJ95" s="366"/>
      <c r="AK95" s="366"/>
      <c r="AL95" s="366"/>
      <c r="AM95" s="366"/>
      <c r="AN95" s="366"/>
      <c r="AO95" s="366"/>
      <c r="AP95" s="365"/>
      <c r="AQ95" s="439"/>
      <c r="AR95" s="439"/>
      <c r="AS95" s="440"/>
      <c r="AT95" s="255"/>
      <c r="AU95" s="130"/>
      <c r="AV95" s="285"/>
      <c r="AW95" s="286"/>
      <c r="AX95" s="130"/>
      <c r="AY95" s="130"/>
      <c r="AZ95" s="130"/>
      <c r="BA95" s="285"/>
      <c r="BB95" s="286"/>
      <c r="BC95" s="130"/>
      <c r="BD95" s="285"/>
      <c r="BE95" s="286"/>
      <c r="BF95" s="130"/>
      <c r="BG95" s="285"/>
      <c r="BH95" s="286"/>
      <c r="BI95" s="130"/>
      <c r="BJ95" s="287"/>
      <c r="BK95" s="286"/>
      <c r="BL95" s="130"/>
      <c r="BM95" s="287"/>
      <c r="BN95" s="286"/>
      <c r="BO95" s="130"/>
      <c r="BP95" s="287"/>
      <c r="BQ95" s="286"/>
      <c r="BR95" s="130"/>
      <c r="BS95" s="287"/>
      <c r="BT95" s="286"/>
      <c r="BU95" s="130"/>
      <c r="BV95" s="130"/>
      <c r="BW95" s="130"/>
      <c r="BX95" s="130"/>
      <c r="BY95" s="329"/>
    </row>
    <row r="96" spans="1:77" s="327" customFormat="1">
      <c r="A96" s="392"/>
      <c r="B96" s="261"/>
      <c r="C96" s="237"/>
      <c r="D96" s="397"/>
      <c r="E96" s="110" t="s">
        <v>194</v>
      </c>
      <c r="F96" s="127" t="s">
        <v>422</v>
      </c>
      <c r="G96" s="17" t="s">
        <v>107</v>
      </c>
      <c r="H96" s="365">
        <f t="shared" si="153"/>
        <v>0</v>
      </c>
      <c r="I96" s="365">
        <f t="shared" si="153"/>
        <v>0</v>
      </c>
      <c r="J96" s="365">
        <f t="shared" si="153"/>
        <v>0</v>
      </c>
      <c r="K96" s="365">
        <f t="shared" si="153"/>
        <v>0</v>
      </c>
      <c r="L96" s="365">
        <f t="shared" si="153"/>
        <v>0</v>
      </c>
      <c r="M96" s="365">
        <f t="shared" si="153"/>
        <v>0</v>
      </c>
      <c r="N96" s="365">
        <f t="shared" si="153"/>
        <v>22</v>
      </c>
      <c r="O96" s="365">
        <f t="shared" si="153"/>
        <v>0</v>
      </c>
      <c r="P96" s="365">
        <f t="shared" si="154"/>
        <v>0</v>
      </c>
      <c r="Q96" s="365">
        <f t="shared" si="154"/>
        <v>0</v>
      </c>
      <c r="R96" s="365"/>
      <c r="S96" s="418">
        <f>SUM(T96:AC96)</f>
        <v>22</v>
      </c>
      <c r="T96" s="365">
        <f t="shared" si="155"/>
        <v>0</v>
      </c>
      <c r="U96" s="365">
        <f t="shared" si="155"/>
        <v>0</v>
      </c>
      <c r="V96" s="365">
        <f t="shared" si="155"/>
        <v>0</v>
      </c>
      <c r="W96" s="365">
        <f t="shared" si="155"/>
        <v>0</v>
      </c>
      <c r="X96" s="365">
        <f t="shared" si="155"/>
        <v>0</v>
      </c>
      <c r="Y96" s="365">
        <f t="shared" si="155"/>
        <v>0</v>
      </c>
      <c r="Z96" s="365">
        <f t="shared" si="155"/>
        <v>22</v>
      </c>
      <c r="AA96" s="365">
        <f t="shared" si="155"/>
        <v>0</v>
      </c>
      <c r="AB96" s="365">
        <f t="shared" si="155"/>
        <v>0</v>
      </c>
      <c r="AC96" s="365">
        <f t="shared" si="155"/>
        <v>0</v>
      </c>
      <c r="AD96" s="365"/>
      <c r="AE96" s="112">
        <f>ROUND(SUM(AF96:AO96),ARRONDI_QT)</f>
        <v>22</v>
      </c>
      <c r="AF96" s="366">
        <v>0</v>
      </c>
      <c r="AG96" s="366">
        <v>0</v>
      </c>
      <c r="AH96" s="366">
        <v>0</v>
      </c>
      <c r="AI96" s="366">
        <v>0</v>
      </c>
      <c r="AJ96" s="366">
        <v>0</v>
      </c>
      <c r="AK96" s="366">
        <v>0</v>
      </c>
      <c r="AL96" s="366">
        <v>22</v>
      </c>
      <c r="AM96" s="366">
        <v>0</v>
      </c>
      <c r="AN96" s="366">
        <v>0</v>
      </c>
      <c r="AO96" s="366">
        <v>0</v>
      </c>
      <c r="AP96" s="365"/>
      <c r="AQ96" s="439">
        <f>SUM(H96:Q96)</f>
        <v>22</v>
      </c>
      <c r="AR96" s="439">
        <f>ROUND(AU96+BV96,ARRONDI_PU)</f>
        <v>271.95</v>
      </c>
      <c r="AS96" s="440">
        <f>+AR96*AQ96</f>
        <v>5982.9</v>
      </c>
      <c r="AT96" s="255"/>
      <c r="AU96" s="130">
        <f>+AX96+BB96+BE96+BH96+BK96+BN96+BQ96+BT96</f>
        <v>245</v>
      </c>
      <c r="AV96" s="285">
        <f>+COEF_MO_INSTALL</f>
        <v>1.3</v>
      </c>
      <c r="AW96" s="286">
        <v>0</v>
      </c>
      <c r="AX96" s="130">
        <f>+AW96*TH_INSTALL</f>
        <v>0</v>
      </c>
      <c r="AY96" s="130">
        <f>+AW96*AE96</f>
        <v>0</v>
      </c>
      <c r="AZ96" s="130">
        <f>IF(AQ96&gt;0,(AX96*AE96),0)</f>
        <v>0</v>
      </c>
      <c r="BA96" s="285">
        <f>+COEF_FOUR1_INSTALL</f>
        <v>1.3</v>
      </c>
      <c r="BB96" s="286">
        <v>0</v>
      </c>
      <c r="BC96" s="130">
        <f>IF(AQ96&gt;0,(BB96*AE96),0)</f>
        <v>0</v>
      </c>
      <c r="BD96" s="285">
        <f>+COEF_FOUR2_INSTALL</f>
        <v>1.3</v>
      </c>
      <c r="BE96" s="286">
        <v>0</v>
      </c>
      <c r="BF96" s="130">
        <f>IF(AQ96&gt;0,(BE96*AE96),0)</f>
        <v>0</v>
      </c>
      <c r="BG96" s="285">
        <f>+COEF_FOUR3_INSTALL</f>
        <v>1.3</v>
      </c>
      <c r="BH96" s="286">
        <v>0</v>
      </c>
      <c r="BI96" s="130">
        <f>IF(AQ96&gt;0,(BH96*AE96),0)</f>
        <v>0</v>
      </c>
      <c r="BJ96" s="287">
        <f>+COEF_MTLLOC_INSTALL</f>
        <v>1.1499999999999999</v>
      </c>
      <c r="BK96" s="286">
        <v>0</v>
      </c>
      <c r="BL96" s="130">
        <f>IF(AQ96&gt;0,(BK96*AE96),0)</f>
        <v>0</v>
      </c>
      <c r="BM96" s="287">
        <f>+COEF_MTLAMR_INSTALL</f>
        <v>1.3</v>
      </c>
      <c r="BN96" s="286">
        <v>0</v>
      </c>
      <c r="BO96" s="130">
        <f>IF(AQ96&gt;0,(BN96*AE96),0)</f>
        <v>0</v>
      </c>
      <c r="BP96" s="287">
        <f>+COEF_ST1_INSTALL</f>
        <v>1.1100000000000001</v>
      </c>
      <c r="BQ96" s="286">
        <v>245</v>
      </c>
      <c r="BR96" s="130">
        <f>IF(AQ96&gt;0,(BQ96*AE96),0)</f>
        <v>5390</v>
      </c>
      <c r="BS96" s="287">
        <f>+COEF_ST2_INSTALL</f>
        <v>1.1100000000000001</v>
      </c>
      <c r="BT96" s="286">
        <v>0</v>
      </c>
      <c r="BU96" s="130">
        <f>IF(AQ96&gt;0,(BT96*AE96),0)</f>
        <v>0</v>
      </c>
      <c r="BV96" s="130">
        <f>+(((AX96)*AV96)+(BB96*BA96)+(BE96*BD96)+(BH96*BG96)+(BK96*BJ96)+(BN96*BM96)+(BQ96*BP96)+(BT96*BS96)+(BT96*BS96))-(AU96)</f>
        <v>26.950000000000045</v>
      </c>
      <c r="BW96" s="130">
        <f>+BV96*AE96</f>
        <v>592.900000000001</v>
      </c>
      <c r="BX96" s="130">
        <f>AS96-(BW96+BU96+BR96+BO96+BL96+BI96+BF96+BC96+AZ96)</f>
        <v>0</v>
      </c>
      <c r="BY96" s="329"/>
    </row>
    <row r="97" spans="1:79" s="327" customFormat="1">
      <c r="A97" s="392"/>
      <c r="B97" s="261"/>
      <c r="C97" s="237"/>
      <c r="D97" s="397"/>
      <c r="E97" s="110" t="s">
        <v>195</v>
      </c>
      <c r="F97" s="127" t="s">
        <v>423</v>
      </c>
      <c r="G97" s="17" t="s">
        <v>33</v>
      </c>
      <c r="H97" s="276"/>
      <c r="I97" s="276"/>
      <c r="J97" s="276"/>
      <c r="K97" s="276"/>
      <c r="L97" s="276"/>
      <c r="M97" s="276"/>
      <c r="N97" s="276"/>
      <c r="O97" s="276"/>
      <c r="P97" s="276"/>
      <c r="Q97" s="276"/>
      <c r="R97" s="276"/>
      <c r="S97" s="418"/>
      <c r="T97" s="112"/>
      <c r="U97" s="112"/>
      <c r="V97" s="112"/>
      <c r="W97" s="112"/>
      <c r="X97" s="112"/>
      <c r="Y97" s="112"/>
      <c r="Z97" s="112"/>
      <c r="AA97" s="112"/>
      <c r="AB97" s="112"/>
      <c r="AC97" s="112"/>
      <c r="AD97" s="276"/>
      <c r="AE97" s="112"/>
      <c r="AF97" s="129"/>
      <c r="AG97" s="129"/>
      <c r="AH97" s="129"/>
      <c r="AI97" s="129"/>
      <c r="AJ97" s="129"/>
      <c r="AK97" s="129"/>
      <c r="AL97" s="129"/>
      <c r="AM97" s="129"/>
      <c r="AN97" s="129"/>
      <c r="AO97" s="129"/>
      <c r="AP97" s="276"/>
      <c r="AQ97" s="441" t="s">
        <v>401</v>
      </c>
      <c r="AR97" s="441" t="str">
        <f>+AQ97</f>
        <v>Compris</v>
      </c>
      <c r="AS97" s="442" t="str">
        <f>+AR97</f>
        <v>Compris</v>
      </c>
      <c r="AT97" s="255"/>
      <c r="AU97" s="130"/>
      <c r="AV97" s="285"/>
      <c r="AW97" s="286"/>
      <c r="AX97" s="130"/>
      <c r="AY97" s="130"/>
      <c r="AZ97" s="130"/>
      <c r="BA97" s="285"/>
      <c r="BB97" s="286"/>
      <c r="BC97" s="130"/>
      <c r="BD97" s="285"/>
      <c r="BE97" s="286"/>
      <c r="BF97" s="130"/>
      <c r="BG97" s="285"/>
      <c r="BH97" s="286"/>
      <c r="BI97" s="130"/>
      <c r="BJ97" s="287"/>
      <c r="BK97" s="286"/>
      <c r="BL97" s="130"/>
      <c r="BM97" s="287"/>
      <c r="BN97" s="286"/>
      <c r="BO97" s="130"/>
      <c r="BP97" s="287"/>
      <c r="BQ97" s="286"/>
      <c r="BR97" s="130"/>
      <c r="BS97" s="287"/>
      <c r="BT97" s="286"/>
      <c r="BU97" s="130"/>
      <c r="BV97" s="130"/>
      <c r="BW97" s="130"/>
      <c r="BX97" s="130"/>
      <c r="BY97" s="256"/>
    </row>
    <row r="98" spans="1:79" s="444" customFormat="1">
      <c r="B98" s="261"/>
      <c r="C98" s="237"/>
      <c r="D98" s="397"/>
      <c r="E98" s="110"/>
      <c r="F98" s="127"/>
      <c r="G98" s="17"/>
      <c r="H98" s="276"/>
      <c r="I98" s="276"/>
      <c r="J98" s="276"/>
      <c r="K98" s="276"/>
      <c r="L98" s="276"/>
      <c r="M98" s="276"/>
      <c r="N98" s="276"/>
      <c r="O98" s="276"/>
      <c r="P98" s="276"/>
      <c r="Q98" s="276"/>
      <c r="R98" s="276"/>
      <c r="S98" s="418"/>
      <c r="T98" s="112"/>
      <c r="U98" s="112"/>
      <c r="V98" s="112"/>
      <c r="W98" s="112"/>
      <c r="X98" s="112"/>
      <c r="Y98" s="112"/>
      <c r="Z98" s="112"/>
      <c r="AA98" s="112"/>
      <c r="AB98" s="112"/>
      <c r="AC98" s="112"/>
      <c r="AD98" s="276"/>
      <c r="AE98" s="112"/>
      <c r="AF98" s="129"/>
      <c r="AG98" s="129"/>
      <c r="AH98" s="129"/>
      <c r="AI98" s="129"/>
      <c r="AJ98" s="129"/>
      <c r="AK98" s="129"/>
      <c r="AL98" s="129"/>
      <c r="AM98" s="129"/>
      <c r="AN98" s="129"/>
      <c r="AO98" s="129"/>
      <c r="AP98" s="276"/>
      <c r="AQ98" s="441"/>
      <c r="AR98" s="441"/>
      <c r="AS98" s="442"/>
      <c r="AT98" s="255"/>
      <c r="AU98" s="130"/>
      <c r="AV98" s="285"/>
      <c r="AW98" s="286"/>
      <c r="AX98" s="130"/>
      <c r="AY98" s="130"/>
      <c r="AZ98" s="130"/>
      <c r="BA98" s="285"/>
      <c r="BB98" s="286"/>
      <c r="BC98" s="130"/>
      <c r="BD98" s="285"/>
      <c r="BE98" s="286"/>
      <c r="BF98" s="130"/>
      <c r="BG98" s="285"/>
      <c r="BH98" s="286"/>
      <c r="BI98" s="130"/>
      <c r="BJ98" s="287"/>
      <c r="BK98" s="286"/>
      <c r="BL98" s="130"/>
      <c r="BM98" s="287"/>
      <c r="BN98" s="286"/>
      <c r="BO98" s="130"/>
      <c r="BP98" s="287"/>
      <c r="BQ98" s="286"/>
      <c r="BR98" s="130"/>
      <c r="BS98" s="287"/>
      <c r="BT98" s="286"/>
      <c r="BU98" s="130"/>
      <c r="BV98" s="130"/>
      <c r="BW98" s="130"/>
      <c r="BX98" s="130"/>
      <c r="BY98" s="256"/>
    </row>
    <row r="99" spans="1:79" s="444" customFormat="1">
      <c r="B99" s="261"/>
      <c r="C99" s="237"/>
      <c r="D99" s="397"/>
      <c r="E99" s="110" t="s">
        <v>196</v>
      </c>
      <c r="F99" s="127" t="s">
        <v>416</v>
      </c>
      <c r="G99" s="17"/>
      <c r="H99" s="276"/>
      <c r="I99" s="276"/>
      <c r="J99" s="276"/>
      <c r="K99" s="276"/>
      <c r="L99" s="276"/>
      <c r="M99" s="276"/>
      <c r="N99" s="276"/>
      <c r="O99" s="276"/>
      <c r="P99" s="276"/>
      <c r="Q99" s="276"/>
      <c r="R99" s="276"/>
      <c r="S99" s="418"/>
      <c r="T99" s="112"/>
      <c r="U99" s="112"/>
      <c r="V99" s="112"/>
      <c r="W99" s="112"/>
      <c r="X99" s="112"/>
      <c r="Y99" s="112"/>
      <c r="Z99" s="112"/>
      <c r="AA99" s="112"/>
      <c r="AB99" s="112"/>
      <c r="AC99" s="112"/>
      <c r="AD99" s="276"/>
      <c r="AE99" s="112"/>
      <c r="AF99" s="129"/>
      <c r="AG99" s="129"/>
      <c r="AH99" s="129"/>
      <c r="AI99" s="129"/>
      <c r="AJ99" s="129"/>
      <c r="AK99" s="129"/>
      <c r="AL99" s="129"/>
      <c r="AM99" s="129"/>
      <c r="AN99" s="129"/>
      <c r="AO99" s="129"/>
      <c r="AP99" s="276"/>
      <c r="AQ99" s="441"/>
      <c r="AR99" s="441"/>
      <c r="AS99" s="442"/>
      <c r="AT99" s="255"/>
      <c r="AU99" s="130"/>
      <c r="AV99" s="285"/>
      <c r="AW99" s="286"/>
      <c r="AX99" s="130"/>
      <c r="AY99" s="130"/>
      <c r="AZ99" s="130"/>
      <c r="BA99" s="285"/>
      <c r="BB99" s="286"/>
      <c r="BC99" s="130"/>
      <c r="BD99" s="285"/>
      <c r="BE99" s="286"/>
      <c r="BF99" s="130"/>
      <c r="BG99" s="285"/>
      <c r="BH99" s="286"/>
      <c r="BI99" s="130"/>
      <c r="BJ99" s="287"/>
      <c r="BK99" s="286"/>
      <c r="BL99" s="130"/>
      <c r="BM99" s="287"/>
      <c r="BN99" s="286"/>
      <c r="BO99" s="130"/>
      <c r="BP99" s="287"/>
      <c r="BQ99" s="286"/>
      <c r="BR99" s="130"/>
      <c r="BS99" s="287"/>
      <c r="BT99" s="286"/>
      <c r="BU99" s="130"/>
      <c r="BV99" s="130"/>
      <c r="BW99" s="130"/>
      <c r="BX99" s="130"/>
      <c r="BY99" s="256"/>
    </row>
    <row r="100" spans="1:79" s="393" customFormat="1">
      <c r="B100" s="261"/>
      <c r="C100" s="237"/>
      <c r="D100" s="397"/>
      <c r="E100" s="110"/>
      <c r="F100" s="127" t="s">
        <v>417</v>
      </c>
      <c r="G100" s="17" t="s">
        <v>33</v>
      </c>
      <c r="H100" s="365">
        <f t="shared" ref="H100:H103" si="176">+T100</f>
        <v>0</v>
      </c>
      <c r="I100" s="365">
        <f t="shared" ref="I100:I103" si="177">+U100</f>
        <v>0</v>
      </c>
      <c r="J100" s="365">
        <f t="shared" ref="J100:J103" si="178">+V100</f>
        <v>0</v>
      </c>
      <c r="K100" s="365">
        <f t="shared" ref="K100:K103" si="179">+W100</f>
        <v>0</v>
      </c>
      <c r="L100" s="365">
        <f t="shared" ref="L100:L103" si="180">+X100</f>
        <v>0</v>
      </c>
      <c r="M100" s="365">
        <f t="shared" ref="M100:M103" si="181">+Y100</f>
        <v>0</v>
      </c>
      <c r="N100" s="365">
        <f t="shared" ref="N100:N103" si="182">+Z100</f>
        <v>7</v>
      </c>
      <c r="O100" s="365">
        <f t="shared" ref="O100:O103" si="183">+AA100</f>
        <v>0</v>
      </c>
      <c r="P100" s="365">
        <f t="shared" ref="P100:P103" si="184">+AB100</f>
        <v>0</v>
      </c>
      <c r="Q100" s="365">
        <f t="shared" ref="Q100:Q103" si="185">+AC100</f>
        <v>0</v>
      </c>
      <c r="R100" s="365"/>
      <c r="S100" s="418">
        <f t="shared" ref="S100:S103" si="186">SUM(T100:AC100)</f>
        <v>7</v>
      </c>
      <c r="T100" s="365">
        <f t="shared" ref="T100:T103" si="187">ROUND(AF100,ARRONDI_QT)</f>
        <v>0</v>
      </c>
      <c r="U100" s="365">
        <f t="shared" ref="U100:U103" si="188">ROUND(AG100,ARRONDI_QT)</f>
        <v>0</v>
      </c>
      <c r="V100" s="365">
        <f t="shared" ref="V100:V103" si="189">ROUND(AH100,ARRONDI_QT)</f>
        <v>0</v>
      </c>
      <c r="W100" s="365">
        <f t="shared" ref="W100:W103" si="190">ROUND(AI100,ARRONDI_QT)</f>
        <v>0</v>
      </c>
      <c r="X100" s="365">
        <f t="shared" ref="X100:X103" si="191">ROUND(AJ100,ARRONDI_QT)</f>
        <v>0</v>
      </c>
      <c r="Y100" s="365">
        <f t="shared" ref="Y100:Y103" si="192">ROUND(AK100,ARRONDI_QT)</f>
        <v>0</v>
      </c>
      <c r="Z100" s="365">
        <f t="shared" ref="Z100:Z103" si="193">ROUND(AL100,ARRONDI_QT)</f>
        <v>7</v>
      </c>
      <c r="AA100" s="365">
        <f t="shared" ref="AA100:AA103" si="194">ROUND(AM100,ARRONDI_QT)</f>
        <v>0</v>
      </c>
      <c r="AB100" s="365">
        <f t="shared" ref="AB100:AB103" si="195">ROUND(AN100,ARRONDI_QT)</f>
        <v>0</v>
      </c>
      <c r="AC100" s="365">
        <f t="shared" ref="AC100:AC103" si="196">ROUND(AO100,ARRONDI_QT)</f>
        <v>0</v>
      </c>
      <c r="AD100" s="365"/>
      <c r="AE100" s="112">
        <f t="shared" ref="AE100:AE103" si="197">ROUND(SUM(AF100:AO100),ARRONDI_QT)</f>
        <v>7</v>
      </c>
      <c r="AF100" s="366">
        <v>0</v>
      </c>
      <c r="AG100" s="366">
        <v>0</v>
      </c>
      <c r="AH100" s="366">
        <v>0</v>
      </c>
      <c r="AI100" s="366">
        <v>0</v>
      </c>
      <c r="AJ100" s="366">
        <v>0</v>
      </c>
      <c r="AK100" s="366">
        <v>0</v>
      </c>
      <c r="AL100" s="366">
        <v>7</v>
      </c>
      <c r="AM100" s="366">
        <v>0</v>
      </c>
      <c r="AN100" s="366">
        <v>0</v>
      </c>
      <c r="AO100" s="366">
        <v>0</v>
      </c>
      <c r="AP100" s="365"/>
      <c r="AQ100" s="439">
        <f t="shared" ref="AQ100:AQ103" si="198">SUM(H100:Q100)</f>
        <v>7</v>
      </c>
      <c r="AR100" s="439">
        <f t="shared" ref="AR100:AR103" si="199">ROUND(AU100+BV100,ARRONDI_PU)</f>
        <v>884.19299999999998</v>
      </c>
      <c r="AS100" s="440">
        <f t="shared" ref="AS100:AS103" si="200">+AR100*AQ100</f>
        <v>6189.3509999999997</v>
      </c>
      <c r="AT100" s="255"/>
      <c r="AU100" s="130">
        <f t="shared" ref="AU100:AU103" si="201">+AX100+BB100+BE100+BH100+BK100+BN100+BQ100+BT100</f>
        <v>796.57</v>
      </c>
      <c r="AV100" s="285">
        <f t="shared" ref="AV100:AV113" si="202">+COEF_MO_INSTALL</f>
        <v>1.3</v>
      </c>
      <c r="AW100" s="286">
        <v>0</v>
      </c>
      <c r="AX100" s="130">
        <f t="shared" ref="AX100:AX103" si="203">+AW100*TH_INSTALL</f>
        <v>0</v>
      </c>
      <c r="AY100" s="130">
        <f t="shared" ref="AY100:AY103" si="204">+AW100*AE100</f>
        <v>0</v>
      </c>
      <c r="AZ100" s="130">
        <f t="shared" ref="AZ100:AZ103" si="205">IF(AQ100&gt;0,(AX100*AE100),0)</f>
        <v>0</v>
      </c>
      <c r="BA100" s="285">
        <f t="shared" ref="BA100:BA113" si="206">+COEF_FOUR1_INSTALL</f>
        <v>1.3</v>
      </c>
      <c r="BB100" s="286">
        <v>0</v>
      </c>
      <c r="BC100" s="130">
        <f t="shared" ref="BC100:BC103" si="207">IF(AQ100&gt;0,(BB100*AE100),0)</f>
        <v>0</v>
      </c>
      <c r="BD100" s="285">
        <f t="shared" ref="BD100:BD113" si="208">+COEF_FOUR2_INSTALL</f>
        <v>1.3</v>
      </c>
      <c r="BE100" s="286">
        <v>0</v>
      </c>
      <c r="BF100" s="130">
        <f t="shared" ref="BF100:BF103" si="209">IF(AQ100&gt;0,(BE100*AE100),0)</f>
        <v>0</v>
      </c>
      <c r="BG100" s="285">
        <f t="shared" ref="BG100:BG113" si="210">+COEF_FOUR3_INSTALL</f>
        <v>1.3</v>
      </c>
      <c r="BH100" s="286">
        <v>0</v>
      </c>
      <c r="BI100" s="130">
        <f t="shared" ref="BI100:BI103" si="211">IF(AQ100&gt;0,(BH100*AE100),0)</f>
        <v>0</v>
      </c>
      <c r="BJ100" s="287">
        <f t="shared" ref="BJ100:BJ113" si="212">+COEF_MTLLOC_INSTALL</f>
        <v>1.1499999999999999</v>
      </c>
      <c r="BK100" s="286">
        <v>0</v>
      </c>
      <c r="BL100" s="130">
        <f t="shared" ref="BL100:BL103" si="213">IF(AQ100&gt;0,(BK100*AE100),0)</f>
        <v>0</v>
      </c>
      <c r="BM100" s="287">
        <f t="shared" ref="BM100:BM113" si="214">+COEF_MTLAMR_INSTALL</f>
        <v>1.3</v>
      </c>
      <c r="BN100" s="286">
        <v>0</v>
      </c>
      <c r="BO100" s="130">
        <f t="shared" ref="BO100:BO103" si="215">IF(AQ100&gt;0,(BN100*AE100),0)</f>
        <v>0</v>
      </c>
      <c r="BP100" s="287">
        <f t="shared" ref="BP100:BP113" si="216">+COEF_ST1_INSTALL</f>
        <v>1.1100000000000001</v>
      </c>
      <c r="BQ100" s="286">
        <v>796.57</v>
      </c>
      <c r="BR100" s="130">
        <f t="shared" ref="BR100:BR103" si="217">IF(AQ100&gt;0,(BQ100*AE100),0)</f>
        <v>5575.9900000000007</v>
      </c>
      <c r="BS100" s="287">
        <f t="shared" ref="BS100:BS113" si="218">+COEF_ST2_INSTALL</f>
        <v>1.1100000000000001</v>
      </c>
      <c r="BT100" s="286">
        <v>0</v>
      </c>
      <c r="BU100" s="130">
        <f t="shared" ref="BU100:BU103" si="219">IF(AQ100&gt;0,(BT100*AE100),0)</f>
        <v>0</v>
      </c>
      <c r="BV100" s="130">
        <f t="shared" ref="BV100:BV103" si="220">+(((AX100)*AV100)+(BB100*BA100)+(BE100*BD100)+(BH100*BG100)+(BK100*BJ100)+(BN100*BM100)+(BQ100*BP100)+(BT100*BS100)+(BT100*BS100))-(AU100)</f>
        <v>87.622700000000123</v>
      </c>
      <c r="BW100" s="130">
        <f t="shared" ref="BW100:BW103" si="221">+BV100*AE100</f>
        <v>613.35890000000086</v>
      </c>
      <c r="BX100" s="130">
        <f t="shared" ref="BX100:BX103" si="222">AS100-(BW100+BU100+BR100+BO100+BL100+BI100+BF100+BC100+AZ100)</f>
        <v>2.0999999978812411E-3</v>
      </c>
      <c r="BY100" s="329"/>
      <c r="BZ100" s="444"/>
      <c r="CA100" s="444"/>
    </row>
    <row r="101" spans="1:79" s="444" customFormat="1">
      <c r="B101" s="261"/>
      <c r="C101" s="237"/>
      <c r="D101" s="397"/>
      <c r="E101" s="110"/>
      <c r="F101" s="127" t="s">
        <v>419</v>
      </c>
      <c r="G101" s="17" t="s">
        <v>33</v>
      </c>
      <c r="H101" s="365">
        <f t="shared" si="176"/>
        <v>0</v>
      </c>
      <c r="I101" s="365">
        <f t="shared" si="177"/>
        <v>0</v>
      </c>
      <c r="J101" s="365">
        <f t="shared" si="178"/>
        <v>0</v>
      </c>
      <c r="K101" s="365">
        <f t="shared" si="179"/>
        <v>0</v>
      </c>
      <c r="L101" s="365">
        <f t="shared" si="180"/>
        <v>0</v>
      </c>
      <c r="M101" s="365">
        <f t="shared" si="181"/>
        <v>0</v>
      </c>
      <c r="N101" s="365">
        <f t="shared" si="182"/>
        <v>4</v>
      </c>
      <c r="O101" s="365">
        <f t="shared" si="183"/>
        <v>0</v>
      </c>
      <c r="P101" s="365">
        <f t="shared" si="184"/>
        <v>0</v>
      </c>
      <c r="Q101" s="365">
        <f t="shared" si="185"/>
        <v>0</v>
      </c>
      <c r="R101" s="365"/>
      <c r="S101" s="418">
        <f t="shared" si="186"/>
        <v>4</v>
      </c>
      <c r="T101" s="365">
        <f t="shared" si="187"/>
        <v>0</v>
      </c>
      <c r="U101" s="365">
        <f t="shared" si="188"/>
        <v>0</v>
      </c>
      <c r="V101" s="365">
        <f t="shared" si="189"/>
        <v>0</v>
      </c>
      <c r="W101" s="365">
        <f t="shared" si="190"/>
        <v>0</v>
      </c>
      <c r="X101" s="365">
        <f t="shared" si="191"/>
        <v>0</v>
      </c>
      <c r="Y101" s="365">
        <f t="shared" si="192"/>
        <v>0</v>
      </c>
      <c r="Z101" s="365">
        <f t="shared" si="193"/>
        <v>4</v>
      </c>
      <c r="AA101" s="365">
        <f t="shared" si="194"/>
        <v>0</v>
      </c>
      <c r="AB101" s="365">
        <f t="shared" si="195"/>
        <v>0</v>
      </c>
      <c r="AC101" s="365">
        <f t="shared" si="196"/>
        <v>0</v>
      </c>
      <c r="AD101" s="365"/>
      <c r="AE101" s="112">
        <f t="shared" si="197"/>
        <v>4</v>
      </c>
      <c r="AF101" s="366">
        <v>0</v>
      </c>
      <c r="AG101" s="366">
        <v>0</v>
      </c>
      <c r="AH101" s="366">
        <v>0</v>
      </c>
      <c r="AI101" s="366">
        <v>0</v>
      </c>
      <c r="AJ101" s="366">
        <v>0</v>
      </c>
      <c r="AK101" s="366">
        <v>0</v>
      </c>
      <c r="AL101" s="366">
        <v>4</v>
      </c>
      <c r="AM101" s="366">
        <v>0</v>
      </c>
      <c r="AN101" s="366">
        <v>0</v>
      </c>
      <c r="AO101" s="366">
        <v>0</v>
      </c>
      <c r="AP101" s="365"/>
      <c r="AQ101" s="439">
        <f t="shared" si="198"/>
        <v>4</v>
      </c>
      <c r="AR101" s="439">
        <f t="shared" si="199"/>
        <v>539.91499999999996</v>
      </c>
      <c r="AS101" s="440">
        <f t="shared" si="200"/>
        <v>2159.66</v>
      </c>
      <c r="AT101" s="255"/>
      <c r="AU101" s="130">
        <f t="shared" si="201"/>
        <v>486.41</v>
      </c>
      <c r="AV101" s="285">
        <f t="shared" si="202"/>
        <v>1.3</v>
      </c>
      <c r="AW101" s="286">
        <v>0</v>
      </c>
      <c r="AX101" s="130">
        <f t="shared" si="203"/>
        <v>0</v>
      </c>
      <c r="AY101" s="130">
        <f t="shared" si="204"/>
        <v>0</v>
      </c>
      <c r="AZ101" s="130">
        <f t="shared" si="205"/>
        <v>0</v>
      </c>
      <c r="BA101" s="285">
        <f t="shared" si="206"/>
        <v>1.3</v>
      </c>
      <c r="BB101" s="286">
        <v>0</v>
      </c>
      <c r="BC101" s="130">
        <f t="shared" si="207"/>
        <v>0</v>
      </c>
      <c r="BD101" s="285">
        <f t="shared" si="208"/>
        <v>1.3</v>
      </c>
      <c r="BE101" s="286">
        <v>0</v>
      </c>
      <c r="BF101" s="130">
        <f t="shared" si="209"/>
        <v>0</v>
      </c>
      <c r="BG101" s="285">
        <f t="shared" si="210"/>
        <v>1.3</v>
      </c>
      <c r="BH101" s="286">
        <v>0</v>
      </c>
      <c r="BI101" s="130">
        <f t="shared" si="211"/>
        <v>0</v>
      </c>
      <c r="BJ101" s="287">
        <f t="shared" si="212"/>
        <v>1.1499999999999999</v>
      </c>
      <c r="BK101" s="286">
        <v>0</v>
      </c>
      <c r="BL101" s="130">
        <f t="shared" si="213"/>
        <v>0</v>
      </c>
      <c r="BM101" s="287">
        <f t="shared" si="214"/>
        <v>1.3</v>
      </c>
      <c r="BN101" s="286">
        <v>0</v>
      </c>
      <c r="BO101" s="130">
        <f t="shared" si="215"/>
        <v>0</v>
      </c>
      <c r="BP101" s="287">
        <f t="shared" si="216"/>
        <v>1.1100000000000001</v>
      </c>
      <c r="BQ101" s="286">
        <v>486.41</v>
      </c>
      <c r="BR101" s="130">
        <f t="shared" si="217"/>
        <v>1945.64</v>
      </c>
      <c r="BS101" s="287">
        <f t="shared" si="218"/>
        <v>1.1100000000000001</v>
      </c>
      <c r="BT101" s="286">
        <v>0</v>
      </c>
      <c r="BU101" s="130">
        <f t="shared" si="219"/>
        <v>0</v>
      </c>
      <c r="BV101" s="130">
        <f t="shared" si="220"/>
        <v>53.505100000000027</v>
      </c>
      <c r="BW101" s="130">
        <f t="shared" si="221"/>
        <v>214.02040000000011</v>
      </c>
      <c r="BX101" s="130">
        <f t="shared" si="222"/>
        <v>-4.0000000035433914E-4</v>
      </c>
      <c r="BY101" s="329"/>
    </row>
    <row r="102" spans="1:79" s="444" customFormat="1">
      <c r="B102" s="261"/>
      <c r="C102" s="237"/>
      <c r="D102" s="397"/>
      <c r="E102" s="110"/>
      <c r="F102" s="127" t="s">
        <v>432</v>
      </c>
      <c r="G102" s="17" t="s">
        <v>33</v>
      </c>
      <c r="H102" s="365">
        <f t="shared" si="176"/>
        <v>0</v>
      </c>
      <c r="I102" s="365">
        <f t="shared" si="177"/>
        <v>0</v>
      </c>
      <c r="J102" s="365">
        <f t="shared" si="178"/>
        <v>0</v>
      </c>
      <c r="K102" s="365">
        <f t="shared" si="179"/>
        <v>0</v>
      </c>
      <c r="L102" s="365">
        <f t="shared" si="180"/>
        <v>0</v>
      </c>
      <c r="M102" s="365">
        <f t="shared" si="181"/>
        <v>0</v>
      </c>
      <c r="N102" s="365">
        <f t="shared" si="182"/>
        <v>1</v>
      </c>
      <c r="O102" s="365">
        <f t="shared" si="183"/>
        <v>0</v>
      </c>
      <c r="P102" s="365">
        <f t="shared" si="184"/>
        <v>0</v>
      </c>
      <c r="Q102" s="365">
        <f t="shared" si="185"/>
        <v>0</v>
      </c>
      <c r="R102" s="365"/>
      <c r="S102" s="418">
        <f t="shared" si="186"/>
        <v>1</v>
      </c>
      <c r="T102" s="365">
        <f t="shared" si="187"/>
        <v>0</v>
      </c>
      <c r="U102" s="365">
        <f t="shared" si="188"/>
        <v>0</v>
      </c>
      <c r="V102" s="365">
        <f t="shared" si="189"/>
        <v>0</v>
      </c>
      <c r="W102" s="365">
        <f t="shared" si="190"/>
        <v>0</v>
      </c>
      <c r="X102" s="365">
        <f t="shared" si="191"/>
        <v>0</v>
      </c>
      <c r="Y102" s="365">
        <f t="shared" si="192"/>
        <v>0</v>
      </c>
      <c r="Z102" s="365">
        <f t="shared" si="193"/>
        <v>1</v>
      </c>
      <c r="AA102" s="365">
        <f t="shared" si="194"/>
        <v>0</v>
      </c>
      <c r="AB102" s="365">
        <f t="shared" si="195"/>
        <v>0</v>
      </c>
      <c r="AC102" s="365">
        <f t="shared" si="196"/>
        <v>0</v>
      </c>
      <c r="AD102" s="365"/>
      <c r="AE102" s="112">
        <f t="shared" si="197"/>
        <v>1</v>
      </c>
      <c r="AF102" s="366">
        <v>0</v>
      </c>
      <c r="AG102" s="366">
        <v>0</v>
      </c>
      <c r="AH102" s="366">
        <v>0</v>
      </c>
      <c r="AI102" s="366">
        <v>0</v>
      </c>
      <c r="AJ102" s="366">
        <v>0</v>
      </c>
      <c r="AK102" s="366">
        <v>0</v>
      </c>
      <c r="AL102" s="366">
        <v>1</v>
      </c>
      <c r="AM102" s="366">
        <v>0</v>
      </c>
      <c r="AN102" s="366">
        <v>0</v>
      </c>
      <c r="AO102" s="366">
        <v>0</v>
      </c>
      <c r="AP102" s="365"/>
      <c r="AQ102" s="439">
        <f t="shared" si="198"/>
        <v>1</v>
      </c>
      <c r="AR102" s="439">
        <f t="shared" si="199"/>
        <v>644.35500000000002</v>
      </c>
      <c r="AS102" s="440">
        <f t="shared" si="200"/>
        <v>644.35500000000002</v>
      </c>
      <c r="AT102" s="255"/>
      <c r="AU102" s="130">
        <f t="shared" si="201"/>
        <v>580.5</v>
      </c>
      <c r="AV102" s="285">
        <f t="shared" si="202"/>
        <v>1.3</v>
      </c>
      <c r="AW102" s="286">
        <v>0</v>
      </c>
      <c r="AX102" s="130">
        <f t="shared" si="203"/>
        <v>0</v>
      </c>
      <c r="AY102" s="130">
        <f t="shared" si="204"/>
        <v>0</v>
      </c>
      <c r="AZ102" s="130">
        <f t="shared" si="205"/>
        <v>0</v>
      </c>
      <c r="BA102" s="285">
        <f t="shared" si="206"/>
        <v>1.3</v>
      </c>
      <c r="BB102" s="286">
        <v>0</v>
      </c>
      <c r="BC102" s="130">
        <f t="shared" si="207"/>
        <v>0</v>
      </c>
      <c r="BD102" s="285">
        <f t="shared" si="208"/>
        <v>1.3</v>
      </c>
      <c r="BE102" s="286">
        <v>0</v>
      </c>
      <c r="BF102" s="130">
        <f t="shared" si="209"/>
        <v>0</v>
      </c>
      <c r="BG102" s="285">
        <f t="shared" si="210"/>
        <v>1.3</v>
      </c>
      <c r="BH102" s="286">
        <v>0</v>
      </c>
      <c r="BI102" s="130">
        <f t="shared" si="211"/>
        <v>0</v>
      </c>
      <c r="BJ102" s="287">
        <f t="shared" si="212"/>
        <v>1.1499999999999999</v>
      </c>
      <c r="BK102" s="286">
        <v>0</v>
      </c>
      <c r="BL102" s="130">
        <f t="shared" si="213"/>
        <v>0</v>
      </c>
      <c r="BM102" s="287">
        <f t="shared" si="214"/>
        <v>1.3</v>
      </c>
      <c r="BN102" s="286">
        <v>0</v>
      </c>
      <c r="BO102" s="130">
        <f t="shared" si="215"/>
        <v>0</v>
      </c>
      <c r="BP102" s="287">
        <f t="shared" si="216"/>
        <v>1.1100000000000001</v>
      </c>
      <c r="BQ102" s="286">
        <v>580.5</v>
      </c>
      <c r="BR102" s="130">
        <f t="shared" si="217"/>
        <v>580.5</v>
      </c>
      <c r="BS102" s="287">
        <f t="shared" si="218"/>
        <v>1.1100000000000001</v>
      </c>
      <c r="BT102" s="286">
        <v>0</v>
      </c>
      <c r="BU102" s="130">
        <f t="shared" si="219"/>
        <v>0</v>
      </c>
      <c r="BV102" s="130">
        <f t="shared" si="220"/>
        <v>63.855000000000018</v>
      </c>
      <c r="BW102" s="130">
        <f t="shared" si="221"/>
        <v>63.855000000000018</v>
      </c>
      <c r="BX102" s="130">
        <f t="shared" si="222"/>
        <v>0</v>
      </c>
      <c r="BY102" s="329"/>
    </row>
    <row r="103" spans="1:79" s="444" customFormat="1">
      <c r="B103" s="261"/>
      <c r="C103" s="237"/>
      <c r="D103" s="397"/>
      <c r="E103" s="110"/>
      <c r="F103" s="127" t="s">
        <v>421</v>
      </c>
      <c r="G103" s="17" t="s">
        <v>33</v>
      </c>
      <c r="H103" s="365">
        <f t="shared" si="176"/>
        <v>0</v>
      </c>
      <c r="I103" s="365">
        <f t="shared" si="177"/>
        <v>0</v>
      </c>
      <c r="J103" s="365">
        <f t="shared" si="178"/>
        <v>0</v>
      </c>
      <c r="K103" s="365">
        <f t="shared" si="179"/>
        <v>0</v>
      </c>
      <c r="L103" s="365">
        <f t="shared" si="180"/>
        <v>0</v>
      </c>
      <c r="M103" s="365">
        <f t="shared" si="181"/>
        <v>0</v>
      </c>
      <c r="N103" s="365">
        <f t="shared" si="182"/>
        <v>1</v>
      </c>
      <c r="O103" s="365">
        <f t="shared" si="183"/>
        <v>0</v>
      </c>
      <c r="P103" s="365">
        <f t="shared" si="184"/>
        <v>0</v>
      </c>
      <c r="Q103" s="365">
        <f t="shared" si="185"/>
        <v>0</v>
      </c>
      <c r="R103" s="365"/>
      <c r="S103" s="418">
        <f t="shared" si="186"/>
        <v>1</v>
      </c>
      <c r="T103" s="365">
        <f t="shared" si="187"/>
        <v>0</v>
      </c>
      <c r="U103" s="365">
        <f t="shared" si="188"/>
        <v>0</v>
      </c>
      <c r="V103" s="365">
        <f t="shared" si="189"/>
        <v>0</v>
      </c>
      <c r="W103" s="365">
        <f t="shared" si="190"/>
        <v>0</v>
      </c>
      <c r="X103" s="365">
        <f t="shared" si="191"/>
        <v>0</v>
      </c>
      <c r="Y103" s="365">
        <f t="shared" si="192"/>
        <v>0</v>
      </c>
      <c r="Z103" s="365">
        <f t="shared" si="193"/>
        <v>1</v>
      </c>
      <c r="AA103" s="365">
        <f t="shared" si="194"/>
        <v>0</v>
      </c>
      <c r="AB103" s="365">
        <f t="shared" si="195"/>
        <v>0</v>
      </c>
      <c r="AC103" s="365">
        <f t="shared" si="196"/>
        <v>0</v>
      </c>
      <c r="AD103" s="365"/>
      <c r="AE103" s="112">
        <f t="shared" si="197"/>
        <v>1</v>
      </c>
      <c r="AF103" s="366">
        <v>0</v>
      </c>
      <c r="AG103" s="366">
        <v>0</v>
      </c>
      <c r="AH103" s="366">
        <v>0</v>
      </c>
      <c r="AI103" s="366">
        <v>0</v>
      </c>
      <c r="AJ103" s="366">
        <v>0</v>
      </c>
      <c r="AK103" s="366">
        <v>0</v>
      </c>
      <c r="AL103" s="366">
        <v>1</v>
      </c>
      <c r="AM103" s="366">
        <v>0</v>
      </c>
      <c r="AN103" s="366">
        <v>0</v>
      </c>
      <c r="AO103" s="366">
        <v>0</v>
      </c>
      <c r="AP103" s="365"/>
      <c r="AQ103" s="439">
        <f t="shared" si="198"/>
        <v>1</v>
      </c>
      <c r="AR103" s="439">
        <f t="shared" si="199"/>
        <v>427.35</v>
      </c>
      <c r="AS103" s="440">
        <f t="shared" si="200"/>
        <v>427.35</v>
      </c>
      <c r="AT103" s="255"/>
      <c r="AU103" s="130">
        <f t="shared" si="201"/>
        <v>385</v>
      </c>
      <c r="AV103" s="285">
        <f t="shared" si="202"/>
        <v>1.3</v>
      </c>
      <c r="AW103" s="286">
        <v>0</v>
      </c>
      <c r="AX103" s="130">
        <f t="shared" si="203"/>
        <v>0</v>
      </c>
      <c r="AY103" s="130">
        <f t="shared" si="204"/>
        <v>0</v>
      </c>
      <c r="AZ103" s="130">
        <f t="shared" si="205"/>
        <v>0</v>
      </c>
      <c r="BA103" s="285">
        <f t="shared" si="206"/>
        <v>1.3</v>
      </c>
      <c r="BB103" s="286">
        <v>0</v>
      </c>
      <c r="BC103" s="130">
        <f t="shared" si="207"/>
        <v>0</v>
      </c>
      <c r="BD103" s="285">
        <f t="shared" si="208"/>
        <v>1.3</v>
      </c>
      <c r="BE103" s="286">
        <v>0</v>
      </c>
      <c r="BF103" s="130">
        <f t="shared" si="209"/>
        <v>0</v>
      </c>
      <c r="BG103" s="285">
        <f t="shared" si="210"/>
        <v>1.3</v>
      </c>
      <c r="BH103" s="286">
        <v>0</v>
      </c>
      <c r="BI103" s="130">
        <f t="shared" si="211"/>
        <v>0</v>
      </c>
      <c r="BJ103" s="287">
        <f t="shared" si="212"/>
        <v>1.1499999999999999</v>
      </c>
      <c r="BK103" s="286">
        <v>0</v>
      </c>
      <c r="BL103" s="130">
        <f t="shared" si="213"/>
        <v>0</v>
      </c>
      <c r="BM103" s="287">
        <f t="shared" si="214"/>
        <v>1.3</v>
      </c>
      <c r="BN103" s="286">
        <v>0</v>
      </c>
      <c r="BO103" s="130">
        <f t="shared" si="215"/>
        <v>0</v>
      </c>
      <c r="BP103" s="287">
        <f t="shared" si="216"/>
        <v>1.1100000000000001</v>
      </c>
      <c r="BQ103" s="286">
        <v>385</v>
      </c>
      <c r="BR103" s="130">
        <f t="shared" si="217"/>
        <v>385</v>
      </c>
      <c r="BS103" s="287">
        <f t="shared" si="218"/>
        <v>1.1100000000000001</v>
      </c>
      <c r="BT103" s="286">
        <v>0</v>
      </c>
      <c r="BU103" s="130">
        <f t="shared" si="219"/>
        <v>0</v>
      </c>
      <c r="BV103" s="130">
        <f t="shared" si="220"/>
        <v>42.350000000000023</v>
      </c>
      <c r="BW103" s="130">
        <f t="shared" si="221"/>
        <v>42.350000000000023</v>
      </c>
      <c r="BX103" s="130">
        <f t="shared" si="222"/>
        <v>0</v>
      </c>
      <c r="BY103" s="329"/>
    </row>
    <row r="104" spans="1:79" s="444" customFormat="1">
      <c r="B104" s="261"/>
      <c r="C104" s="237"/>
      <c r="D104" s="397"/>
      <c r="E104" s="110"/>
      <c r="F104" s="127" t="s">
        <v>420</v>
      </c>
      <c r="G104" s="17" t="s">
        <v>33</v>
      </c>
      <c r="H104" s="365">
        <f t="shared" ref="H104" si="223">+T104</f>
        <v>0</v>
      </c>
      <c r="I104" s="365">
        <f t="shared" ref="I104" si="224">+U104</f>
        <v>0</v>
      </c>
      <c r="J104" s="365">
        <f t="shared" ref="J104" si="225">+V104</f>
        <v>0</v>
      </c>
      <c r="K104" s="365">
        <f t="shared" ref="K104" si="226">+W104</f>
        <v>0</v>
      </c>
      <c r="L104" s="365">
        <f t="shared" ref="L104" si="227">+X104</f>
        <v>0</v>
      </c>
      <c r="M104" s="365">
        <f t="shared" ref="M104" si="228">+Y104</f>
        <v>0</v>
      </c>
      <c r="N104" s="365">
        <f t="shared" ref="N104" si="229">+Z104</f>
        <v>5</v>
      </c>
      <c r="O104" s="365">
        <f t="shared" ref="O104" si="230">+AA104</f>
        <v>0</v>
      </c>
      <c r="P104" s="365">
        <f t="shared" ref="P104" si="231">+AB104</f>
        <v>0</v>
      </c>
      <c r="Q104" s="365">
        <f t="shared" ref="Q104" si="232">+AC104</f>
        <v>0</v>
      </c>
      <c r="R104" s="365"/>
      <c r="S104" s="418">
        <f t="shared" ref="S104" si="233">SUM(T104:AC104)</f>
        <v>5</v>
      </c>
      <c r="T104" s="365">
        <f t="shared" ref="T104" si="234">ROUND(AF104,ARRONDI_QT)</f>
        <v>0</v>
      </c>
      <c r="U104" s="365">
        <f t="shared" ref="U104" si="235">ROUND(AG104,ARRONDI_QT)</f>
        <v>0</v>
      </c>
      <c r="V104" s="365">
        <f t="shared" ref="V104" si="236">ROUND(AH104,ARRONDI_QT)</f>
        <v>0</v>
      </c>
      <c r="W104" s="365">
        <f t="shared" ref="W104" si="237">ROUND(AI104,ARRONDI_QT)</f>
        <v>0</v>
      </c>
      <c r="X104" s="365">
        <f t="shared" ref="X104" si="238">ROUND(AJ104,ARRONDI_QT)</f>
        <v>0</v>
      </c>
      <c r="Y104" s="365">
        <f t="shared" ref="Y104" si="239">ROUND(AK104,ARRONDI_QT)</f>
        <v>0</v>
      </c>
      <c r="Z104" s="365">
        <f t="shared" ref="Z104" si="240">ROUND(AL104,ARRONDI_QT)</f>
        <v>5</v>
      </c>
      <c r="AA104" s="365">
        <f t="shared" ref="AA104" si="241">ROUND(AM104,ARRONDI_QT)</f>
        <v>0</v>
      </c>
      <c r="AB104" s="365">
        <f t="shared" ref="AB104" si="242">ROUND(AN104,ARRONDI_QT)</f>
        <v>0</v>
      </c>
      <c r="AC104" s="365">
        <f t="shared" ref="AC104" si="243">ROUND(AO104,ARRONDI_QT)</f>
        <v>0</v>
      </c>
      <c r="AD104" s="365"/>
      <c r="AE104" s="112">
        <f t="shared" ref="AE104" si="244">ROUND(SUM(AF104:AO104),ARRONDI_QT)</f>
        <v>5</v>
      </c>
      <c r="AF104" s="366">
        <v>0</v>
      </c>
      <c r="AG104" s="366">
        <v>0</v>
      </c>
      <c r="AH104" s="366">
        <v>0</v>
      </c>
      <c r="AI104" s="366">
        <v>0</v>
      </c>
      <c r="AJ104" s="366">
        <v>0</v>
      </c>
      <c r="AK104" s="366">
        <v>0</v>
      </c>
      <c r="AL104" s="366">
        <v>5</v>
      </c>
      <c r="AM104" s="366">
        <v>0</v>
      </c>
      <c r="AN104" s="366">
        <v>0</v>
      </c>
      <c r="AO104" s="366">
        <v>0</v>
      </c>
      <c r="AP104" s="365"/>
      <c r="AQ104" s="439">
        <f t="shared" ref="AQ104" si="245">SUM(H104:Q104)</f>
        <v>5</v>
      </c>
      <c r="AR104" s="439">
        <f t="shared" ref="AR104" si="246">ROUND(AU104+BV104,ARRONDI_PU)</f>
        <v>427.35</v>
      </c>
      <c r="AS104" s="440">
        <f t="shared" ref="AS104" si="247">+AR104*AQ104</f>
        <v>2136.75</v>
      </c>
      <c r="AT104" s="255"/>
      <c r="AU104" s="130">
        <f t="shared" ref="AU104" si="248">+AX104+BB104+BE104+BH104+BK104+BN104+BQ104+BT104</f>
        <v>385</v>
      </c>
      <c r="AV104" s="285">
        <f t="shared" si="202"/>
        <v>1.3</v>
      </c>
      <c r="AW104" s="286">
        <v>0</v>
      </c>
      <c r="AX104" s="130">
        <f t="shared" ref="AX104" si="249">+AW104*TH_INSTALL</f>
        <v>0</v>
      </c>
      <c r="AY104" s="130">
        <f t="shared" ref="AY104" si="250">+AW104*AE104</f>
        <v>0</v>
      </c>
      <c r="AZ104" s="130">
        <f t="shared" ref="AZ104" si="251">IF(AQ104&gt;0,(AX104*AE104),0)</f>
        <v>0</v>
      </c>
      <c r="BA104" s="285">
        <f t="shared" si="206"/>
        <v>1.3</v>
      </c>
      <c r="BB104" s="286">
        <v>0</v>
      </c>
      <c r="BC104" s="130">
        <f t="shared" ref="BC104" si="252">IF(AQ104&gt;0,(BB104*AE104),0)</f>
        <v>0</v>
      </c>
      <c r="BD104" s="285">
        <f t="shared" si="208"/>
        <v>1.3</v>
      </c>
      <c r="BE104" s="286">
        <v>0</v>
      </c>
      <c r="BF104" s="130">
        <f t="shared" ref="BF104" si="253">IF(AQ104&gt;0,(BE104*AE104),0)</f>
        <v>0</v>
      </c>
      <c r="BG104" s="285">
        <f t="shared" si="210"/>
        <v>1.3</v>
      </c>
      <c r="BH104" s="286">
        <v>0</v>
      </c>
      <c r="BI104" s="130">
        <f t="shared" ref="BI104" si="254">IF(AQ104&gt;0,(BH104*AE104),0)</f>
        <v>0</v>
      </c>
      <c r="BJ104" s="287">
        <f t="shared" si="212"/>
        <v>1.1499999999999999</v>
      </c>
      <c r="BK104" s="286">
        <v>0</v>
      </c>
      <c r="BL104" s="130">
        <f t="shared" ref="BL104" si="255">IF(AQ104&gt;0,(BK104*AE104),0)</f>
        <v>0</v>
      </c>
      <c r="BM104" s="287">
        <f t="shared" si="214"/>
        <v>1.3</v>
      </c>
      <c r="BN104" s="286">
        <v>0</v>
      </c>
      <c r="BO104" s="130">
        <f t="shared" ref="BO104" si="256">IF(AQ104&gt;0,(BN104*AE104),0)</f>
        <v>0</v>
      </c>
      <c r="BP104" s="287">
        <f t="shared" si="216"/>
        <v>1.1100000000000001</v>
      </c>
      <c r="BQ104" s="286">
        <v>385</v>
      </c>
      <c r="BR104" s="130">
        <f t="shared" ref="BR104" si="257">IF(AQ104&gt;0,(BQ104*AE104),0)</f>
        <v>1925</v>
      </c>
      <c r="BS104" s="287">
        <f t="shared" si="218"/>
        <v>1.1100000000000001</v>
      </c>
      <c r="BT104" s="286">
        <v>0</v>
      </c>
      <c r="BU104" s="130">
        <f t="shared" ref="BU104" si="258">IF(AQ104&gt;0,(BT104*AE104),0)</f>
        <v>0</v>
      </c>
      <c r="BV104" s="130">
        <f t="shared" ref="BV104" si="259">+(((AX104)*AV104)+(BB104*BA104)+(BE104*BD104)+(BH104*BG104)+(BK104*BJ104)+(BN104*BM104)+(BQ104*BP104)+(BT104*BS104)+(BT104*BS104))-(AU104)</f>
        <v>42.350000000000023</v>
      </c>
      <c r="BW104" s="130">
        <f t="shared" ref="BW104" si="260">+BV104*AE104</f>
        <v>211.75000000000011</v>
      </c>
      <c r="BX104" s="130">
        <f t="shared" ref="BX104" si="261">AS104-(BW104+BU104+BR104+BO104+BL104+BI104+BF104+BC104+AZ104)</f>
        <v>0</v>
      </c>
      <c r="BY104" s="329"/>
    </row>
    <row r="105" spans="1:79" s="444" customFormat="1">
      <c r="B105" s="261"/>
      <c r="C105" s="237"/>
      <c r="D105" s="397"/>
      <c r="E105" s="110"/>
      <c r="F105" s="127" t="s">
        <v>418</v>
      </c>
      <c r="G105" s="17" t="s">
        <v>33</v>
      </c>
      <c r="H105" s="365">
        <f t="shared" ref="H105" si="262">+T105</f>
        <v>0</v>
      </c>
      <c r="I105" s="365">
        <f t="shared" ref="I105" si="263">+U105</f>
        <v>0</v>
      </c>
      <c r="J105" s="365">
        <f t="shared" ref="J105" si="264">+V105</f>
        <v>0</v>
      </c>
      <c r="K105" s="365">
        <f t="shared" ref="K105" si="265">+W105</f>
        <v>0</v>
      </c>
      <c r="L105" s="365">
        <f t="shared" ref="L105" si="266">+X105</f>
        <v>0</v>
      </c>
      <c r="M105" s="365">
        <f t="shared" ref="M105" si="267">+Y105</f>
        <v>0</v>
      </c>
      <c r="N105" s="365">
        <f t="shared" ref="N105" si="268">+Z105</f>
        <v>12</v>
      </c>
      <c r="O105" s="365">
        <f t="shared" ref="O105" si="269">+AA105</f>
        <v>0</v>
      </c>
      <c r="P105" s="365">
        <f t="shared" ref="P105" si="270">+AB105</f>
        <v>0</v>
      </c>
      <c r="Q105" s="365">
        <f t="shared" ref="Q105" si="271">+AC105</f>
        <v>0</v>
      </c>
      <c r="R105" s="365"/>
      <c r="S105" s="418">
        <f t="shared" ref="S105" si="272">SUM(T105:AC105)</f>
        <v>12</v>
      </c>
      <c r="T105" s="365">
        <f t="shared" ref="T105" si="273">ROUND(AF105,ARRONDI_QT)</f>
        <v>0</v>
      </c>
      <c r="U105" s="365">
        <f t="shared" ref="U105" si="274">ROUND(AG105,ARRONDI_QT)</f>
        <v>0</v>
      </c>
      <c r="V105" s="365">
        <f t="shared" ref="V105" si="275">ROUND(AH105,ARRONDI_QT)</f>
        <v>0</v>
      </c>
      <c r="W105" s="365">
        <f t="shared" ref="W105" si="276">ROUND(AI105,ARRONDI_QT)</f>
        <v>0</v>
      </c>
      <c r="X105" s="365">
        <f t="shared" ref="X105" si="277">ROUND(AJ105,ARRONDI_QT)</f>
        <v>0</v>
      </c>
      <c r="Y105" s="365">
        <f t="shared" ref="Y105" si="278">ROUND(AK105,ARRONDI_QT)</f>
        <v>0</v>
      </c>
      <c r="Z105" s="365">
        <f t="shared" ref="Z105" si="279">ROUND(AL105,ARRONDI_QT)</f>
        <v>12</v>
      </c>
      <c r="AA105" s="365">
        <f t="shared" ref="AA105" si="280">ROUND(AM105,ARRONDI_QT)</f>
        <v>0</v>
      </c>
      <c r="AB105" s="365">
        <f t="shared" ref="AB105" si="281">ROUND(AN105,ARRONDI_QT)</f>
        <v>0</v>
      </c>
      <c r="AC105" s="365">
        <f t="shared" ref="AC105" si="282">ROUND(AO105,ARRONDI_QT)</f>
        <v>0</v>
      </c>
      <c r="AD105" s="365"/>
      <c r="AE105" s="112">
        <f t="shared" ref="AE105" si="283">ROUND(SUM(AF105:AO105),ARRONDI_QT)</f>
        <v>12</v>
      </c>
      <c r="AF105" s="366">
        <v>0</v>
      </c>
      <c r="AG105" s="366">
        <v>0</v>
      </c>
      <c r="AH105" s="366">
        <v>0</v>
      </c>
      <c r="AI105" s="366">
        <v>0</v>
      </c>
      <c r="AJ105" s="366">
        <v>0</v>
      </c>
      <c r="AK105" s="366">
        <v>0</v>
      </c>
      <c r="AL105" s="366">
        <v>12</v>
      </c>
      <c r="AM105" s="366">
        <v>0</v>
      </c>
      <c r="AN105" s="366">
        <v>0</v>
      </c>
      <c r="AO105" s="366">
        <v>0</v>
      </c>
      <c r="AP105" s="365"/>
      <c r="AQ105" s="439">
        <f t="shared" ref="AQ105" si="284">SUM(H105:Q105)</f>
        <v>12</v>
      </c>
      <c r="AR105" s="439">
        <f t="shared" ref="AR105" si="285">ROUND(AU105+BV105,ARRONDI_PU)</f>
        <v>294.14999999999998</v>
      </c>
      <c r="AS105" s="440">
        <f t="shared" ref="AS105" si="286">+AR105*AQ105</f>
        <v>3529.7999999999997</v>
      </c>
      <c r="AT105" s="255"/>
      <c r="AU105" s="130">
        <f t="shared" ref="AU105" si="287">+AX105+BB105+BE105+BH105+BK105+BN105+BQ105+BT105</f>
        <v>265</v>
      </c>
      <c r="AV105" s="285">
        <f t="shared" si="202"/>
        <v>1.3</v>
      </c>
      <c r="AW105" s="286">
        <v>0</v>
      </c>
      <c r="AX105" s="130">
        <f t="shared" ref="AX105" si="288">+AW105*TH_INSTALL</f>
        <v>0</v>
      </c>
      <c r="AY105" s="130">
        <f t="shared" ref="AY105" si="289">+AW105*AE105</f>
        <v>0</v>
      </c>
      <c r="AZ105" s="130">
        <f t="shared" ref="AZ105" si="290">IF(AQ105&gt;0,(AX105*AE105),0)</f>
        <v>0</v>
      </c>
      <c r="BA105" s="285">
        <f t="shared" si="206"/>
        <v>1.3</v>
      </c>
      <c r="BB105" s="286">
        <v>0</v>
      </c>
      <c r="BC105" s="130">
        <f t="shared" ref="BC105" si="291">IF(AQ105&gt;0,(BB105*AE105),0)</f>
        <v>0</v>
      </c>
      <c r="BD105" s="285">
        <f t="shared" si="208"/>
        <v>1.3</v>
      </c>
      <c r="BE105" s="286">
        <v>0</v>
      </c>
      <c r="BF105" s="130">
        <f t="shared" ref="BF105" si="292">IF(AQ105&gt;0,(BE105*AE105),0)</f>
        <v>0</v>
      </c>
      <c r="BG105" s="285">
        <f t="shared" si="210"/>
        <v>1.3</v>
      </c>
      <c r="BH105" s="286">
        <v>0</v>
      </c>
      <c r="BI105" s="130">
        <f t="shared" ref="BI105" si="293">IF(AQ105&gt;0,(BH105*AE105),0)</f>
        <v>0</v>
      </c>
      <c r="BJ105" s="287">
        <f t="shared" si="212"/>
        <v>1.1499999999999999</v>
      </c>
      <c r="BK105" s="286">
        <v>0</v>
      </c>
      <c r="BL105" s="130">
        <f t="shared" ref="BL105" si="294">IF(AQ105&gt;0,(BK105*AE105),0)</f>
        <v>0</v>
      </c>
      <c r="BM105" s="287">
        <f t="shared" si="214"/>
        <v>1.3</v>
      </c>
      <c r="BN105" s="286">
        <v>0</v>
      </c>
      <c r="BO105" s="130">
        <f t="shared" ref="BO105" si="295">IF(AQ105&gt;0,(BN105*AE105),0)</f>
        <v>0</v>
      </c>
      <c r="BP105" s="287">
        <f t="shared" si="216"/>
        <v>1.1100000000000001</v>
      </c>
      <c r="BQ105" s="286">
        <v>265</v>
      </c>
      <c r="BR105" s="130">
        <f t="shared" ref="BR105" si="296">IF(AQ105&gt;0,(BQ105*AE105),0)</f>
        <v>3180</v>
      </c>
      <c r="BS105" s="287">
        <f t="shared" si="218"/>
        <v>1.1100000000000001</v>
      </c>
      <c r="BT105" s="286">
        <v>0</v>
      </c>
      <c r="BU105" s="130">
        <f t="shared" ref="BU105" si="297">IF(AQ105&gt;0,(BT105*AE105),0)</f>
        <v>0</v>
      </c>
      <c r="BV105" s="130">
        <f t="shared" ref="BV105" si="298">+(((AX105)*AV105)+(BB105*BA105)+(BE105*BD105)+(BH105*BG105)+(BK105*BJ105)+(BN105*BM105)+(BQ105*BP105)+(BT105*BS105)+(BT105*BS105))-(AU105)</f>
        <v>29.150000000000034</v>
      </c>
      <c r="BW105" s="130">
        <f t="shared" ref="BW105" si="299">+BV105*AE105</f>
        <v>349.80000000000041</v>
      </c>
      <c r="BX105" s="130">
        <f t="shared" ref="BX105" si="300">AS105-(BW105+BU105+BR105+BO105+BL105+BI105+BF105+BC105+AZ105)</f>
        <v>0</v>
      </c>
      <c r="BY105" s="329"/>
    </row>
    <row r="106" spans="1:79" s="443" customFormat="1" ht="9.6" customHeight="1">
      <c r="B106" s="261"/>
      <c r="C106" s="237"/>
      <c r="D106" s="397"/>
      <c r="E106" s="110"/>
      <c r="F106" s="127"/>
      <c r="G106" s="17"/>
      <c r="H106" s="365"/>
      <c r="I106" s="365"/>
      <c r="J106" s="365"/>
      <c r="K106" s="365"/>
      <c r="L106" s="365"/>
      <c r="M106" s="365"/>
      <c r="N106" s="365"/>
      <c r="O106" s="365"/>
      <c r="P106" s="365"/>
      <c r="Q106" s="365"/>
      <c r="R106" s="365"/>
      <c r="S106" s="418"/>
      <c r="T106" s="365"/>
      <c r="U106" s="365"/>
      <c r="V106" s="365"/>
      <c r="W106" s="365"/>
      <c r="X106" s="365"/>
      <c r="Y106" s="365"/>
      <c r="Z106" s="365"/>
      <c r="AA106" s="365"/>
      <c r="AB106" s="365"/>
      <c r="AC106" s="365"/>
      <c r="AD106" s="365"/>
      <c r="AE106" s="112"/>
      <c r="AF106" s="366"/>
      <c r="AG106" s="366"/>
      <c r="AH106" s="366"/>
      <c r="AI106" s="366"/>
      <c r="AJ106" s="366"/>
      <c r="AK106" s="366"/>
      <c r="AL106" s="366"/>
      <c r="AM106" s="366"/>
      <c r="AN106" s="366"/>
      <c r="AO106" s="366"/>
      <c r="AP106" s="365"/>
      <c r="AQ106" s="439"/>
      <c r="AR106" s="439"/>
      <c r="AS106" s="440"/>
      <c r="AT106" s="255"/>
      <c r="AU106" s="130"/>
      <c r="AV106" s="285"/>
      <c r="AW106" s="286"/>
      <c r="AX106" s="130"/>
      <c r="AY106" s="130"/>
      <c r="AZ106" s="130"/>
      <c r="BA106" s="285"/>
      <c r="BB106" s="286"/>
      <c r="BC106" s="130"/>
      <c r="BD106" s="285"/>
      <c r="BE106" s="286"/>
      <c r="BF106" s="130"/>
      <c r="BG106" s="285"/>
      <c r="BH106" s="286"/>
      <c r="BI106" s="130"/>
      <c r="BJ106" s="287"/>
      <c r="BK106" s="286"/>
      <c r="BL106" s="130"/>
      <c r="BM106" s="287"/>
      <c r="BN106" s="286"/>
      <c r="BO106" s="130"/>
      <c r="BP106" s="287"/>
      <c r="BQ106" s="286"/>
      <c r="BR106" s="130"/>
      <c r="BS106" s="287"/>
      <c r="BT106" s="286"/>
      <c r="BU106" s="130"/>
      <c r="BV106" s="130"/>
      <c r="BW106" s="130"/>
      <c r="BX106" s="130"/>
      <c r="BY106" s="329"/>
    </row>
    <row r="107" spans="1:79" s="444" customFormat="1">
      <c r="B107" s="261"/>
      <c r="C107" s="237"/>
      <c r="D107" s="397"/>
      <c r="E107" s="110" t="s">
        <v>197</v>
      </c>
      <c r="F107" s="127" t="s">
        <v>424</v>
      </c>
      <c r="G107" s="17"/>
      <c r="H107" s="365"/>
      <c r="I107" s="365"/>
      <c r="J107" s="365"/>
      <c r="K107" s="365"/>
      <c r="L107" s="365"/>
      <c r="M107" s="365"/>
      <c r="N107" s="365"/>
      <c r="O107" s="365"/>
      <c r="P107" s="365"/>
      <c r="Q107" s="365"/>
      <c r="R107" s="365"/>
      <c r="S107" s="418"/>
      <c r="T107" s="365"/>
      <c r="U107" s="365"/>
      <c r="V107" s="365"/>
      <c r="W107" s="365"/>
      <c r="X107" s="365"/>
      <c r="Y107" s="365"/>
      <c r="Z107" s="365"/>
      <c r="AA107" s="365"/>
      <c r="AB107" s="365"/>
      <c r="AC107" s="365"/>
      <c r="AD107" s="365"/>
      <c r="AE107" s="112"/>
      <c r="AF107" s="366"/>
      <c r="AG107" s="366"/>
      <c r="AH107" s="366"/>
      <c r="AI107" s="366"/>
      <c r="AJ107" s="366"/>
      <c r="AK107" s="366"/>
      <c r="AL107" s="366"/>
      <c r="AM107" s="366"/>
      <c r="AN107" s="366"/>
      <c r="AO107" s="366"/>
      <c r="AP107" s="365"/>
      <c r="AQ107" s="439"/>
      <c r="AR107" s="439"/>
      <c r="AS107" s="440"/>
      <c r="AT107" s="255"/>
      <c r="AU107" s="130"/>
      <c r="AV107" s="285"/>
      <c r="AW107" s="286"/>
      <c r="AX107" s="130"/>
      <c r="AY107" s="130"/>
      <c r="AZ107" s="130"/>
      <c r="BA107" s="285"/>
      <c r="BB107" s="286"/>
      <c r="BC107" s="130"/>
      <c r="BD107" s="285"/>
      <c r="BE107" s="286"/>
      <c r="BF107" s="130"/>
      <c r="BG107" s="285"/>
      <c r="BH107" s="286"/>
      <c r="BI107" s="130"/>
      <c r="BJ107" s="287"/>
      <c r="BK107" s="286"/>
      <c r="BL107" s="130"/>
      <c r="BM107" s="287"/>
      <c r="BN107" s="286"/>
      <c r="BO107" s="130"/>
      <c r="BP107" s="287"/>
      <c r="BQ107" s="286"/>
      <c r="BR107" s="130"/>
      <c r="BS107" s="287"/>
      <c r="BT107" s="286"/>
      <c r="BU107" s="130"/>
      <c r="BV107" s="130"/>
      <c r="BW107" s="130"/>
      <c r="BX107" s="130"/>
      <c r="BY107" s="329"/>
    </row>
    <row r="108" spans="1:79" s="327" customFormat="1">
      <c r="A108" s="392"/>
      <c r="B108" s="261"/>
      <c r="C108" s="237"/>
      <c r="D108" s="397"/>
      <c r="E108" s="110"/>
      <c r="F108" s="127" t="s">
        <v>426</v>
      </c>
      <c r="G108" s="17" t="s">
        <v>107</v>
      </c>
      <c r="H108" s="365">
        <f t="shared" ref="H108:O113" si="301">+T108</f>
        <v>0</v>
      </c>
      <c r="I108" s="365">
        <f t="shared" si="301"/>
        <v>0</v>
      </c>
      <c r="J108" s="365">
        <f t="shared" si="301"/>
        <v>0</v>
      </c>
      <c r="K108" s="365">
        <f t="shared" si="301"/>
        <v>0</v>
      </c>
      <c r="L108" s="365">
        <f t="shared" si="301"/>
        <v>0</v>
      </c>
      <c r="M108" s="365">
        <f t="shared" si="301"/>
        <v>0</v>
      </c>
      <c r="N108" s="365">
        <f t="shared" si="301"/>
        <v>222</v>
      </c>
      <c r="O108" s="365">
        <f t="shared" si="301"/>
        <v>0</v>
      </c>
      <c r="P108" s="365">
        <f t="shared" ref="P108:Q113" si="302">+AB108</f>
        <v>0</v>
      </c>
      <c r="Q108" s="365">
        <f t="shared" si="302"/>
        <v>0</v>
      </c>
      <c r="R108" s="365"/>
      <c r="S108" s="418">
        <f t="shared" ref="S108:S113" si="303">SUM(T108:AC108)</f>
        <v>222</v>
      </c>
      <c r="T108" s="365">
        <f t="shared" ref="T108:AC113" si="304">ROUND(AF108,ARRONDI_QT)</f>
        <v>0</v>
      </c>
      <c r="U108" s="365">
        <f t="shared" si="304"/>
        <v>0</v>
      </c>
      <c r="V108" s="365">
        <f t="shared" si="304"/>
        <v>0</v>
      </c>
      <c r="W108" s="365">
        <f t="shared" si="304"/>
        <v>0</v>
      </c>
      <c r="X108" s="365">
        <f t="shared" si="304"/>
        <v>0</v>
      </c>
      <c r="Y108" s="365">
        <f t="shared" si="304"/>
        <v>0</v>
      </c>
      <c r="Z108" s="365">
        <f t="shared" si="304"/>
        <v>222</v>
      </c>
      <c r="AA108" s="365">
        <f t="shared" si="304"/>
        <v>0</v>
      </c>
      <c r="AB108" s="365">
        <f t="shared" si="304"/>
        <v>0</v>
      </c>
      <c r="AC108" s="365">
        <f t="shared" si="304"/>
        <v>0</v>
      </c>
      <c r="AD108" s="365"/>
      <c r="AE108" s="112">
        <f t="shared" ref="AE108:AE113" si="305">ROUND(SUM(AF108:AO108),ARRONDI_QT)</f>
        <v>222</v>
      </c>
      <c r="AF108" s="366">
        <v>0</v>
      </c>
      <c r="AG108" s="366">
        <v>0</v>
      </c>
      <c r="AH108" s="366">
        <v>0</v>
      </c>
      <c r="AI108" s="366">
        <v>0</v>
      </c>
      <c r="AJ108" s="366">
        <v>0</v>
      </c>
      <c r="AK108" s="366">
        <v>0</v>
      </c>
      <c r="AL108" s="366">
        <f>185*1.2</f>
        <v>222</v>
      </c>
      <c r="AM108" s="366">
        <v>0</v>
      </c>
      <c r="AN108" s="366">
        <v>0</v>
      </c>
      <c r="AO108" s="366">
        <v>0</v>
      </c>
      <c r="AP108" s="365"/>
      <c r="AQ108" s="439">
        <f t="shared" ref="AQ108:AQ113" si="306">SUM(H108:Q108)</f>
        <v>222</v>
      </c>
      <c r="AR108" s="439">
        <f t="shared" ref="AR108:AR113" si="307">ROUND(AU108+BV108,ARRONDI_PU)</f>
        <v>106.893</v>
      </c>
      <c r="AS108" s="440">
        <f t="shared" ref="AS108:AS113" si="308">+AR108*AQ108</f>
        <v>23730.245999999999</v>
      </c>
      <c r="AT108" s="255"/>
      <c r="AU108" s="130">
        <f t="shared" ref="AU108:AU113" si="309">+AX108+BB108+BE108+BH108+BK108+BN108+BQ108+BT108</f>
        <v>96.3</v>
      </c>
      <c r="AV108" s="285">
        <f t="shared" si="202"/>
        <v>1.3</v>
      </c>
      <c r="AW108" s="286">
        <v>0</v>
      </c>
      <c r="AX108" s="130">
        <f t="shared" ref="AX108:AX113" si="310">+AW108*TH_INSTALL</f>
        <v>0</v>
      </c>
      <c r="AY108" s="130">
        <f t="shared" ref="AY108:AY113" si="311">+AW108*AE108</f>
        <v>0</v>
      </c>
      <c r="AZ108" s="130">
        <f t="shared" ref="AZ108:AZ113" si="312">IF(AQ108&gt;0,(AX108*AE108),0)</f>
        <v>0</v>
      </c>
      <c r="BA108" s="285">
        <f t="shared" si="206"/>
        <v>1.3</v>
      </c>
      <c r="BB108" s="286">
        <v>0</v>
      </c>
      <c r="BC108" s="130">
        <f t="shared" ref="BC108:BC113" si="313">IF(AQ108&gt;0,(BB108*AE108),0)</f>
        <v>0</v>
      </c>
      <c r="BD108" s="285">
        <f t="shared" si="208"/>
        <v>1.3</v>
      </c>
      <c r="BE108" s="286">
        <v>0</v>
      </c>
      <c r="BF108" s="130">
        <f t="shared" ref="BF108:BF113" si="314">IF(AQ108&gt;0,(BE108*AE108),0)</f>
        <v>0</v>
      </c>
      <c r="BG108" s="285">
        <f t="shared" si="210"/>
        <v>1.3</v>
      </c>
      <c r="BH108" s="286">
        <v>0</v>
      </c>
      <c r="BI108" s="130">
        <f t="shared" ref="BI108:BI113" si="315">IF(AQ108&gt;0,(BH108*AE108),0)</f>
        <v>0</v>
      </c>
      <c r="BJ108" s="287">
        <f t="shared" si="212"/>
        <v>1.1499999999999999</v>
      </c>
      <c r="BK108" s="286">
        <v>0</v>
      </c>
      <c r="BL108" s="130">
        <f t="shared" ref="BL108:BL113" si="316">IF(AQ108&gt;0,(BK108*AE108),0)</f>
        <v>0</v>
      </c>
      <c r="BM108" s="287">
        <f t="shared" si="214"/>
        <v>1.3</v>
      </c>
      <c r="BN108" s="286">
        <v>0</v>
      </c>
      <c r="BO108" s="130">
        <f t="shared" ref="BO108:BO113" si="317">IF(AQ108&gt;0,(BN108*AE108),0)</f>
        <v>0</v>
      </c>
      <c r="BP108" s="287">
        <f t="shared" si="216"/>
        <v>1.1100000000000001</v>
      </c>
      <c r="BQ108" s="286">
        <v>96.3</v>
      </c>
      <c r="BR108" s="130">
        <f t="shared" ref="BR108:BR113" si="318">IF(AQ108&gt;0,(BQ108*AE108),0)</f>
        <v>21378.6</v>
      </c>
      <c r="BS108" s="287">
        <f t="shared" si="218"/>
        <v>1.1100000000000001</v>
      </c>
      <c r="BT108" s="286">
        <v>0</v>
      </c>
      <c r="BU108" s="130">
        <f t="shared" ref="BU108:BU113" si="319">IF(AQ108&gt;0,(BT108*AE108),0)</f>
        <v>0</v>
      </c>
      <c r="BV108" s="130">
        <f t="shared" ref="BV108:BV113" si="320">+(((AX108)*AV108)+(BB108*BA108)+(BE108*BD108)+(BH108*BG108)+(BK108*BJ108)+(BN108*BM108)+(BQ108*BP108)+(BT108*BS108)+(BT108*BS108))-(AU108)</f>
        <v>10.593000000000004</v>
      </c>
      <c r="BW108" s="130">
        <f t="shared" ref="BW108:BW113" si="321">+BV108*AE108</f>
        <v>2351.6460000000006</v>
      </c>
      <c r="BX108" s="130">
        <f t="shared" ref="BX108:BX113" si="322">AS108-(BW108+BU108+BR108+BO108+BL108+BI108+BF108+BC108+AZ108)</f>
        <v>0</v>
      </c>
      <c r="BY108" s="329"/>
    </row>
    <row r="109" spans="1:79" s="444" customFormat="1">
      <c r="B109" s="261"/>
      <c r="C109" s="237"/>
      <c r="D109" s="397"/>
      <c r="E109" s="110"/>
      <c r="F109" s="127" t="s">
        <v>433</v>
      </c>
      <c r="G109" s="17" t="s">
        <v>107</v>
      </c>
      <c r="H109" s="365">
        <f t="shared" ref="H109" si="323">+T109</f>
        <v>0</v>
      </c>
      <c r="I109" s="365">
        <f t="shared" ref="I109" si="324">+U109</f>
        <v>0</v>
      </c>
      <c r="J109" s="365">
        <f t="shared" ref="J109" si="325">+V109</f>
        <v>0</v>
      </c>
      <c r="K109" s="365">
        <f t="shared" ref="K109" si="326">+W109</f>
        <v>0</v>
      </c>
      <c r="L109" s="365">
        <f t="shared" ref="L109" si="327">+X109</f>
        <v>0</v>
      </c>
      <c r="M109" s="365">
        <f t="shared" ref="M109" si="328">+Y109</f>
        <v>0</v>
      </c>
      <c r="N109" s="365">
        <f t="shared" ref="N109" si="329">+Z109</f>
        <v>53</v>
      </c>
      <c r="O109" s="365">
        <f t="shared" ref="O109" si="330">+AA109</f>
        <v>0</v>
      </c>
      <c r="P109" s="365">
        <f t="shared" ref="P109" si="331">+AB109</f>
        <v>0</v>
      </c>
      <c r="Q109" s="365">
        <f t="shared" ref="Q109" si="332">+AC109</f>
        <v>0</v>
      </c>
      <c r="R109" s="365"/>
      <c r="S109" s="418">
        <f t="shared" ref="S109" si="333">SUM(T109:AC109)</f>
        <v>53</v>
      </c>
      <c r="T109" s="365">
        <f t="shared" ref="T109" si="334">ROUND(AF109,ARRONDI_QT)</f>
        <v>0</v>
      </c>
      <c r="U109" s="365">
        <f t="shared" ref="U109" si="335">ROUND(AG109,ARRONDI_QT)</f>
        <v>0</v>
      </c>
      <c r="V109" s="365">
        <f t="shared" ref="V109" si="336">ROUND(AH109,ARRONDI_QT)</f>
        <v>0</v>
      </c>
      <c r="W109" s="365">
        <f t="shared" ref="W109" si="337">ROUND(AI109,ARRONDI_QT)</f>
        <v>0</v>
      </c>
      <c r="X109" s="365">
        <f t="shared" ref="X109" si="338">ROUND(AJ109,ARRONDI_QT)</f>
        <v>0</v>
      </c>
      <c r="Y109" s="365">
        <f t="shared" ref="Y109" si="339">ROUND(AK109,ARRONDI_QT)</f>
        <v>0</v>
      </c>
      <c r="Z109" s="365">
        <f t="shared" ref="Z109" si="340">ROUND(AL109,ARRONDI_QT)</f>
        <v>53</v>
      </c>
      <c r="AA109" s="365">
        <f t="shared" ref="AA109" si="341">ROUND(AM109,ARRONDI_QT)</f>
        <v>0</v>
      </c>
      <c r="AB109" s="365">
        <f t="shared" ref="AB109" si="342">ROUND(AN109,ARRONDI_QT)</f>
        <v>0</v>
      </c>
      <c r="AC109" s="365">
        <f t="shared" ref="AC109" si="343">ROUND(AO109,ARRONDI_QT)</f>
        <v>0</v>
      </c>
      <c r="AD109" s="365"/>
      <c r="AE109" s="112">
        <f t="shared" ref="AE109" si="344">ROUND(SUM(AF109:AO109),ARRONDI_QT)</f>
        <v>53</v>
      </c>
      <c r="AF109" s="366">
        <v>0</v>
      </c>
      <c r="AG109" s="366">
        <v>0</v>
      </c>
      <c r="AH109" s="366">
        <v>0</v>
      </c>
      <c r="AI109" s="366">
        <v>0</v>
      </c>
      <c r="AJ109" s="366">
        <v>0</v>
      </c>
      <c r="AK109" s="366">
        <v>0</v>
      </c>
      <c r="AL109" s="366">
        <v>53</v>
      </c>
      <c r="AM109" s="366">
        <v>0</v>
      </c>
      <c r="AN109" s="366">
        <v>0</v>
      </c>
      <c r="AO109" s="366">
        <v>0</v>
      </c>
      <c r="AP109" s="365"/>
      <c r="AQ109" s="439">
        <f t="shared" ref="AQ109" si="345">SUM(H109:Q109)</f>
        <v>53</v>
      </c>
      <c r="AR109" s="439">
        <f t="shared" ref="AR109" si="346">ROUND(AU109+BV109,ARRONDI_PU)</f>
        <v>106.893</v>
      </c>
      <c r="AS109" s="440">
        <f t="shared" ref="AS109" si="347">+AR109*AQ109</f>
        <v>5665.3289999999997</v>
      </c>
      <c r="AT109" s="255"/>
      <c r="AU109" s="130">
        <f t="shared" ref="AU109" si="348">+AX109+BB109+BE109+BH109+BK109+BN109+BQ109+BT109</f>
        <v>96.3</v>
      </c>
      <c r="AV109" s="285">
        <f t="shared" si="202"/>
        <v>1.3</v>
      </c>
      <c r="AW109" s="286">
        <v>0</v>
      </c>
      <c r="AX109" s="130">
        <f t="shared" ref="AX109" si="349">+AW109*TH_INSTALL</f>
        <v>0</v>
      </c>
      <c r="AY109" s="130">
        <f t="shared" ref="AY109" si="350">+AW109*AE109</f>
        <v>0</v>
      </c>
      <c r="AZ109" s="130">
        <f t="shared" ref="AZ109" si="351">IF(AQ109&gt;0,(AX109*AE109),0)</f>
        <v>0</v>
      </c>
      <c r="BA109" s="285">
        <f t="shared" si="206"/>
        <v>1.3</v>
      </c>
      <c r="BB109" s="286">
        <v>0</v>
      </c>
      <c r="BC109" s="130">
        <f t="shared" ref="BC109" si="352">IF(AQ109&gt;0,(BB109*AE109),0)</f>
        <v>0</v>
      </c>
      <c r="BD109" s="285">
        <f t="shared" si="208"/>
        <v>1.3</v>
      </c>
      <c r="BE109" s="286">
        <v>0</v>
      </c>
      <c r="BF109" s="130">
        <f t="shared" ref="BF109" si="353">IF(AQ109&gt;0,(BE109*AE109),0)</f>
        <v>0</v>
      </c>
      <c r="BG109" s="285">
        <f t="shared" si="210"/>
        <v>1.3</v>
      </c>
      <c r="BH109" s="286">
        <v>0</v>
      </c>
      <c r="BI109" s="130">
        <f t="shared" ref="BI109" si="354">IF(AQ109&gt;0,(BH109*AE109),0)</f>
        <v>0</v>
      </c>
      <c r="BJ109" s="287">
        <f t="shared" si="212"/>
        <v>1.1499999999999999</v>
      </c>
      <c r="BK109" s="286">
        <v>0</v>
      </c>
      <c r="BL109" s="130">
        <f t="shared" ref="BL109" si="355">IF(AQ109&gt;0,(BK109*AE109),0)</f>
        <v>0</v>
      </c>
      <c r="BM109" s="287">
        <f t="shared" si="214"/>
        <v>1.3</v>
      </c>
      <c r="BN109" s="286">
        <v>0</v>
      </c>
      <c r="BO109" s="130">
        <f t="shared" ref="BO109" si="356">IF(AQ109&gt;0,(BN109*AE109),0)</f>
        <v>0</v>
      </c>
      <c r="BP109" s="287">
        <f t="shared" si="216"/>
        <v>1.1100000000000001</v>
      </c>
      <c r="BQ109" s="286">
        <v>96.3</v>
      </c>
      <c r="BR109" s="130">
        <f t="shared" ref="BR109" si="357">IF(AQ109&gt;0,(BQ109*AE109),0)</f>
        <v>5103.8999999999996</v>
      </c>
      <c r="BS109" s="287">
        <f t="shared" si="218"/>
        <v>1.1100000000000001</v>
      </c>
      <c r="BT109" s="286">
        <v>0</v>
      </c>
      <c r="BU109" s="130">
        <f t="shared" ref="BU109" si="358">IF(AQ109&gt;0,(BT109*AE109),0)</f>
        <v>0</v>
      </c>
      <c r="BV109" s="130">
        <f t="shared" ref="BV109" si="359">+(((AX109)*AV109)+(BB109*BA109)+(BE109*BD109)+(BH109*BG109)+(BK109*BJ109)+(BN109*BM109)+(BQ109*BP109)+(BT109*BS109)+(BT109*BS109))-(AU109)</f>
        <v>10.593000000000004</v>
      </c>
      <c r="BW109" s="130">
        <f t="shared" ref="BW109" si="360">+BV109*AE109</f>
        <v>561.4290000000002</v>
      </c>
      <c r="BX109" s="130">
        <f t="shared" ref="BX109" si="361">AS109-(BW109+BU109+BR109+BO109+BL109+BI109+BF109+BC109+AZ109)</f>
        <v>0</v>
      </c>
      <c r="BY109" s="329"/>
    </row>
    <row r="110" spans="1:79" s="444" customFormat="1">
      <c r="B110" s="261"/>
      <c r="C110" s="237"/>
      <c r="D110" s="397"/>
      <c r="E110" s="110"/>
      <c r="F110" s="127" t="s">
        <v>425</v>
      </c>
      <c r="G110" s="17" t="s">
        <v>107</v>
      </c>
      <c r="H110" s="365">
        <f t="shared" ref="H110" si="362">+T110</f>
        <v>0</v>
      </c>
      <c r="I110" s="365">
        <f t="shared" ref="I110" si="363">+U110</f>
        <v>0</v>
      </c>
      <c r="J110" s="365">
        <f t="shared" ref="J110" si="364">+V110</f>
        <v>0</v>
      </c>
      <c r="K110" s="365">
        <f t="shared" ref="K110" si="365">+W110</f>
        <v>0</v>
      </c>
      <c r="L110" s="365">
        <f t="shared" ref="L110" si="366">+X110</f>
        <v>0</v>
      </c>
      <c r="M110" s="365">
        <f t="shared" ref="M110" si="367">+Y110</f>
        <v>0</v>
      </c>
      <c r="N110" s="365">
        <f t="shared" ref="N110" si="368">+Z110</f>
        <v>234</v>
      </c>
      <c r="O110" s="365">
        <f t="shared" ref="O110" si="369">+AA110</f>
        <v>0</v>
      </c>
      <c r="P110" s="365">
        <f t="shared" ref="P110" si="370">+AB110</f>
        <v>0</v>
      </c>
      <c r="Q110" s="365">
        <f t="shared" ref="Q110" si="371">+AC110</f>
        <v>0</v>
      </c>
      <c r="R110" s="365"/>
      <c r="S110" s="418">
        <f t="shared" ref="S110" si="372">SUM(T110:AC110)</f>
        <v>234</v>
      </c>
      <c r="T110" s="365">
        <f t="shared" ref="T110" si="373">ROUND(AF110,ARRONDI_QT)</f>
        <v>0</v>
      </c>
      <c r="U110" s="365">
        <f t="shared" ref="U110" si="374">ROUND(AG110,ARRONDI_QT)</f>
        <v>0</v>
      </c>
      <c r="V110" s="365">
        <f t="shared" ref="V110" si="375">ROUND(AH110,ARRONDI_QT)</f>
        <v>0</v>
      </c>
      <c r="W110" s="365">
        <f t="shared" ref="W110" si="376">ROUND(AI110,ARRONDI_QT)</f>
        <v>0</v>
      </c>
      <c r="X110" s="365">
        <f t="shared" ref="X110" si="377">ROUND(AJ110,ARRONDI_QT)</f>
        <v>0</v>
      </c>
      <c r="Y110" s="365">
        <f t="shared" ref="Y110" si="378">ROUND(AK110,ARRONDI_QT)</f>
        <v>0</v>
      </c>
      <c r="Z110" s="365">
        <f t="shared" ref="Z110" si="379">ROUND(AL110,ARRONDI_QT)</f>
        <v>234</v>
      </c>
      <c r="AA110" s="365">
        <f t="shared" ref="AA110" si="380">ROUND(AM110,ARRONDI_QT)</f>
        <v>0</v>
      </c>
      <c r="AB110" s="365">
        <f t="shared" ref="AB110" si="381">ROUND(AN110,ARRONDI_QT)</f>
        <v>0</v>
      </c>
      <c r="AC110" s="365">
        <f t="shared" ref="AC110" si="382">ROUND(AO110,ARRONDI_QT)</f>
        <v>0</v>
      </c>
      <c r="AD110" s="365"/>
      <c r="AE110" s="112">
        <f t="shared" ref="AE110" si="383">ROUND(SUM(AF110:AO110),ARRONDI_QT)</f>
        <v>234</v>
      </c>
      <c r="AF110" s="366">
        <v>0</v>
      </c>
      <c r="AG110" s="366">
        <v>0</v>
      </c>
      <c r="AH110" s="366">
        <v>0</v>
      </c>
      <c r="AI110" s="366">
        <v>0</v>
      </c>
      <c r="AJ110" s="366">
        <v>0</v>
      </c>
      <c r="AK110" s="366">
        <v>0</v>
      </c>
      <c r="AL110" s="366">
        <f>195*1.2</f>
        <v>234</v>
      </c>
      <c r="AM110" s="366">
        <v>0</v>
      </c>
      <c r="AN110" s="366">
        <v>0</v>
      </c>
      <c r="AO110" s="366">
        <v>0</v>
      </c>
      <c r="AP110" s="365"/>
      <c r="AQ110" s="439">
        <f t="shared" ref="AQ110" si="384">SUM(H110:Q110)</f>
        <v>234</v>
      </c>
      <c r="AR110" s="439">
        <f t="shared" ref="AR110" si="385">ROUND(AU110+BV110,ARRONDI_PU)</f>
        <v>91.686000000000007</v>
      </c>
      <c r="AS110" s="440">
        <f t="shared" ref="AS110" si="386">+AR110*AQ110</f>
        <v>21454.524000000001</v>
      </c>
      <c r="AT110" s="255"/>
      <c r="AU110" s="130">
        <f t="shared" ref="AU110" si="387">+AX110+BB110+BE110+BH110+BK110+BN110+BQ110+BT110</f>
        <v>82.6</v>
      </c>
      <c r="AV110" s="285">
        <f t="shared" si="202"/>
        <v>1.3</v>
      </c>
      <c r="AW110" s="286">
        <v>0</v>
      </c>
      <c r="AX110" s="130">
        <f t="shared" ref="AX110" si="388">+AW110*TH_INSTALL</f>
        <v>0</v>
      </c>
      <c r="AY110" s="130">
        <f t="shared" ref="AY110" si="389">+AW110*AE110</f>
        <v>0</v>
      </c>
      <c r="AZ110" s="130">
        <f t="shared" ref="AZ110" si="390">IF(AQ110&gt;0,(AX110*AE110),0)</f>
        <v>0</v>
      </c>
      <c r="BA110" s="285">
        <f t="shared" si="206"/>
        <v>1.3</v>
      </c>
      <c r="BB110" s="286">
        <v>0</v>
      </c>
      <c r="BC110" s="130">
        <f t="shared" ref="BC110" si="391">IF(AQ110&gt;0,(BB110*AE110),0)</f>
        <v>0</v>
      </c>
      <c r="BD110" s="285">
        <f t="shared" si="208"/>
        <v>1.3</v>
      </c>
      <c r="BE110" s="286">
        <v>0</v>
      </c>
      <c r="BF110" s="130">
        <f t="shared" ref="BF110" si="392">IF(AQ110&gt;0,(BE110*AE110),0)</f>
        <v>0</v>
      </c>
      <c r="BG110" s="285">
        <f t="shared" si="210"/>
        <v>1.3</v>
      </c>
      <c r="BH110" s="286">
        <v>0</v>
      </c>
      <c r="BI110" s="130">
        <f t="shared" ref="BI110" si="393">IF(AQ110&gt;0,(BH110*AE110),0)</f>
        <v>0</v>
      </c>
      <c r="BJ110" s="287">
        <f t="shared" si="212"/>
        <v>1.1499999999999999</v>
      </c>
      <c r="BK110" s="286">
        <v>0</v>
      </c>
      <c r="BL110" s="130">
        <f t="shared" ref="BL110" si="394">IF(AQ110&gt;0,(BK110*AE110),0)</f>
        <v>0</v>
      </c>
      <c r="BM110" s="287">
        <f t="shared" si="214"/>
        <v>1.3</v>
      </c>
      <c r="BN110" s="286">
        <v>0</v>
      </c>
      <c r="BO110" s="130">
        <f t="shared" ref="BO110" si="395">IF(AQ110&gt;0,(BN110*AE110),0)</f>
        <v>0</v>
      </c>
      <c r="BP110" s="287">
        <f t="shared" si="216"/>
        <v>1.1100000000000001</v>
      </c>
      <c r="BQ110" s="286">
        <v>82.6</v>
      </c>
      <c r="BR110" s="130">
        <f t="shared" ref="BR110" si="396">IF(AQ110&gt;0,(BQ110*AE110),0)</f>
        <v>19328.399999999998</v>
      </c>
      <c r="BS110" s="287">
        <f t="shared" si="218"/>
        <v>1.1100000000000001</v>
      </c>
      <c r="BT110" s="286">
        <v>0</v>
      </c>
      <c r="BU110" s="130">
        <f t="shared" ref="BU110" si="397">IF(AQ110&gt;0,(BT110*AE110),0)</f>
        <v>0</v>
      </c>
      <c r="BV110" s="130">
        <f t="shared" ref="BV110" si="398">+(((AX110)*AV110)+(BB110*BA110)+(BE110*BD110)+(BH110*BG110)+(BK110*BJ110)+(BN110*BM110)+(BQ110*BP110)+(BT110*BS110)+(BT110*BS110))-(AU110)</f>
        <v>9.0860000000000127</v>
      </c>
      <c r="BW110" s="130">
        <f t="shared" ref="BW110" si="399">+BV110*AE110</f>
        <v>2126.124000000003</v>
      </c>
      <c r="BX110" s="130">
        <f t="shared" ref="BX110" si="400">AS110-(BW110+BU110+BR110+BO110+BL110+BI110+BF110+BC110+AZ110)</f>
        <v>0</v>
      </c>
      <c r="BY110" s="329"/>
    </row>
    <row r="111" spans="1:79" s="327" customFormat="1">
      <c r="A111" s="392"/>
      <c r="B111" s="261"/>
      <c r="C111" s="237"/>
      <c r="D111" s="397"/>
      <c r="E111" s="110" t="s">
        <v>198</v>
      </c>
      <c r="F111" s="127" t="s">
        <v>239</v>
      </c>
      <c r="G111" s="17" t="s">
        <v>105</v>
      </c>
      <c r="H111" s="365">
        <f t="shared" si="301"/>
        <v>0</v>
      </c>
      <c r="I111" s="365">
        <f t="shared" si="301"/>
        <v>0</v>
      </c>
      <c r="J111" s="365">
        <f t="shared" si="301"/>
        <v>0</v>
      </c>
      <c r="K111" s="365">
        <f t="shared" si="301"/>
        <v>0</v>
      </c>
      <c r="L111" s="365">
        <f t="shared" si="301"/>
        <v>0</v>
      </c>
      <c r="M111" s="365">
        <f t="shared" si="301"/>
        <v>0</v>
      </c>
      <c r="N111" s="365">
        <f t="shared" si="301"/>
        <v>1</v>
      </c>
      <c r="O111" s="365">
        <f t="shared" si="301"/>
        <v>0</v>
      </c>
      <c r="P111" s="365">
        <f t="shared" si="302"/>
        <v>0</v>
      </c>
      <c r="Q111" s="365">
        <f t="shared" si="302"/>
        <v>0</v>
      </c>
      <c r="R111" s="365"/>
      <c r="S111" s="418">
        <f t="shared" si="303"/>
        <v>1</v>
      </c>
      <c r="T111" s="365">
        <f t="shared" si="304"/>
        <v>0</v>
      </c>
      <c r="U111" s="365">
        <f t="shared" si="304"/>
        <v>0</v>
      </c>
      <c r="V111" s="365">
        <f t="shared" si="304"/>
        <v>0</v>
      </c>
      <c r="W111" s="365">
        <f t="shared" si="304"/>
        <v>0</v>
      </c>
      <c r="X111" s="365">
        <f t="shared" si="304"/>
        <v>0</v>
      </c>
      <c r="Y111" s="365">
        <f t="shared" si="304"/>
        <v>0</v>
      </c>
      <c r="Z111" s="365">
        <f t="shared" si="304"/>
        <v>1</v>
      </c>
      <c r="AA111" s="365">
        <f t="shared" si="304"/>
        <v>0</v>
      </c>
      <c r="AB111" s="365">
        <f t="shared" si="304"/>
        <v>0</v>
      </c>
      <c r="AC111" s="365">
        <f t="shared" si="304"/>
        <v>0</v>
      </c>
      <c r="AD111" s="365"/>
      <c r="AE111" s="112">
        <f t="shared" si="305"/>
        <v>1</v>
      </c>
      <c r="AF111" s="366">
        <v>0</v>
      </c>
      <c r="AG111" s="366">
        <v>0</v>
      </c>
      <c r="AH111" s="366">
        <v>0</v>
      </c>
      <c r="AI111" s="366">
        <v>0</v>
      </c>
      <c r="AJ111" s="366">
        <v>0</v>
      </c>
      <c r="AK111" s="366">
        <v>0</v>
      </c>
      <c r="AL111" s="366">
        <v>1</v>
      </c>
      <c r="AM111" s="366">
        <v>0</v>
      </c>
      <c r="AN111" s="366">
        <v>0</v>
      </c>
      <c r="AO111" s="366">
        <v>0</v>
      </c>
      <c r="AP111" s="365"/>
      <c r="AQ111" s="439">
        <f t="shared" si="306"/>
        <v>1</v>
      </c>
      <c r="AR111" s="439">
        <f t="shared" si="307"/>
        <v>1665</v>
      </c>
      <c r="AS111" s="440">
        <f t="shared" si="308"/>
        <v>1665</v>
      </c>
      <c r="AT111" s="255"/>
      <c r="AU111" s="130">
        <f t="shared" si="309"/>
        <v>1500</v>
      </c>
      <c r="AV111" s="285">
        <f t="shared" si="202"/>
        <v>1.3</v>
      </c>
      <c r="AW111" s="286">
        <v>0</v>
      </c>
      <c r="AX111" s="130">
        <f t="shared" si="310"/>
        <v>0</v>
      </c>
      <c r="AY111" s="130">
        <f t="shared" si="311"/>
        <v>0</v>
      </c>
      <c r="AZ111" s="130">
        <f t="shared" si="312"/>
        <v>0</v>
      </c>
      <c r="BA111" s="285">
        <f t="shared" si="206"/>
        <v>1.3</v>
      </c>
      <c r="BB111" s="286">
        <v>0</v>
      </c>
      <c r="BC111" s="130">
        <f t="shared" si="313"/>
        <v>0</v>
      </c>
      <c r="BD111" s="285">
        <f t="shared" si="208"/>
        <v>1.3</v>
      </c>
      <c r="BE111" s="286">
        <v>0</v>
      </c>
      <c r="BF111" s="130">
        <f t="shared" si="314"/>
        <v>0</v>
      </c>
      <c r="BG111" s="285">
        <f t="shared" si="210"/>
        <v>1.3</v>
      </c>
      <c r="BH111" s="286">
        <v>0</v>
      </c>
      <c r="BI111" s="130">
        <f t="shared" si="315"/>
        <v>0</v>
      </c>
      <c r="BJ111" s="287">
        <f t="shared" si="212"/>
        <v>1.1499999999999999</v>
      </c>
      <c r="BK111" s="286">
        <v>0</v>
      </c>
      <c r="BL111" s="130">
        <f t="shared" si="316"/>
        <v>0</v>
      </c>
      <c r="BM111" s="287">
        <f t="shared" si="214"/>
        <v>1.3</v>
      </c>
      <c r="BN111" s="286">
        <v>0</v>
      </c>
      <c r="BO111" s="130">
        <f t="shared" si="317"/>
        <v>0</v>
      </c>
      <c r="BP111" s="287">
        <f t="shared" si="216"/>
        <v>1.1100000000000001</v>
      </c>
      <c r="BQ111" s="286">
        <v>1500</v>
      </c>
      <c r="BR111" s="130">
        <f t="shared" si="318"/>
        <v>1500</v>
      </c>
      <c r="BS111" s="287">
        <f t="shared" si="218"/>
        <v>1.1100000000000001</v>
      </c>
      <c r="BT111" s="286">
        <v>0</v>
      </c>
      <c r="BU111" s="130">
        <f t="shared" si="319"/>
        <v>0</v>
      </c>
      <c r="BV111" s="130">
        <f t="shared" si="320"/>
        <v>165.00000000000023</v>
      </c>
      <c r="BW111" s="130">
        <f t="shared" si="321"/>
        <v>165.00000000000023</v>
      </c>
      <c r="BX111" s="130">
        <f t="shared" si="322"/>
        <v>0</v>
      </c>
      <c r="BY111" s="329"/>
    </row>
    <row r="112" spans="1:79" s="327" customFormat="1">
      <c r="A112" s="392"/>
      <c r="B112" s="261"/>
      <c r="C112" s="237"/>
      <c r="D112" s="397"/>
      <c r="E112" s="110" t="s">
        <v>199</v>
      </c>
      <c r="F112" s="127" t="s">
        <v>240</v>
      </c>
      <c r="G112" s="17" t="s">
        <v>107</v>
      </c>
      <c r="H112" s="365">
        <f t="shared" si="301"/>
        <v>0</v>
      </c>
      <c r="I112" s="365">
        <f t="shared" si="301"/>
        <v>0</v>
      </c>
      <c r="J112" s="365">
        <f t="shared" si="301"/>
        <v>0</v>
      </c>
      <c r="K112" s="365">
        <f t="shared" si="301"/>
        <v>0</v>
      </c>
      <c r="L112" s="365">
        <f t="shared" si="301"/>
        <v>0</v>
      </c>
      <c r="M112" s="365">
        <f t="shared" si="301"/>
        <v>0</v>
      </c>
      <c r="N112" s="365">
        <f t="shared" si="301"/>
        <v>509</v>
      </c>
      <c r="O112" s="365">
        <f t="shared" si="301"/>
        <v>0</v>
      </c>
      <c r="P112" s="365">
        <f t="shared" si="302"/>
        <v>0</v>
      </c>
      <c r="Q112" s="365">
        <f t="shared" si="302"/>
        <v>0</v>
      </c>
      <c r="R112" s="365"/>
      <c r="S112" s="418">
        <f t="shared" si="303"/>
        <v>509</v>
      </c>
      <c r="T112" s="365">
        <f t="shared" si="304"/>
        <v>0</v>
      </c>
      <c r="U112" s="365">
        <f t="shared" si="304"/>
        <v>0</v>
      </c>
      <c r="V112" s="365">
        <f t="shared" si="304"/>
        <v>0</v>
      </c>
      <c r="W112" s="365">
        <f t="shared" si="304"/>
        <v>0</v>
      </c>
      <c r="X112" s="365">
        <f t="shared" si="304"/>
        <v>0</v>
      </c>
      <c r="Y112" s="365">
        <f t="shared" si="304"/>
        <v>0</v>
      </c>
      <c r="Z112" s="365">
        <f t="shared" si="304"/>
        <v>509</v>
      </c>
      <c r="AA112" s="365">
        <f t="shared" si="304"/>
        <v>0</v>
      </c>
      <c r="AB112" s="365">
        <f t="shared" si="304"/>
        <v>0</v>
      </c>
      <c r="AC112" s="365">
        <f t="shared" si="304"/>
        <v>0</v>
      </c>
      <c r="AD112" s="365"/>
      <c r="AE112" s="112">
        <f t="shared" si="305"/>
        <v>509</v>
      </c>
      <c r="AF112" s="366">
        <v>0</v>
      </c>
      <c r="AG112" s="366">
        <v>0</v>
      </c>
      <c r="AH112" s="366">
        <v>0</v>
      </c>
      <c r="AI112" s="366">
        <v>0</v>
      </c>
      <c r="AJ112" s="366">
        <v>0</v>
      </c>
      <c r="AK112" s="366">
        <v>0</v>
      </c>
      <c r="AL112" s="366">
        <f>SUM(AL108:AL110)</f>
        <v>509</v>
      </c>
      <c r="AM112" s="366">
        <v>0</v>
      </c>
      <c r="AN112" s="366">
        <v>0</v>
      </c>
      <c r="AO112" s="366">
        <v>0</v>
      </c>
      <c r="AP112" s="365"/>
      <c r="AQ112" s="439">
        <f t="shared" si="306"/>
        <v>509</v>
      </c>
      <c r="AR112" s="439">
        <f t="shared" si="307"/>
        <v>16.428000000000001</v>
      </c>
      <c r="AS112" s="440">
        <f t="shared" si="308"/>
        <v>8361.8520000000008</v>
      </c>
      <c r="AT112" s="255"/>
      <c r="AU112" s="130">
        <f t="shared" si="309"/>
        <v>14.8</v>
      </c>
      <c r="AV112" s="285">
        <f t="shared" si="202"/>
        <v>1.3</v>
      </c>
      <c r="AW112" s="286">
        <v>0</v>
      </c>
      <c r="AX112" s="130">
        <f t="shared" si="310"/>
        <v>0</v>
      </c>
      <c r="AY112" s="130">
        <f t="shared" si="311"/>
        <v>0</v>
      </c>
      <c r="AZ112" s="130">
        <f t="shared" si="312"/>
        <v>0</v>
      </c>
      <c r="BA112" s="285">
        <f t="shared" si="206"/>
        <v>1.3</v>
      </c>
      <c r="BB112" s="286">
        <v>0</v>
      </c>
      <c r="BC112" s="130">
        <f t="shared" si="313"/>
        <v>0</v>
      </c>
      <c r="BD112" s="285">
        <f t="shared" si="208"/>
        <v>1.3</v>
      </c>
      <c r="BE112" s="286">
        <v>0</v>
      </c>
      <c r="BF112" s="130">
        <f t="shared" si="314"/>
        <v>0</v>
      </c>
      <c r="BG112" s="285">
        <f t="shared" si="210"/>
        <v>1.3</v>
      </c>
      <c r="BH112" s="286">
        <v>0</v>
      </c>
      <c r="BI112" s="130">
        <f t="shared" si="315"/>
        <v>0</v>
      </c>
      <c r="BJ112" s="287">
        <f t="shared" si="212"/>
        <v>1.1499999999999999</v>
      </c>
      <c r="BK112" s="286">
        <v>0</v>
      </c>
      <c r="BL112" s="130">
        <f t="shared" si="316"/>
        <v>0</v>
      </c>
      <c r="BM112" s="287">
        <f t="shared" si="214"/>
        <v>1.3</v>
      </c>
      <c r="BN112" s="286">
        <v>0</v>
      </c>
      <c r="BO112" s="130">
        <f t="shared" si="317"/>
        <v>0</v>
      </c>
      <c r="BP112" s="287">
        <f t="shared" si="216"/>
        <v>1.1100000000000001</v>
      </c>
      <c r="BQ112" s="286">
        <v>14.8</v>
      </c>
      <c r="BR112" s="130">
        <f t="shared" si="318"/>
        <v>7533.2000000000007</v>
      </c>
      <c r="BS112" s="287">
        <f t="shared" si="218"/>
        <v>1.1100000000000001</v>
      </c>
      <c r="BT112" s="286">
        <v>0</v>
      </c>
      <c r="BU112" s="130">
        <f t="shared" si="319"/>
        <v>0</v>
      </c>
      <c r="BV112" s="130">
        <f t="shared" si="320"/>
        <v>1.6280000000000001</v>
      </c>
      <c r="BW112" s="130">
        <f t="shared" si="321"/>
        <v>828.65200000000004</v>
      </c>
      <c r="BX112" s="130">
        <f t="shared" si="322"/>
        <v>0</v>
      </c>
      <c r="BY112" s="329"/>
    </row>
    <row r="113" spans="1:77" s="327" customFormat="1">
      <c r="A113" s="392"/>
      <c r="B113" s="261"/>
      <c r="C113" s="237"/>
      <c r="D113" s="397"/>
      <c r="E113" s="110" t="s">
        <v>200</v>
      </c>
      <c r="F113" s="127" t="s">
        <v>241</v>
      </c>
      <c r="G113" s="17" t="s">
        <v>33</v>
      </c>
      <c r="H113" s="365">
        <f t="shared" si="301"/>
        <v>0</v>
      </c>
      <c r="I113" s="365">
        <f t="shared" si="301"/>
        <v>0</v>
      </c>
      <c r="J113" s="365">
        <f t="shared" si="301"/>
        <v>0</v>
      </c>
      <c r="K113" s="365">
        <f t="shared" si="301"/>
        <v>0</v>
      </c>
      <c r="L113" s="365">
        <f t="shared" si="301"/>
        <v>0</v>
      </c>
      <c r="M113" s="365">
        <f t="shared" si="301"/>
        <v>0</v>
      </c>
      <c r="N113" s="365">
        <f t="shared" si="301"/>
        <v>1</v>
      </c>
      <c r="O113" s="365">
        <f t="shared" si="301"/>
        <v>0</v>
      </c>
      <c r="P113" s="365">
        <f t="shared" si="302"/>
        <v>0</v>
      </c>
      <c r="Q113" s="365">
        <f t="shared" si="302"/>
        <v>0</v>
      </c>
      <c r="R113" s="365"/>
      <c r="S113" s="418">
        <f t="shared" si="303"/>
        <v>1</v>
      </c>
      <c r="T113" s="365">
        <f t="shared" si="304"/>
        <v>0</v>
      </c>
      <c r="U113" s="365">
        <f t="shared" si="304"/>
        <v>0</v>
      </c>
      <c r="V113" s="365">
        <f t="shared" si="304"/>
        <v>0</v>
      </c>
      <c r="W113" s="365">
        <f t="shared" si="304"/>
        <v>0</v>
      </c>
      <c r="X113" s="365">
        <f t="shared" si="304"/>
        <v>0</v>
      </c>
      <c r="Y113" s="365">
        <f t="shared" si="304"/>
        <v>0</v>
      </c>
      <c r="Z113" s="365">
        <f t="shared" si="304"/>
        <v>1</v>
      </c>
      <c r="AA113" s="365">
        <f t="shared" si="304"/>
        <v>0</v>
      </c>
      <c r="AB113" s="365">
        <f t="shared" si="304"/>
        <v>0</v>
      </c>
      <c r="AC113" s="365">
        <f t="shared" si="304"/>
        <v>0</v>
      </c>
      <c r="AD113" s="365"/>
      <c r="AE113" s="112">
        <f t="shared" si="305"/>
        <v>1</v>
      </c>
      <c r="AF113" s="366">
        <v>0</v>
      </c>
      <c r="AG113" s="366">
        <v>0</v>
      </c>
      <c r="AH113" s="366">
        <v>0</v>
      </c>
      <c r="AI113" s="366">
        <v>0</v>
      </c>
      <c r="AJ113" s="366">
        <v>0</v>
      </c>
      <c r="AK113" s="366">
        <v>0</v>
      </c>
      <c r="AL113" s="366">
        <v>1</v>
      </c>
      <c r="AM113" s="366">
        <v>0</v>
      </c>
      <c r="AN113" s="366">
        <v>0</v>
      </c>
      <c r="AO113" s="366">
        <v>0</v>
      </c>
      <c r="AP113" s="365"/>
      <c r="AQ113" s="439">
        <f t="shared" si="306"/>
        <v>1</v>
      </c>
      <c r="AR113" s="439">
        <f t="shared" si="307"/>
        <v>9435</v>
      </c>
      <c r="AS113" s="440">
        <f t="shared" si="308"/>
        <v>9435</v>
      </c>
      <c r="AT113" s="255"/>
      <c r="AU113" s="130">
        <f t="shared" si="309"/>
        <v>8500</v>
      </c>
      <c r="AV113" s="285">
        <f t="shared" si="202"/>
        <v>1.3</v>
      </c>
      <c r="AW113" s="286">
        <v>0</v>
      </c>
      <c r="AX113" s="130">
        <f t="shared" si="310"/>
        <v>0</v>
      </c>
      <c r="AY113" s="130">
        <f t="shared" si="311"/>
        <v>0</v>
      </c>
      <c r="AZ113" s="130">
        <f t="shared" si="312"/>
        <v>0</v>
      </c>
      <c r="BA113" s="285">
        <f t="shared" si="206"/>
        <v>1.3</v>
      </c>
      <c r="BB113" s="286">
        <v>0</v>
      </c>
      <c r="BC113" s="130">
        <f t="shared" si="313"/>
        <v>0</v>
      </c>
      <c r="BD113" s="285">
        <f t="shared" si="208"/>
        <v>1.3</v>
      </c>
      <c r="BE113" s="286">
        <v>0</v>
      </c>
      <c r="BF113" s="130">
        <f t="shared" si="314"/>
        <v>0</v>
      </c>
      <c r="BG113" s="285">
        <f t="shared" si="210"/>
        <v>1.3</v>
      </c>
      <c r="BH113" s="286">
        <v>0</v>
      </c>
      <c r="BI113" s="130">
        <f t="shared" si="315"/>
        <v>0</v>
      </c>
      <c r="BJ113" s="287">
        <f t="shared" si="212"/>
        <v>1.1499999999999999</v>
      </c>
      <c r="BK113" s="286">
        <v>0</v>
      </c>
      <c r="BL113" s="130">
        <f t="shared" si="316"/>
        <v>0</v>
      </c>
      <c r="BM113" s="287">
        <f t="shared" si="214"/>
        <v>1.3</v>
      </c>
      <c r="BN113" s="286">
        <v>0</v>
      </c>
      <c r="BO113" s="130">
        <f t="shared" si="317"/>
        <v>0</v>
      </c>
      <c r="BP113" s="287">
        <f t="shared" si="216"/>
        <v>1.1100000000000001</v>
      </c>
      <c r="BQ113" s="286">
        <v>8500</v>
      </c>
      <c r="BR113" s="130">
        <f t="shared" si="318"/>
        <v>8500</v>
      </c>
      <c r="BS113" s="287">
        <f t="shared" si="218"/>
        <v>1.1100000000000001</v>
      </c>
      <c r="BT113" s="286">
        <v>0</v>
      </c>
      <c r="BU113" s="130">
        <f t="shared" si="319"/>
        <v>0</v>
      </c>
      <c r="BV113" s="130">
        <f t="shared" si="320"/>
        <v>935</v>
      </c>
      <c r="BW113" s="130">
        <f t="shared" si="321"/>
        <v>935</v>
      </c>
      <c r="BX113" s="130">
        <f t="shared" si="322"/>
        <v>0</v>
      </c>
      <c r="BY113" s="329"/>
    </row>
    <row r="114" spans="1:77" s="327" customFormat="1" ht="10.9" customHeight="1">
      <c r="A114" s="392"/>
      <c r="B114" s="261"/>
      <c r="C114" s="237"/>
      <c r="D114" s="397"/>
      <c r="E114" s="110"/>
      <c r="F114" s="127"/>
      <c r="G114" s="17"/>
      <c r="H114" s="276"/>
      <c r="I114" s="276"/>
      <c r="J114" s="276"/>
      <c r="K114" s="276"/>
      <c r="L114" s="276"/>
      <c r="M114" s="276"/>
      <c r="N114" s="276"/>
      <c r="O114" s="276"/>
      <c r="P114" s="276"/>
      <c r="Q114" s="276"/>
      <c r="R114" s="276"/>
      <c r="S114" s="418"/>
      <c r="T114" s="112"/>
      <c r="U114" s="112"/>
      <c r="V114" s="112"/>
      <c r="W114" s="112"/>
      <c r="X114" s="112"/>
      <c r="Y114" s="112"/>
      <c r="Z114" s="112"/>
      <c r="AA114" s="112"/>
      <c r="AB114" s="112"/>
      <c r="AC114" s="112"/>
      <c r="AD114" s="276"/>
      <c r="AE114" s="112"/>
      <c r="AF114" s="129"/>
      <c r="AG114" s="129"/>
      <c r="AH114" s="129"/>
      <c r="AI114" s="129"/>
      <c r="AJ114" s="129"/>
      <c r="AK114" s="129"/>
      <c r="AL114" s="129"/>
      <c r="AM114" s="129"/>
      <c r="AN114" s="129"/>
      <c r="AO114" s="129"/>
      <c r="AP114" s="276"/>
      <c r="AQ114" s="439"/>
      <c r="AR114" s="439"/>
      <c r="AS114" s="440"/>
      <c r="AT114" s="255"/>
      <c r="AU114" s="130"/>
      <c r="AV114" s="285"/>
      <c r="AW114" s="286"/>
      <c r="AX114" s="130"/>
      <c r="AY114" s="130"/>
      <c r="AZ114" s="130"/>
      <c r="BA114" s="285"/>
      <c r="BB114" s="286"/>
      <c r="BC114" s="130"/>
      <c r="BD114" s="285"/>
      <c r="BE114" s="286"/>
      <c r="BF114" s="130"/>
      <c r="BG114" s="285"/>
      <c r="BH114" s="286"/>
      <c r="BI114" s="130"/>
      <c r="BJ114" s="287"/>
      <c r="BK114" s="286"/>
      <c r="BL114" s="130"/>
      <c r="BM114" s="287"/>
      <c r="BN114" s="286"/>
      <c r="BO114" s="130"/>
      <c r="BP114" s="287"/>
      <c r="BQ114" s="286"/>
      <c r="BR114" s="130"/>
      <c r="BS114" s="287"/>
      <c r="BT114" s="286"/>
      <c r="BU114" s="130"/>
      <c r="BV114" s="130"/>
      <c r="BW114" s="130"/>
      <c r="BX114" s="130"/>
      <c r="BY114" s="256"/>
    </row>
    <row r="115" spans="1:77" s="327" customFormat="1">
      <c r="A115" s="392"/>
      <c r="B115" s="261"/>
      <c r="C115" s="237"/>
      <c r="D115" s="397"/>
      <c r="E115" s="110" t="s">
        <v>201</v>
      </c>
      <c r="F115" s="127" t="s">
        <v>202</v>
      </c>
      <c r="G115" s="17"/>
      <c r="H115" s="276"/>
      <c r="I115" s="276"/>
      <c r="J115" s="276"/>
      <c r="K115" s="276"/>
      <c r="L115" s="276"/>
      <c r="M115" s="276"/>
      <c r="N115" s="276"/>
      <c r="O115" s="276"/>
      <c r="P115" s="276"/>
      <c r="Q115" s="276"/>
      <c r="R115" s="276"/>
      <c r="S115" s="418"/>
      <c r="T115" s="112"/>
      <c r="U115" s="112"/>
      <c r="V115" s="112"/>
      <c r="W115" s="112"/>
      <c r="X115" s="112"/>
      <c r="Y115" s="112"/>
      <c r="Z115" s="112"/>
      <c r="AA115" s="112"/>
      <c r="AB115" s="112"/>
      <c r="AC115" s="112"/>
      <c r="AD115" s="276"/>
      <c r="AE115" s="112"/>
      <c r="AF115" s="129"/>
      <c r="AG115" s="129"/>
      <c r="AH115" s="129"/>
      <c r="AI115" s="129"/>
      <c r="AJ115" s="129"/>
      <c r="AK115" s="129"/>
      <c r="AL115" s="129"/>
      <c r="AM115" s="129"/>
      <c r="AN115" s="129"/>
      <c r="AO115" s="129"/>
      <c r="AP115" s="276"/>
      <c r="AQ115" s="439"/>
      <c r="AR115" s="439"/>
      <c r="AS115" s="440"/>
      <c r="AT115" s="255"/>
      <c r="AU115" s="130"/>
      <c r="AV115" s="285"/>
      <c r="AW115" s="286"/>
      <c r="AX115" s="130"/>
      <c r="AY115" s="130"/>
      <c r="AZ115" s="130"/>
      <c r="BA115" s="285"/>
      <c r="BB115" s="286"/>
      <c r="BC115" s="130"/>
      <c r="BD115" s="285"/>
      <c r="BE115" s="286"/>
      <c r="BF115" s="130"/>
      <c r="BG115" s="285"/>
      <c r="BH115" s="286"/>
      <c r="BI115" s="130"/>
      <c r="BJ115" s="287"/>
      <c r="BK115" s="286"/>
      <c r="BL115" s="130"/>
      <c r="BM115" s="287"/>
      <c r="BN115" s="286"/>
      <c r="BO115" s="130"/>
      <c r="BP115" s="287"/>
      <c r="BQ115" s="286"/>
      <c r="BR115" s="130"/>
      <c r="BS115" s="287"/>
      <c r="BT115" s="286"/>
      <c r="BU115" s="130"/>
      <c r="BV115" s="130"/>
      <c r="BW115" s="130"/>
      <c r="BX115" s="130"/>
      <c r="BY115" s="256"/>
    </row>
    <row r="116" spans="1:77" s="327" customFormat="1">
      <c r="A116" s="392"/>
      <c r="B116" s="261"/>
      <c r="C116" s="237"/>
      <c r="D116" s="397"/>
      <c r="E116" s="110" t="s">
        <v>203</v>
      </c>
      <c r="F116" s="127" t="s">
        <v>346</v>
      </c>
      <c r="G116" s="17" t="s">
        <v>33</v>
      </c>
      <c r="H116" s="365">
        <f>+T116</f>
        <v>0</v>
      </c>
      <c r="I116" s="365">
        <f t="shared" ref="I116:I117" si="401">+U116</f>
        <v>0</v>
      </c>
      <c r="J116" s="365">
        <f t="shared" ref="J116:J117" si="402">+V116</f>
        <v>0</v>
      </c>
      <c r="K116" s="365">
        <f t="shared" ref="K116:K117" si="403">+W116</f>
        <v>0</v>
      </c>
      <c r="L116" s="365">
        <f t="shared" ref="L116:L117" si="404">+X116</f>
        <v>0</v>
      </c>
      <c r="M116" s="365">
        <f t="shared" ref="M116:M117" si="405">+Y116</f>
        <v>0</v>
      </c>
      <c r="N116" s="365">
        <f t="shared" ref="N116:N117" si="406">+Z116</f>
        <v>3</v>
      </c>
      <c r="O116" s="365">
        <f t="shared" ref="O116:O117" si="407">+AA116</f>
        <v>0</v>
      </c>
      <c r="P116" s="365">
        <f t="shared" ref="P116:P117" si="408">+AB116</f>
        <v>0</v>
      </c>
      <c r="Q116" s="365">
        <f t="shared" ref="Q116:Q117" si="409">+AC116</f>
        <v>0</v>
      </c>
      <c r="R116" s="365"/>
      <c r="S116" s="418">
        <f>SUM(T116:AC116)</f>
        <v>3</v>
      </c>
      <c r="T116" s="365">
        <f t="shared" ref="T116:AC120" si="410">ROUND(AF116,ARRONDI_QT)</f>
        <v>0</v>
      </c>
      <c r="U116" s="365">
        <f t="shared" ref="U116:U117" si="411">ROUND(AG116,ARRONDI_QT)</f>
        <v>0</v>
      </c>
      <c r="V116" s="365">
        <f t="shared" ref="V116:V117" si="412">ROUND(AH116,ARRONDI_QT)</f>
        <v>0</v>
      </c>
      <c r="W116" s="365">
        <f t="shared" ref="W116:W117" si="413">ROUND(AI116,ARRONDI_QT)</f>
        <v>0</v>
      </c>
      <c r="X116" s="365">
        <f t="shared" ref="X116:X117" si="414">ROUND(AJ116,ARRONDI_QT)</f>
        <v>0</v>
      </c>
      <c r="Y116" s="365">
        <f t="shared" ref="Y116:Y117" si="415">ROUND(AK116,ARRONDI_QT)</f>
        <v>0</v>
      </c>
      <c r="Z116" s="365">
        <f t="shared" ref="Z116:Z117" si="416">ROUND(AL116,ARRONDI_QT)</f>
        <v>3</v>
      </c>
      <c r="AA116" s="365">
        <f t="shared" ref="AA116:AA117" si="417">ROUND(AM116,ARRONDI_QT)</f>
        <v>0</v>
      </c>
      <c r="AB116" s="365">
        <f t="shared" ref="AB116:AB117" si="418">ROUND(AN116,ARRONDI_QT)</f>
        <v>0</v>
      </c>
      <c r="AC116" s="365">
        <f t="shared" ref="AC116:AC117" si="419">ROUND(AO116,ARRONDI_QT)</f>
        <v>0</v>
      </c>
      <c r="AD116" s="365"/>
      <c r="AE116" s="112">
        <f>ROUND(SUM(AF116:AO116),ARRONDI_QT)</f>
        <v>3</v>
      </c>
      <c r="AF116" s="366">
        <v>0</v>
      </c>
      <c r="AG116" s="366">
        <v>0</v>
      </c>
      <c r="AH116" s="366">
        <v>0</v>
      </c>
      <c r="AI116" s="366">
        <v>0</v>
      </c>
      <c r="AJ116" s="366">
        <v>0</v>
      </c>
      <c r="AK116" s="366">
        <v>0</v>
      </c>
      <c r="AL116" s="366">
        <v>3</v>
      </c>
      <c r="AM116" s="366">
        <v>0</v>
      </c>
      <c r="AN116" s="366">
        <v>0</v>
      </c>
      <c r="AO116" s="366">
        <v>0</v>
      </c>
      <c r="AP116" s="365"/>
      <c r="AQ116" s="439">
        <f>SUM(H116:Q116)</f>
        <v>3</v>
      </c>
      <c r="AR116" s="439">
        <f>ROUND(AU116+BV116,ARRONDI_PU)</f>
        <v>394.05</v>
      </c>
      <c r="AS116" s="440">
        <f>+AR116*AQ116</f>
        <v>1182.1500000000001</v>
      </c>
      <c r="AT116" s="255"/>
      <c r="AU116" s="130">
        <f>+AX116+BB116+BE116+BH116+BK116+BN116+BQ116+BT116</f>
        <v>355</v>
      </c>
      <c r="AV116" s="285">
        <f>+COEF_MO_INSTALL</f>
        <v>1.3</v>
      </c>
      <c r="AW116" s="286">
        <v>0</v>
      </c>
      <c r="AX116" s="130">
        <f>+AW116*TH_INSTALL</f>
        <v>0</v>
      </c>
      <c r="AY116" s="130">
        <f>+AW116*AE116</f>
        <v>0</v>
      </c>
      <c r="AZ116" s="130">
        <f>IF(AQ116&gt;0,(AX116*AE116),0)</f>
        <v>0</v>
      </c>
      <c r="BA116" s="285">
        <f>+COEF_FOUR1_INSTALL</f>
        <v>1.3</v>
      </c>
      <c r="BB116" s="286">
        <v>0</v>
      </c>
      <c r="BC116" s="130">
        <f>IF(AQ116&gt;0,(BB116*AE116),0)</f>
        <v>0</v>
      </c>
      <c r="BD116" s="285">
        <f>+COEF_FOUR2_INSTALL</f>
        <v>1.3</v>
      </c>
      <c r="BE116" s="286">
        <v>0</v>
      </c>
      <c r="BF116" s="130">
        <f>IF(AQ116&gt;0,(BE116*AE116),0)</f>
        <v>0</v>
      </c>
      <c r="BG116" s="285">
        <f>+COEF_FOUR3_INSTALL</f>
        <v>1.3</v>
      </c>
      <c r="BH116" s="286">
        <v>0</v>
      </c>
      <c r="BI116" s="130">
        <f>IF(AQ116&gt;0,(BH116*AE116),0)</f>
        <v>0</v>
      </c>
      <c r="BJ116" s="287">
        <f>+COEF_MTLLOC_INSTALL</f>
        <v>1.1499999999999999</v>
      </c>
      <c r="BK116" s="286">
        <v>0</v>
      </c>
      <c r="BL116" s="130">
        <f>IF(AQ116&gt;0,(BK116*AE116),0)</f>
        <v>0</v>
      </c>
      <c r="BM116" s="287">
        <f>+COEF_MTLAMR_INSTALL</f>
        <v>1.3</v>
      </c>
      <c r="BN116" s="286">
        <v>0</v>
      </c>
      <c r="BO116" s="130">
        <f>IF(AQ116&gt;0,(BN116*AE116),0)</f>
        <v>0</v>
      </c>
      <c r="BP116" s="287">
        <f>+COEF_ST1_INSTALL</f>
        <v>1.1100000000000001</v>
      </c>
      <c r="BQ116" s="286">
        <v>355</v>
      </c>
      <c r="BR116" s="130">
        <f>IF(AQ116&gt;0,(BQ116*AE116),0)</f>
        <v>1065</v>
      </c>
      <c r="BS116" s="287">
        <f>+COEF_ST2_INSTALL</f>
        <v>1.1100000000000001</v>
      </c>
      <c r="BT116" s="286">
        <v>0</v>
      </c>
      <c r="BU116" s="130">
        <f>IF(AQ116&gt;0,(BT116*AE116),0)</f>
        <v>0</v>
      </c>
      <c r="BV116" s="130">
        <f>+(((AX116)*AV116)+(BB116*BA116)+(BE116*BD116)+(BH116*BG116)+(BK116*BJ116)+(BN116*BM116)+(BQ116*BP116)+(BT116*BS116)+(BT116*BS116))-(AU116)</f>
        <v>39.050000000000011</v>
      </c>
      <c r="BW116" s="130">
        <f>+BV116*AE116</f>
        <v>117.15000000000003</v>
      </c>
      <c r="BX116" s="130">
        <f>AS116-(BW116+BU116+BR116+BO116+BL116+BI116+BF116+BC116+AZ116)</f>
        <v>0</v>
      </c>
      <c r="BY116" s="329"/>
    </row>
    <row r="117" spans="1:77" s="444" customFormat="1">
      <c r="B117" s="261"/>
      <c r="C117" s="237"/>
      <c r="D117" s="397"/>
      <c r="E117" s="110"/>
      <c r="F117" s="127" t="s">
        <v>427</v>
      </c>
      <c r="G117" s="17" t="s">
        <v>33</v>
      </c>
      <c r="H117" s="365">
        <f t="shared" ref="H117" si="420">+T117</f>
        <v>0</v>
      </c>
      <c r="I117" s="365">
        <f t="shared" si="401"/>
        <v>0</v>
      </c>
      <c r="J117" s="365">
        <f t="shared" si="402"/>
        <v>0</v>
      </c>
      <c r="K117" s="365">
        <f t="shared" si="403"/>
        <v>0</v>
      </c>
      <c r="L117" s="365">
        <f t="shared" si="404"/>
        <v>0</v>
      </c>
      <c r="M117" s="365">
        <f t="shared" si="405"/>
        <v>0</v>
      </c>
      <c r="N117" s="365">
        <f t="shared" si="406"/>
        <v>1</v>
      </c>
      <c r="O117" s="365">
        <f t="shared" si="407"/>
        <v>0</v>
      </c>
      <c r="P117" s="365">
        <f t="shared" si="408"/>
        <v>0</v>
      </c>
      <c r="Q117" s="365">
        <f t="shared" si="409"/>
        <v>0</v>
      </c>
      <c r="R117" s="365"/>
      <c r="S117" s="418">
        <f t="shared" ref="S117" si="421">SUM(T117:AC117)</f>
        <v>1</v>
      </c>
      <c r="T117" s="365">
        <f t="shared" si="410"/>
        <v>0</v>
      </c>
      <c r="U117" s="365">
        <f t="shared" si="411"/>
        <v>0</v>
      </c>
      <c r="V117" s="365">
        <f t="shared" si="412"/>
        <v>0</v>
      </c>
      <c r="W117" s="365">
        <f t="shared" si="413"/>
        <v>0</v>
      </c>
      <c r="X117" s="365">
        <f t="shared" si="414"/>
        <v>0</v>
      </c>
      <c r="Y117" s="365">
        <f t="shared" si="415"/>
        <v>0</v>
      </c>
      <c r="Z117" s="365">
        <f t="shared" si="416"/>
        <v>1</v>
      </c>
      <c r="AA117" s="365">
        <f t="shared" si="417"/>
        <v>0</v>
      </c>
      <c r="AB117" s="365">
        <f t="shared" si="418"/>
        <v>0</v>
      </c>
      <c r="AC117" s="365">
        <f t="shared" si="419"/>
        <v>0</v>
      </c>
      <c r="AD117" s="365"/>
      <c r="AE117" s="112">
        <f t="shared" ref="AE117" si="422">ROUND(SUM(AF117:AO117),ARRONDI_QT)</f>
        <v>1</v>
      </c>
      <c r="AF117" s="366">
        <v>0</v>
      </c>
      <c r="AG117" s="366">
        <v>0</v>
      </c>
      <c r="AH117" s="366">
        <v>0</v>
      </c>
      <c r="AI117" s="366">
        <v>0</v>
      </c>
      <c r="AJ117" s="366">
        <v>0</v>
      </c>
      <c r="AK117" s="366">
        <v>0</v>
      </c>
      <c r="AL117" s="366">
        <v>1</v>
      </c>
      <c r="AM117" s="366">
        <v>0</v>
      </c>
      <c r="AN117" s="366">
        <v>0</v>
      </c>
      <c r="AO117" s="366">
        <v>0</v>
      </c>
      <c r="AP117" s="365"/>
      <c r="AQ117" s="439">
        <f t="shared" ref="AQ117" si="423">SUM(H117:Q117)</f>
        <v>1</v>
      </c>
      <c r="AR117" s="439">
        <f t="shared" ref="AR117" si="424">ROUND(AU117+BV117,ARRONDI_PU)</f>
        <v>884.19299999999998</v>
      </c>
      <c r="AS117" s="440">
        <f t="shared" ref="AS117" si="425">+AR117*AQ117</f>
        <v>884.19299999999998</v>
      </c>
      <c r="AT117" s="255"/>
      <c r="AU117" s="130">
        <f t="shared" ref="AU117" si="426">+AX117+BB117+BE117+BH117+BK117+BN117+BQ117+BT117</f>
        <v>796.57</v>
      </c>
      <c r="AV117" s="285">
        <f t="shared" ref="AV117" si="427">+COEF_MO_INSTALL</f>
        <v>1.3</v>
      </c>
      <c r="AW117" s="286">
        <v>0</v>
      </c>
      <c r="AX117" s="130">
        <f t="shared" ref="AX117" si="428">+AW117*TH_INSTALL</f>
        <v>0</v>
      </c>
      <c r="AY117" s="130">
        <f t="shared" ref="AY117" si="429">+AW117*AE117</f>
        <v>0</v>
      </c>
      <c r="AZ117" s="130">
        <f t="shared" ref="AZ117" si="430">IF(AQ117&gt;0,(AX117*AE117),0)</f>
        <v>0</v>
      </c>
      <c r="BA117" s="285">
        <f t="shared" ref="BA117" si="431">+COEF_FOUR1_INSTALL</f>
        <v>1.3</v>
      </c>
      <c r="BB117" s="286">
        <v>0</v>
      </c>
      <c r="BC117" s="130">
        <f t="shared" ref="BC117" si="432">IF(AQ117&gt;0,(BB117*AE117),0)</f>
        <v>0</v>
      </c>
      <c r="BD117" s="285">
        <f t="shared" ref="BD117" si="433">+COEF_FOUR2_INSTALL</f>
        <v>1.3</v>
      </c>
      <c r="BE117" s="286">
        <v>0</v>
      </c>
      <c r="BF117" s="130">
        <f t="shared" ref="BF117" si="434">IF(AQ117&gt;0,(BE117*AE117),0)</f>
        <v>0</v>
      </c>
      <c r="BG117" s="285">
        <f t="shared" ref="BG117" si="435">+COEF_FOUR3_INSTALL</f>
        <v>1.3</v>
      </c>
      <c r="BH117" s="286">
        <v>0</v>
      </c>
      <c r="BI117" s="130">
        <f t="shared" ref="BI117" si="436">IF(AQ117&gt;0,(BH117*AE117),0)</f>
        <v>0</v>
      </c>
      <c r="BJ117" s="287">
        <f t="shared" ref="BJ117" si="437">+COEF_MTLLOC_INSTALL</f>
        <v>1.1499999999999999</v>
      </c>
      <c r="BK117" s="286">
        <v>0</v>
      </c>
      <c r="BL117" s="130">
        <f t="shared" ref="BL117" si="438">IF(AQ117&gt;0,(BK117*AE117),0)</f>
        <v>0</v>
      </c>
      <c r="BM117" s="287">
        <f t="shared" ref="BM117" si="439">+COEF_MTLAMR_INSTALL</f>
        <v>1.3</v>
      </c>
      <c r="BN117" s="286">
        <v>0</v>
      </c>
      <c r="BO117" s="130">
        <f t="shared" ref="BO117" si="440">IF(AQ117&gt;0,(BN117*AE117),0)</f>
        <v>0</v>
      </c>
      <c r="BP117" s="287">
        <f t="shared" ref="BP117" si="441">+COEF_ST1_INSTALL</f>
        <v>1.1100000000000001</v>
      </c>
      <c r="BQ117" s="286">
        <v>796.57</v>
      </c>
      <c r="BR117" s="130">
        <f t="shared" ref="BR117" si="442">IF(AQ117&gt;0,(BQ117*AE117),0)</f>
        <v>796.57</v>
      </c>
      <c r="BS117" s="287">
        <f t="shared" ref="BS117" si="443">+COEF_ST2_INSTALL</f>
        <v>1.1100000000000001</v>
      </c>
      <c r="BT117" s="286">
        <v>0</v>
      </c>
      <c r="BU117" s="130">
        <f t="shared" ref="BU117" si="444">IF(AQ117&gt;0,(BT117*AE117),0)</f>
        <v>0</v>
      </c>
      <c r="BV117" s="130">
        <f t="shared" ref="BV117" si="445">+(((AX117)*AV117)+(BB117*BA117)+(BE117*BD117)+(BH117*BG117)+(BK117*BJ117)+(BN117*BM117)+(BQ117*BP117)+(BT117*BS117)+(BT117*BS117))-(AU117)</f>
        <v>87.622700000000123</v>
      </c>
      <c r="BW117" s="130">
        <f t="shared" ref="BW117" si="446">+BV117*AE117</f>
        <v>87.622700000000123</v>
      </c>
      <c r="BX117" s="130">
        <f t="shared" ref="BX117" si="447">AS117-(BW117+BU117+BR117+BO117+BL117+BI117+BF117+BC117+AZ117)</f>
        <v>2.99999999811007E-4</v>
      </c>
      <c r="BY117" s="329"/>
    </row>
    <row r="118" spans="1:77" s="327" customFormat="1">
      <c r="A118" s="392"/>
      <c r="B118" s="261"/>
      <c r="C118" s="237"/>
      <c r="D118" s="397"/>
      <c r="E118" s="110" t="s">
        <v>204</v>
      </c>
      <c r="F118" s="127" t="s">
        <v>347</v>
      </c>
      <c r="G118" s="17" t="s">
        <v>107</v>
      </c>
      <c r="H118" s="365">
        <f>+T118</f>
        <v>0</v>
      </c>
      <c r="I118" s="365">
        <f t="shared" ref="I118:O120" si="448">+U118</f>
        <v>0</v>
      </c>
      <c r="J118" s="365">
        <f t="shared" si="448"/>
        <v>0</v>
      </c>
      <c r="K118" s="365">
        <f t="shared" si="448"/>
        <v>0</v>
      </c>
      <c r="L118" s="365">
        <f t="shared" si="448"/>
        <v>0</v>
      </c>
      <c r="M118" s="365">
        <f t="shared" si="448"/>
        <v>0</v>
      </c>
      <c r="N118" s="365">
        <f t="shared" si="448"/>
        <v>90</v>
      </c>
      <c r="O118" s="365">
        <f t="shared" si="448"/>
        <v>0</v>
      </c>
      <c r="P118" s="365">
        <f t="shared" ref="P118:Q120" si="449">+AB118</f>
        <v>0</v>
      </c>
      <c r="Q118" s="365">
        <f t="shared" si="449"/>
        <v>0</v>
      </c>
      <c r="R118" s="365"/>
      <c r="S118" s="418">
        <f>SUM(T118:AC118)</f>
        <v>90</v>
      </c>
      <c r="T118" s="365">
        <f t="shared" si="410"/>
        <v>0</v>
      </c>
      <c r="U118" s="365">
        <f t="shared" si="410"/>
        <v>0</v>
      </c>
      <c r="V118" s="365">
        <f t="shared" si="410"/>
        <v>0</v>
      </c>
      <c r="W118" s="365">
        <f t="shared" si="410"/>
        <v>0</v>
      </c>
      <c r="X118" s="365">
        <f t="shared" si="410"/>
        <v>0</v>
      </c>
      <c r="Y118" s="365">
        <f t="shared" si="410"/>
        <v>0</v>
      </c>
      <c r="Z118" s="365">
        <f t="shared" si="410"/>
        <v>90</v>
      </c>
      <c r="AA118" s="365">
        <f t="shared" si="410"/>
        <v>0</v>
      </c>
      <c r="AB118" s="365">
        <f t="shared" si="410"/>
        <v>0</v>
      </c>
      <c r="AC118" s="365">
        <f t="shared" si="410"/>
        <v>0</v>
      </c>
      <c r="AD118" s="365"/>
      <c r="AE118" s="112">
        <f>ROUND(SUM(AF118:AO118),ARRONDI_QT)</f>
        <v>90</v>
      </c>
      <c r="AF118" s="366">
        <v>0</v>
      </c>
      <c r="AG118" s="366">
        <v>0</v>
      </c>
      <c r="AH118" s="366">
        <v>0</v>
      </c>
      <c r="AI118" s="366">
        <v>0</v>
      </c>
      <c r="AJ118" s="366">
        <v>0</v>
      </c>
      <c r="AK118" s="366">
        <v>0</v>
      </c>
      <c r="AL118" s="366">
        <v>90</v>
      </c>
      <c r="AM118" s="366">
        <v>0</v>
      </c>
      <c r="AN118" s="366">
        <v>0</v>
      </c>
      <c r="AO118" s="366">
        <v>0</v>
      </c>
      <c r="AP118" s="365"/>
      <c r="AQ118" s="439">
        <f>SUM(H118:Q118)</f>
        <v>90</v>
      </c>
      <c r="AR118" s="439">
        <f>ROUND(AU118+BV118,ARRONDI_PU)</f>
        <v>94.905000000000001</v>
      </c>
      <c r="AS118" s="440">
        <f>+AR118*AQ118</f>
        <v>8541.4500000000007</v>
      </c>
      <c r="AT118" s="255"/>
      <c r="AU118" s="130">
        <f>+AX118+BB118+BE118+BH118+BK118+BN118+BQ118+BT118</f>
        <v>85.5</v>
      </c>
      <c r="AV118" s="285">
        <f>+COEF_MO_INSTALL</f>
        <v>1.3</v>
      </c>
      <c r="AW118" s="286">
        <v>0</v>
      </c>
      <c r="AX118" s="130">
        <f>+AW118*TH_INSTALL</f>
        <v>0</v>
      </c>
      <c r="AY118" s="130">
        <f>+AW118*AE118</f>
        <v>0</v>
      </c>
      <c r="AZ118" s="130">
        <f>IF(AQ118&gt;0,(AX118*AE118),0)</f>
        <v>0</v>
      </c>
      <c r="BA118" s="285">
        <f>+COEF_FOUR1_INSTALL</f>
        <v>1.3</v>
      </c>
      <c r="BB118" s="286">
        <v>0</v>
      </c>
      <c r="BC118" s="130">
        <f>IF(AQ118&gt;0,(BB118*AE118),0)</f>
        <v>0</v>
      </c>
      <c r="BD118" s="285">
        <f>+COEF_FOUR2_INSTALL</f>
        <v>1.3</v>
      </c>
      <c r="BE118" s="286">
        <v>0</v>
      </c>
      <c r="BF118" s="130">
        <f>IF(AQ118&gt;0,(BE118*AE118),0)</f>
        <v>0</v>
      </c>
      <c r="BG118" s="285">
        <f>+COEF_FOUR3_INSTALL</f>
        <v>1.3</v>
      </c>
      <c r="BH118" s="286">
        <v>0</v>
      </c>
      <c r="BI118" s="130">
        <f>IF(AQ118&gt;0,(BH118*AE118),0)</f>
        <v>0</v>
      </c>
      <c r="BJ118" s="287">
        <f>+COEF_MTLLOC_INSTALL</f>
        <v>1.1499999999999999</v>
      </c>
      <c r="BK118" s="286">
        <v>0</v>
      </c>
      <c r="BL118" s="130">
        <f>IF(AQ118&gt;0,(BK118*AE118),0)</f>
        <v>0</v>
      </c>
      <c r="BM118" s="287">
        <f>+COEF_MTLAMR_INSTALL</f>
        <v>1.3</v>
      </c>
      <c r="BN118" s="286">
        <v>0</v>
      </c>
      <c r="BO118" s="130">
        <f>IF(AQ118&gt;0,(BN118*AE118),0)</f>
        <v>0</v>
      </c>
      <c r="BP118" s="287">
        <f>+COEF_ST1_INSTALL</f>
        <v>1.1100000000000001</v>
      </c>
      <c r="BQ118" s="286">
        <v>85.5</v>
      </c>
      <c r="BR118" s="130">
        <f>IF(AQ118&gt;0,(BQ118*AE118),0)</f>
        <v>7695</v>
      </c>
      <c r="BS118" s="287">
        <f>+COEF_ST2_INSTALL</f>
        <v>1.1100000000000001</v>
      </c>
      <c r="BT118" s="286">
        <v>0</v>
      </c>
      <c r="BU118" s="130">
        <f>IF(AQ118&gt;0,(BT118*AE118),0)</f>
        <v>0</v>
      </c>
      <c r="BV118" s="130">
        <f>+(((AX118)*AV118)+(BB118*BA118)+(BE118*BD118)+(BH118*BG118)+(BK118*BJ118)+(BN118*BM118)+(BQ118*BP118)+(BT118*BS118)+(BT118*BS118))-(AU118)</f>
        <v>9.4050000000000153</v>
      </c>
      <c r="BW118" s="130">
        <f>+BV118*AE118</f>
        <v>846.45000000000141</v>
      </c>
      <c r="BX118" s="130">
        <f>AS118-(BW118+BU118+BR118+BO118+BL118+BI118+BF118+BC118+AZ118)</f>
        <v>0</v>
      </c>
      <c r="BY118" s="329"/>
    </row>
    <row r="119" spans="1:77" s="327" customFormat="1">
      <c r="A119" s="392"/>
      <c r="B119" s="261"/>
      <c r="C119" s="237"/>
      <c r="D119" s="397"/>
      <c r="E119" s="110" t="s">
        <v>205</v>
      </c>
      <c r="F119" s="127" t="s">
        <v>412</v>
      </c>
      <c r="G119" s="17" t="s">
        <v>105</v>
      </c>
      <c r="H119" s="365">
        <f>+T119</f>
        <v>0</v>
      </c>
      <c r="I119" s="365">
        <f t="shared" si="448"/>
        <v>0</v>
      </c>
      <c r="J119" s="365">
        <f t="shared" si="448"/>
        <v>0</v>
      </c>
      <c r="K119" s="365">
        <f t="shared" si="448"/>
        <v>0</v>
      </c>
      <c r="L119" s="365">
        <f t="shared" si="448"/>
        <v>0</v>
      </c>
      <c r="M119" s="365">
        <f t="shared" si="448"/>
        <v>0</v>
      </c>
      <c r="N119" s="365">
        <f t="shared" si="448"/>
        <v>1</v>
      </c>
      <c r="O119" s="365">
        <f t="shared" si="448"/>
        <v>0</v>
      </c>
      <c r="P119" s="365">
        <f t="shared" si="449"/>
        <v>0</v>
      </c>
      <c r="Q119" s="365">
        <f t="shared" si="449"/>
        <v>0</v>
      </c>
      <c r="R119" s="365"/>
      <c r="S119" s="418">
        <f>SUM(T119:AC119)</f>
        <v>1</v>
      </c>
      <c r="T119" s="365">
        <f t="shared" si="410"/>
        <v>0</v>
      </c>
      <c r="U119" s="365">
        <f t="shared" si="410"/>
        <v>0</v>
      </c>
      <c r="V119" s="365">
        <f t="shared" si="410"/>
        <v>0</v>
      </c>
      <c r="W119" s="365">
        <f t="shared" si="410"/>
        <v>0</v>
      </c>
      <c r="X119" s="365">
        <f t="shared" si="410"/>
        <v>0</v>
      </c>
      <c r="Y119" s="365">
        <f t="shared" si="410"/>
        <v>0</v>
      </c>
      <c r="Z119" s="365">
        <f t="shared" si="410"/>
        <v>1</v>
      </c>
      <c r="AA119" s="365">
        <f t="shared" si="410"/>
        <v>0</v>
      </c>
      <c r="AB119" s="365">
        <f t="shared" si="410"/>
        <v>0</v>
      </c>
      <c r="AC119" s="365">
        <f t="shared" si="410"/>
        <v>0</v>
      </c>
      <c r="AD119" s="365"/>
      <c r="AE119" s="112">
        <f>ROUND(SUM(AF119:AO119),ARRONDI_QT)</f>
        <v>1</v>
      </c>
      <c r="AF119" s="366">
        <v>0</v>
      </c>
      <c r="AG119" s="366">
        <v>0</v>
      </c>
      <c r="AH119" s="366">
        <v>0</v>
      </c>
      <c r="AI119" s="366">
        <v>0</v>
      </c>
      <c r="AJ119" s="366">
        <v>0</v>
      </c>
      <c r="AK119" s="366">
        <v>0</v>
      </c>
      <c r="AL119" s="366">
        <v>1</v>
      </c>
      <c r="AM119" s="366">
        <v>0</v>
      </c>
      <c r="AN119" s="366">
        <v>0</v>
      </c>
      <c r="AO119" s="366">
        <v>0</v>
      </c>
      <c r="AP119" s="365"/>
      <c r="AQ119" s="439">
        <f>SUM(H119:Q119)</f>
        <v>1</v>
      </c>
      <c r="AR119" s="439">
        <f>ROUND(AU119+BV119,ARRONDI_PU)</f>
        <v>3996</v>
      </c>
      <c r="AS119" s="440">
        <f>+AR119*AQ119</f>
        <v>3996</v>
      </c>
      <c r="AT119" s="255"/>
      <c r="AU119" s="130">
        <f>+AX119+BB119+BE119+BH119+BK119+BN119+BQ119+BT119</f>
        <v>3600</v>
      </c>
      <c r="AV119" s="285">
        <f>+COEF_MO_INSTALL</f>
        <v>1.3</v>
      </c>
      <c r="AW119" s="286">
        <v>0</v>
      </c>
      <c r="AX119" s="130">
        <f>+AW119*TH_INSTALL</f>
        <v>0</v>
      </c>
      <c r="AY119" s="130">
        <f>+AW119*AE119</f>
        <v>0</v>
      </c>
      <c r="AZ119" s="130">
        <f>IF(AQ119&gt;0,(AX119*AE119),0)</f>
        <v>0</v>
      </c>
      <c r="BA119" s="285">
        <f>+COEF_FOUR1_INSTALL</f>
        <v>1.3</v>
      </c>
      <c r="BB119" s="286">
        <v>0</v>
      </c>
      <c r="BC119" s="130">
        <f>IF(AQ119&gt;0,(BB119*AE119),0)</f>
        <v>0</v>
      </c>
      <c r="BD119" s="285">
        <f>+COEF_FOUR2_INSTALL</f>
        <v>1.3</v>
      </c>
      <c r="BE119" s="286">
        <v>0</v>
      </c>
      <c r="BF119" s="130">
        <f>IF(AQ119&gt;0,(BE119*AE119),0)</f>
        <v>0</v>
      </c>
      <c r="BG119" s="285">
        <f>+COEF_FOUR3_INSTALL</f>
        <v>1.3</v>
      </c>
      <c r="BH119" s="286">
        <v>0</v>
      </c>
      <c r="BI119" s="130">
        <f>IF(AQ119&gt;0,(BH119*AE119),0)</f>
        <v>0</v>
      </c>
      <c r="BJ119" s="287">
        <f>+COEF_MTLLOC_INSTALL</f>
        <v>1.1499999999999999</v>
      </c>
      <c r="BK119" s="286">
        <v>0</v>
      </c>
      <c r="BL119" s="130">
        <f>IF(AQ119&gt;0,(BK119*AE119),0)</f>
        <v>0</v>
      </c>
      <c r="BM119" s="287">
        <f>+COEF_MTLAMR_INSTALL</f>
        <v>1.3</v>
      </c>
      <c r="BN119" s="286">
        <v>0</v>
      </c>
      <c r="BO119" s="130">
        <f>IF(AQ119&gt;0,(BN119*AE119),0)</f>
        <v>0</v>
      </c>
      <c r="BP119" s="287">
        <f>+COEF_ST1_INSTALL</f>
        <v>1.1100000000000001</v>
      </c>
      <c r="BQ119" s="286">
        <v>3600</v>
      </c>
      <c r="BR119" s="130">
        <f>IF(AQ119&gt;0,(BQ119*AE119),0)</f>
        <v>3600</v>
      </c>
      <c r="BS119" s="287">
        <f>+COEF_ST2_INSTALL</f>
        <v>1.1100000000000001</v>
      </c>
      <c r="BT119" s="286">
        <v>0</v>
      </c>
      <c r="BU119" s="130">
        <f>IF(AQ119&gt;0,(BT119*AE119),0)</f>
        <v>0</v>
      </c>
      <c r="BV119" s="130">
        <f>+(((AX119)*AV119)+(BB119*BA119)+(BE119*BD119)+(BH119*BG119)+(BK119*BJ119)+(BN119*BM119)+(BQ119*BP119)+(BT119*BS119)+(BT119*BS119))-(AU119)</f>
        <v>396.00000000000045</v>
      </c>
      <c r="BW119" s="130">
        <f>+BV119*AE119</f>
        <v>396.00000000000045</v>
      </c>
      <c r="BX119" s="130">
        <f>AS119-(BW119+BU119+BR119+BO119+BL119+BI119+BF119+BC119+AZ119)</f>
        <v>0</v>
      </c>
      <c r="BY119" s="329"/>
    </row>
    <row r="120" spans="1:77" s="327" customFormat="1">
      <c r="A120" s="392"/>
      <c r="B120" s="261"/>
      <c r="C120" s="237"/>
      <c r="D120" s="397"/>
      <c r="E120" s="110" t="s">
        <v>206</v>
      </c>
      <c r="F120" s="127" t="s">
        <v>240</v>
      </c>
      <c r="G120" s="17" t="s">
        <v>107</v>
      </c>
      <c r="H120" s="365">
        <f>+T120</f>
        <v>0</v>
      </c>
      <c r="I120" s="365">
        <f t="shared" si="448"/>
        <v>0</v>
      </c>
      <c r="J120" s="365">
        <f t="shared" si="448"/>
        <v>0</v>
      </c>
      <c r="K120" s="365">
        <f t="shared" si="448"/>
        <v>0</v>
      </c>
      <c r="L120" s="365">
        <f t="shared" si="448"/>
        <v>0</v>
      </c>
      <c r="M120" s="365">
        <f t="shared" si="448"/>
        <v>0</v>
      </c>
      <c r="N120" s="365">
        <f t="shared" si="448"/>
        <v>90</v>
      </c>
      <c r="O120" s="365">
        <f t="shared" si="448"/>
        <v>0</v>
      </c>
      <c r="P120" s="365">
        <f t="shared" si="449"/>
        <v>0</v>
      </c>
      <c r="Q120" s="365">
        <f t="shared" si="449"/>
        <v>0</v>
      </c>
      <c r="R120" s="365"/>
      <c r="S120" s="418">
        <f>SUM(T120:AC120)</f>
        <v>90</v>
      </c>
      <c r="T120" s="365">
        <f t="shared" si="410"/>
        <v>0</v>
      </c>
      <c r="U120" s="365">
        <f t="shared" si="410"/>
        <v>0</v>
      </c>
      <c r="V120" s="365">
        <f t="shared" si="410"/>
        <v>0</v>
      </c>
      <c r="W120" s="365">
        <f t="shared" si="410"/>
        <v>0</v>
      </c>
      <c r="X120" s="365">
        <f t="shared" si="410"/>
        <v>0</v>
      </c>
      <c r="Y120" s="365">
        <f t="shared" si="410"/>
        <v>0</v>
      </c>
      <c r="Z120" s="365">
        <f t="shared" si="410"/>
        <v>90</v>
      </c>
      <c r="AA120" s="365">
        <f t="shared" si="410"/>
        <v>0</v>
      </c>
      <c r="AB120" s="365">
        <f t="shared" si="410"/>
        <v>0</v>
      </c>
      <c r="AC120" s="365">
        <f t="shared" si="410"/>
        <v>0</v>
      </c>
      <c r="AD120" s="365"/>
      <c r="AE120" s="112">
        <f>ROUND(SUM(AF120:AO120),ARRONDI_QT)</f>
        <v>90</v>
      </c>
      <c r="AF120" s="366">
        <v>0</v>
      </c>
      <c r="AG120" s="366">
        <v>0</v>
      </c>
      <c r="AH120" s="366">
        <v>0</v>
      </c>
      <c r="AI120" s="366">
        <v>0</v>
      </c>
      <c r="AJ120" s="366">
        <v>0</v>
      </c>
      <c r="AK120" s="366">
        <v>0</v>
      </c>
      <c r="AL120" s="366">
        <v>90</v>
      </c>
      <c r="AM120" s="366">
        <v>0</v>
      </c>
      <c r="AN120" s="366">
        <v>0</v>
      </c>
      <c r="AO120" s="366">
        <v>0</v>
      </c>
      <c r="AP120" s="365"/>
      <c r="AQ120" s="439">
        <f>SUM(H120:Q120)</f>
        <v>90</v>
      </c>
      <c r="AR120" s="439">
        <f>ROUND(AU120+BV120,ARRONDI_PU)</f>
        <v>16.428000000000001</v>
      </c>
      <c r="AS120" s="440">
        <f>+AR120*AQ120</f>
        <v>1478.52</v>
      </c>
      <c r="AT120" s="255"/>
      <c r="AU120" s="130">
        <f>+AX120+BB120+BE120+BH120+BK120+BN120+BQ120+BT120</f>
        <v>14.8</v>
      </c>
      <c r="AV120" s="285">
        <f>+COEF_MO_INSTALL</f>
        <v>1.3</v>
      </c>
      <c r="AW120" s="286">
        <v>0</v>
      </c>
      <c r="AX120" s="130">
        <f>+AW120*TH_INSTALL</f>
        <v>0</v>
      </c>
      <c r="AY120" s="130">
        <f>+AW120*AE120</f>
        <v>0</v>
      </c>
      <c r="AZ120" s="130">
        <f>IF(AQ120&gt;0,(AX120*AE120),0)</f>
        <v>0</v>
      </c>
      <c r="BA120" s="285">
        <f>+COEF_FOUR1_INSTALL</f>
        <v>1.3</v>
      </c>
      <c r="BB120" s="286">
        <v>0</v>
      </c>
      <c r="BC120" s="130">
        <f>IF(AQ120&gt;0,(BB120*AE120),0)</f>
        <v>0</v>
      </c>
      <c r="BD120" s="285">
        <f>+COEF_FOUR2_INSTALL</f>
        <v>1.3</v>
      </c>
      <c r="BE120" s="286">
        <v>0</v>
      </c>
      <c r="BF120" s="130">
        <f>IF(AQ120&gt;0,(BE120*AE120),0)</f>
        <v>0</v>
      </c>
      <c r="BG120" s="285">
        <f>+COEF_FOUR3_INSTALL</f>
        <v>1.3</v>
      </c>
      <c r="BH120" s="286">
        <v>0</v>
      </c>
      <c r="BI120" s="130">
        <f>IF(AQ120&gt;0,(BH120*AE120),0)</f>
        <v>0</v>
      </c>
      <c r="BJ120" s="287">
        <f>+COEF_MTLLOC_INSTALL</f>
        <v>1.1499999999999999</v>
      </c>
      <c r="BK120" s="286">
        <v>0</v>
      </c>
      <c r="BL120" s="130">
        <f>IF(AQ120&gt;0,(BK120*AE120),0)</f>
        <v>0</v>
      </c>
      <c r="BM120" s="287">
        <f>+COEF_MTLAMR_INSTALL</f>
        <v>1.3</v>
      </c>
      <c r="BN120" s="286">
        <v>0</v>
      </c>
      <c r="BO120" s="130">
        <f>IF(AQ120&gt;0,(BN120*AE120),0)</f>
        <v>0</v>
      </c>
      <c r="BP120" s="287">
        <f>+COEF_ST1_INSTALL</f>
        <v>1.1100000000000001</v>
      </c>
      <c r="BQ120" s="286">
        <v>14.8</v>
      </c>
      <c r="BR120" s="130">
        <f>IF(AQ120&gt;0,(BQ120*AE120),0)</f>
        <v>1332</v>
      </c>
      <c r="BS120" s="287">
        <f>+COEF_ST2_INSTALL</f>
        <v>1.1100000000000001</v>
      </c>
      <c r="BT120" s="286">
        <v>0</v>
      </c>
      <c r="BU120" s="130">
        <f>IF(AQ120&gt;0,(BT120*AE120),0)</f>
        <v>0</v>
      </c>
      <c r="BV120" s="130">
        <f>+(((AX120)*AV120)+(BB120*BA120)+(BE120*BD120)+(BH120*BG120)+(BK120*BJ120)+(BN120*BM120)+(BQ120*BP120)+(BT120*BS120)+(BT120*BS120))-(AU120)</f>
        <v>1.6280000000000001</v>
      </c>
      <c r="BW120" s="130">
        <f>+BV120*AE120</f>
        <v>146.52000000000001</v>
      </c>
      <c r="BX120" s="130">
        <f>AS120-(BW120+BU120+BR120+BO120+BL120+BI120+BF120+BC120+AZ120)</f>
        <v>0</v>
      </c>
      <c r="BY120" s="329"/>
    </row>
    <row r="121" spans="1:77" s="327" customFormat="1" ht="10.9" customHeight="1">
      <c r="A121" s="392"/>
      <c r="B121" s="261"/>
      <c r="C121" s="237"/>
      <c r="D121" s="397"/>
      <c r="E121" s="110"/>
      <c r="F121" s="127"/>
      <c r="G121" s="17"/>
      <c r="H121" s="276"/>
      <c r="I121" s="276"/>
      <c r="J121" s="276"/>
      <c r="K121" s="276"/>
      <c r="L121" s="276"/>
      <c r="M121" s="276"/>
      <c r="N121" s="276"/>
      <c r="O121" s="276"/>
      <c r="P121" s="276"/>
      <c r="Q121" s="276"/>
      <c r="R121" s="276"/>
      <c r="S121" s="418"/>
      <c r="T121" s="112"/>
      <c r="U121" s="112"/>
      <c r="V121" s="112"/>
      <c r="W121" s="112"/>
      <c r="X121" s="112"/>
      <c r="Y121" s="112"/>
      <c r="Z121" s="112"/>
      <c r="AA121" s="112"/>
      <c r="AB121" s="112"/>
      <c r="AC121" s="112"/>
      <c r="AD121" s="276"/>
      <c r="AE121" s="112"/>
      <c r="AF121" s="129"/>
      <c r="AG121" s="129"/>
      <c r="AH121" s="129"/>
      <c r="AI121" s="129"/>
      <c r="AJ121" s="129"/>
      <c r="AK121" s="129"/>
      <c r="AL121" s="129"/>
      <c r="AM121" s="129"/>
      <c r="AN121" s="129"/>
      <c r="AO121" s="129"/>
      <c r="AP121" s="276"/>
      <c r="AQ121" s="439"/>
      <c r="AR121" s="439"/>
      <c r="AS121" s="440"/>
      <c r="AT121" s="255"/>
      <c r="AU121" s="130"/>
      <c r="AV121" s="285"/>
      <c r="AW121" s="286"/>
      <c r="AX121" s="130"/>
      <c r="AY121" s="130"/>
      <c r="AZ121" s="130"/>
      <c r="BA121" s="285"/>
      <c r="BB121" s="286"/>
      <c r="BC121" s="130"/>
      <c r="BD121" s="285"/>
      <c r="BE121" s="286"/>
      <c r="BF121" s="130"/>
      <c r="BG121" s="285"/>
      <c r="BH121" s="286"/>
      <c r="BI121" s="130"/>
      <c r="BJ121" s="287"/>
      <c r="BK121" s="286"/>
      <c r="BL121" s="130"/>
      <c r="BM121" s="287"/>
      <c r="BN121" s="286"/>
      <c r="BO121" s="130"/>
      <c r="BP121" s="287"/>
      <c r="BQ121" s="286"/>
      <c r="BR121" s="130"/>
      <c r="BS121" s="287"/>
      <c r="BT121" s="286"/>
      <c r="BU121" s="130"/>
      <c r="BV121" s="130"/>
      <c r="BW121" s="130"/>
      <c r="BX121" s="130"/>
      <c r="BY121" s="256"/>
    </row>
    <row r="122" spans="1:77" s="327" customFormat="1">
      <c r="A122" s="392"/>
      <c r="B122" s="261"/>
      <c r="C122" s="237"/>
      <c r="D122" s="397"/>
      <c r="E122" s="110" t="s">
        <v>207</v>
      </c>
      <c r="F122" s="127" t="s">
        <v>208</v>
      </c>
      <c r="G122" s="17"/>
      <c r="H122" s="276"/>
      <c r="I122" s="276"/>
      <c r="J122" s="276"/>
      <c r="K122" s="276"/>
      <c r="L122" s="276"/>
      <c r="M122" s="276"/>
      <c r="N122" s="276"/>
      <c r="O122" s="276"/>
      <c r="P122" s="276"/>
      <c r="Q122" s="276"/>
      <c r="R122" s="276"/>
      <c r="S122" s="418"/>
      <c r="T122" s="112"/>
      <c r="U122" s="112"/>
      <c r="V122" s="112"/>
      <c r="W122" s="112"/>
      <c r="X122" s="112"/>
      <c r="Y122" s="112"/>
      <c r="Z122" s="112"/>
      <c r="AA122" s="112"/>
      <c r="AB122" s="112"/>
      <c r="AC122" s="112"/>
      <c r="AD122" s="276"/>
      <c r="AE122" s="112"/>
      <c r="AF122" s="129"/>
      <c r="AG122" s="129"/>
      <c r="AH122" s="129"/>
      <c r="AI122" s="129"/>
      <c r="AJ122" s="129"/>
      <c r="AK122" s="129"/>
      <c r="AL122" s="129"/>
      <c r="AM122" s="129"/>
      <c r="AN122" s="129"/>
      <c r="AO122" s="129"/>
      <c r="AP122" s="276"/>
      <c r="AQ122" s="439"/>
      <c r="AR122" s="439"/>
      <c r="AS122" s="440"/>
      <c r="AT122" s="255"/>
      <c r="AU122" s="130"/>
      <c r="AV122" s="285"/>
      <c r="AW122" s="286"/>
      <c r="AX122" s="130"/>
      <c r="AY122" s="130"/>
      <c r="AZ122" s="130"/>
      <c r="BA122" s="285"/>
      <c r="BB122" s="286"/>
      <c r="BC122" s="130"/>
      <c r="BD122" s="285"/>
      <c r="BE122" s="286"/>
      <c r="BF122" s="130"/>
      <c r="BG122" s="285"/>
      <c r="BH122" s="286"/>
      <c r="BI122" s="130"/>
      <c r="BJ122" s="287"/>
      <c r="BK122" s="286"/>
      <c r="BL122" s="130"/>
      <c r="BM122" s="287"/>
      <c r="BN122" s="286"/>
      <c r="BO122" s="130"/>
      <c r="BP122" s="287"/>
      <c r="BQ122" s="286"/>
      <c r="BR122" s="130"/>
      <c r="BS122" s="287"/>
      <c r="BT122" s="286"/>
      <c r="BU122" s="130"/>
      <c r="BV122" s="130"/>
      <c r="BW122" s="130"/>
      <c r="BX122" s="130"/>
      <c r="BY122" s="256"/>
    </row>
    <row r="123" spans="1:77" s="327" customFormat="1">
      <c r="A123" s="392"/>
      <c r="B123" s="261"/>
      <c r="C123" s="237"/>
      <c r="D123" s="397"/>
      <c r="E123" s="110" t="s">
        <v>209</v>
      </c>
      <c r="F123" s="127" t="s">
        <v>351</v>
      </c>
      <c r="G123" s="17" t="s">
        <v>108</v>
      </c>
      <c r="H123" s="365">
        <f t="shared" ref="H123:O125" si="450">+T123</f>
        <v>0</v>
      </c>
      <c r="I123" s="365">
        <f t="shared" si="450"/>
        <v>0</v>
      </c>
      <c r="J123" s="365">
        <f t="shared" si="450"/>
        <v>0</v>
      </c>
      <c r="K123" s="365">
        <f t="shared" si="450"/>
        <v>0</v>
      </c>
      <c r="L123" s="365">
        <f t="shared" si="450"/>
        <v>0</v>
      </c>
      <c r="M123" s="365">
        <f t="shared" si="450"/>
        <v>0</v>
      </c>
      <c r="N123" s="365">
        <f t="shared" si="450"/>
        <v>500</v>
      </c>
      <c r="O123" s="365">
        <f t="shared" si="450"/>
        <v>0</v>
      </c>
      <c r="P123" s="365">
        <f t="shared" ref="P123:Q125" si="451">+AB123</f>
        <v>0</v>
      </c>
      <c r="Q123" s="365">
        <f t="shared" si="451"/>
        <v>0</v>
      </c>
      <c r="R123" s="365"/>
      <c r="S123" s="418">
        <f>SUM(T123:AC123)</f>
        <v>500</v>
      </c>
      <c r="T123" s="365">
        <f t="shared" ref="T123:AC125" si="452">ROUND(AF123,ARRONDI_QT)</f>
        <v>0</v>
      </c>
      <c r="U123" s="365">
        <f t="shared" si="452"/>
        <v>0</v>
      </c>
      <c r="V123" s="365">
        <f t="shared" si="452"/>
        <v>0</v>
      </c>
      <c r="W123" s="365">
        <f t="shared" si="452"/>
        <v>0</v>
      </c>
      <c r="X123" s="365">
        <f t="shared" si="452"/>
        <v>0</v>
      </c>
      <c r="Y123" s="365">
        <f t="shared" si="452"/>
        <v>0</v>
      </c>
      <c r="Z123" s="365">
        <f t="shared" si="452"/>
        <v>500</v>
      </c>
      <c r="AA123" s="365">
        <f t="shared" si="452"/>
        <v>0</v>
      </c>
      <c r="AB123" s="365">
        <f t="shared" si="452"/>
        <v>0</v>
      </c>
      <c r="AC123" s="365">
        <f t="shared" si="452"/>
        <v>0</v>
      </c>
      <c r="AD123" s="365"/>
      <c r="AE123" s="112">
        <f>ROUND(SUM(AF123:AO123),ARRONDI_QT)</f>
        <v>500</v>
      </c>
      <c r="AF123" s="366">
        <v>0</v>
      </c>
      <c r="AG123" s="366">
        <v>0</v>
      </c>
      <c r="AH123" s="366">
        <v>0</v>
      </c>
      <c r="AI123" s="366">
        <v>0</v>
      </c>
      <c r="AJ123" s="366">
        <v>0</v>
      </c>
      <c r="AK123" s="366">
        <v>0</v>
      </c>
      <c r="AL123" s="366">
        <v>500</v>
      </c>
      <c r="AM123" s="366">
        <v>0</v>
      </c>
      <c r="AN123" s="366">
        <v>0</v>
      </c>
      <c r="AO123" s="366">
        <v>0</v>
      </c>
      <c r="AP123" s="365"/>
      <c r="AQ123" s="439">
        <f>SUM(H123:Q123)</f>
        <v>500</v>
      </c>
      <c r="AR123" s="439">
        <f>ROUND(AU123+BV123,ARRONDI_PU)</f>
        <v>16.649999999999999</v>
      </c>
      <c r="AS123" s="440">
        <f>+AR123*AQ123</f>
        <v>8325</v>
      </c>
      <c r="AT123" s="255"/>
      <c r="AU123" s="130">
        <f>+AX123+BB123+BE123+BH123+BK123+BN123+BQ123+BT123</f>
        <v>15</v>
      </c>
      <c r="AV123" s="285">
        <f>+COEF_MO_INSTALL</f>
        <v>1.3</v>
      </c>
      <c r="AW123" s="286">
        <v>0</v>
      </c>
      <c r="AX123" s="130">
        <f>+AW123*TH_INSTALL</f>
        <v>0</v>
      </c>
      <c r="AY123" s="130">
        <f>+AW123*AE123</f>
        <v>0</v>
      </c>
      <c r="AZ123" s="130">
        <f>IF(AQ123&gt;0,(AX123*AE123),0)</f>
        <v>0</v>
      </c>
      <c r="BA123" s="285">
        <f>+COEF_FOUR1_INSTALL</f>
        <v>1.3</v>
      </c>
      <c r="BB123" s="286">
        <v>0</v>
      </c>
      <c r="BC123" s="130">
        <f>IF(AQ123&gt;0,(BB123*AE123),0)</f>
        <v>0</v>
      </c>
      <c r="BD123" s="285">
        <f>+COEF_FOUR2_INSTALL</f>
        <v>1.3</v>
      </c>
      <c r="BE123" s="286">
        <v>0</v>
      </c>
      <c r="BF123" s="130">
        <f>IF(AQ123&gt;0,(BE123*AE123),0)</f>
        <v>0</v>
      </c>
      <c r="BG123" s="285">
        <f>+COEF_FOUR3_INSTALL</f>
        <v>1.3</v>
      </c>
      <c r="BH123" s="286">
        <v>0</v>
      </c>
      <c r="BI123" s="130">
        <f>IF(AQ123&gt;0,(BH123*AE123),0)</f>
        <v>0</v>
      </c>
      <c r="BJ123" s="287">
        <f>+COEF_MTLLOC_INSTALL</f>
        <v>1.1499999999999999</v>
      </c>
      <c r="BK123" s="286">
        <v>0</v>
      </c>
      <c r="BL123" s="130">
        <f>IF(AQ123&gt;0,(BK123*AE123),0)</f>
        <v>0</v>
      </c>
      <c r="BM123" s="287">
        <f>+COEF_MTLAMR_INSTALL</f>
        <v>1.3</v>
      </c>
      <c r="BN123" s="286">
        <v>0</v>
      </c>
      <c r="BO123" s="130">
        <f>IF(AQ123&gt;0,(BN123*AE123),0)</f>
        <v>0</v>
      </c>
      <c r="BP123" s="287">
        <f>+COEF_ST1_INSTALL</f>
        <v>1.1100000000000001</v>
      </c>
      <c r="BQ123" s="286">
        <v>15</v>
      </c>
      <c r="BR123" s="130">
        <f>IF(AQ123&gt;0,(BQ123*AE123),0)</f>
        <v>7500</v>
      </c>
      <c r="BS123" s="287">
        <f>+COEF_ST2_INSTALL</f>
        <v>1.1100000000000001</v>
      </c>
      <c r="BT123" s="286">
        <v>0</v>
      </c>
      <c r="BU123" s="130">
        <f>IF(AQ123&gt;0,(BT123*AE123),0)</f>
        <v>0</v>
      </c>
      <c r="BV123" s="130">
        <f>+(((AX123)*AV123)+(BB123*BA123)+(BE123*BD123)+(BH123*BG123)+(BK123*BJ123)+(BN123*BM123)+(BQ123*BP123)+(BT123*BS123)+(BT123*BS123))-(AU123)</f>
        <v>1.6500000000000021</v>
      </c>
      <c r="BW123" s="130">
        <f>+BV123*AE123</f>
        <v>825.00000000000102</v>
      </c>
      <c r="BX123" s="130">
        <f>AS123-(BW123+BU123+BR123+BO123+BL123+BI123+BF123+BC123+AZ123)</f>
        <v>0</v>
      </c>
      <c r="BY123" s="329"/>
    </row>
    <row r="124" spans="1:77" s="327" customFormat="1">
      <c r="A124" s="392"/>
      <c r="B124" s="261"/>
      <c r="C124" s="237"/>
      <c r="D124" s="397"/>
      <c r="E124" s="110" t="s">
        <v>210</v>
      </c>
      <c r="F124" s="429" t="s">
        <v>352</v>
      </c>
      <c r="G124" s="17" t="s">
        <v>105</v>
      </c>
      <c r="H124" s="365">
        <f t="shared" si="450"/>
        <v>0</v>
      </c>
      <c r="I124" s="365">
        <f t="shared" si="450"/>
        <v>0</v>
      </c>
      <c r="J124" s="365">
        <f t="shared" si="450"/>
        <v>0</v>
      </c>
      <c r="K124" s="365">
        <f t="shared" si="450"/>
        <v>0</v>
      </c>
      <c r="L124" s="365">
        <f t="shared" si="450"/>
        <v>0</v>
      </c>
      <c r="M124" s="365">
        <f t="shared" si="450"/>
        <v>0</v>
      </c>
      <c r="N124" s="365">
        <f t="shared" si="450"/>
        <v>1</v>
      </c>
      <c r="O124" s="365">
        <f t="shared" si="450"/>
        <v>0</v>
      </c>
      <c r="P124" s="365">
        <f t="shared" si="451"/>
        <v>0</v>
      </c>
      <c r="Q124" s="365">
        <f t="shared" si="451"/>
        <v>0</v>
      </c>
      <c r="R124" s="365"/>
      <c r="S124" s="418">
        <f>SUM(T124:AC124)</f>
        <v>1</v>
      </c>
      <c r="T124" s="365">
        <f t="shared" si="452"/>
        <v>0</v>
      </c>
      <c r="U124" s="365">
        <f t="shared" si="452"/>
        <v>0</v>
      </c>
      <c r="V124" s="365">
        <f t="shared" si="452"/>
        <v>0</v>
      </c>
      <c r="W124" s="365">
        <f t="shared" si="452"/>
        <v>0</v>
      </c>
      <c r="X124" s="365">
        <f t="shared" si="452"/>
        <v>0</v>
      </c>
      <c r="Y124" s="365">
        <f t="shared" si="452"/>
        <v>0</v>
      </c>
      <c r="Z124" s="365">
        <f t="shared" si="452"/>
        <v>1</v>
      </c>
      <c r="AA124" s="365">
        <f t="shared" si="452"/>
        <v>0</v>
      </c>
      <c r="AB124" s="365">
        <f t="shared" si="452"/>
        <v>0</v>
      </c>
      <c r="AC124" s="365">
        <f t="shared" si="452"/>
        <v>0</v>
      </c>
      <c r="AD124" s="365"/>
      <c r="AE124" s="112">
        <f>ROUND(SUM(AF124:AO124),ARRONDI_QT)</f>
        <v>1</v>
      </c>
      <c r="AF124" s="366">
        <v>0</v>
      </c>
      <c r="AG124" s="366">
        <v>0</v>
      </c>
      <c r="AH124" s="366">
        <v>0</v>
      </c>
      <c r="AI124" s="366">
        <v>0</v>
      </c>
      <c r="AJ124" s="366">
        <v>0</v>
      </c>
      <c r="AK124" s="366">
        <v>0</v>
      </c>
      <c r="AL124" s="366">
        <v>1</v>
      </c>
      <c r="AM124" s="366">
        <v>0</v>
      </c>
      <c r="AN124" s="366">
        <v>0</v>
      </c>
      <c r="AO124" s="366">
        <v>0</v>
      </c>
      <c r="AP124" s="365"/>
      <c r="AQ124" s="439">
        <f>SUM(H124:Q124)</f>
        <v>1</v>
      </c>
      <c r="AR124" s="439">
        <f>ROUND(AU124+BV124,ARRONDI_PU)</f>
        <v>5550</v>
      </c>
      <c r="AS124" s="440">
        <f>+AR124*AQ124</f>
        <v>5550</v>
      </c>
      <c r="AT124" s="255"/>
      <c r="AU124" s="130">
        <f>+AX124+BB124+BE124+BH124+BK124+BN124+BQ124+BT124</f>
        <v>5000</v>
      </c>
      <c r="AV124" s="285">
        <f>+COEF_MO_INSTALL</f>
        <v>1.3</v>
      </c>
      <c r="AW124" s="286">
        <v>0</v>
      </c>
      <c r="AX124" s="130">
        <f>+AW124*TH_INSTALL</f>
        <v>0</v>
      </c>
      <c r="AY124" s="130">
        <f>+AW124*AE124</f>
        <v>0</v>
      </c>
      <c r="AZ124" s="130">
        <f>IF(AQ124&gt;0,(AX124*AE124),0)</f>
        <v>0</v>
      </c>
      <c r="BA124" s="285">
        <f>+COEF_FOUR1_INSTALL</f>
        <v>1.3</v>
      </c>
      <c r="BB124" s="286">
        <v>0</v>
      </c>
      <c r="BC124" s="130">
        <f>IF(AQ124&gt;0,(BB124*AE124),0)</f>
        <v>0</v>
      </c>
      <c r="BD124" s="285">
        <f>+COEF_FOUR2_INSTALL</f>
        <v>1.3</v>
      </c>
      <c r="BE124" s="286">
        <v>0</v>
      </c>
      <c r="BF124" s="130">
        <f>IF(AQ124&gt;0,(BE124*AE124),0)</f>
        <v>0</v>
      </c>
      <c r="BG124" s="285">
        <f>+COEF_FOUR3_INSTALL</f>
        <v>1.3</v>
      </c>
      <c r="BH124" s="286">
        <v>0</v>
      </c>
      <c r="BI124" s="130">
        <f>IF(AQ124&gt;0,(BH124*AE124),0)</f>
        <v>0</v>
      </c>
      <c r="BJ124" s="287">
        <f>+COEF_MTLLOC_INSTALL</f>
        <v>1.1499999999999999</v>
      </c>
      <c r="BK124" s="286">
        <v>0</v>
      </c>
      <c r="BL124" s="130">
        <f>IF(AQ124&gt;0,(BK124*AE124),0)</f>
        <v>0</v>
      </c>
      <c r="BM124" s="287">
        <f>+COEF_MTLAMR_INSTALL</f>
        <v>1.3</v>
      </c>
      <c r="BN124" s="286">
        <v>0</v>
      </c>
      <c r="BO124" s="130">
        <f>IF(AQ124&gt;0,(BN124*AE124),0)</f>
        <v>0</v>
      </c>
      <c r="BP124" s="287">
        <f>+COEF_ST1_INSTALL</f>
        <v>1.1100000000000001</v>
      </c>
      <c r="BQ124" s="286">
        <v>5000</v>
      </c>
      <c r="BR124" s="130">
        <f>IF(AQ124&gt;0,(BQ124*AE124),0)</f>
        <v>5000</v>
      </c>
      <c r="BS124" s="287">
        <f>+COEF_ST2_INSTALL</f>
        <v>1.1100000000000001</v>
      </c>
      <c r="BT124" s="286">
        <v>0</v>
      </c>
      <c r="BU124" s="130">
        <f>IF(AQ124&gt;0,(BT124*AE124),0)</f>
        <v>0</v>
      </c>
      <c r="BV124" s="130">
        <f>+(((AX124)*AV124)+(BB124*BA124)+(BE124*BD124)+(BH124*BG124)+(BK124*BJ124)+(BN124*BM124)+(BQ124*BP124)+(BT124*BS124)+(BT124*BS124))-(AU124)</f>
        <v>550.00000000000091</v>
      </c>
      <c r="BW124" s="130">
        <f>+BV124*AE124</f>
        <v>550.00000000000091</v>
      </c>
      <c r="BX124" s="130">
        <f>AS124-(BW124+BU124+BR124+BO124+BL124+BI124+BF124+BC124+AZ124)</f>
        <v>0</v>
      </c>
      <c r="BY124" s="329"/>
    </row>
    <row r="125" spans="1:77" s="327" customFormat="1">
      <c r="A125" s="392"/>
      <c r="B125" s="261"/>
      <c r="C125" s="237"/>
      <c r="D125" s="397"/>
      <c r="E125" s="110" t="s">
        <v>211</v>
      </c>
      <c r="F125" s="127" t="s">
        <v>428</v>
      </c>
      <c r="G125" s="17" t="s">
        <v>105</v>
      </c>
      <c r="H125" s="365">
        <f t="shared" si="450"/>
        <v>0</v>
      </c>
      <c r="I125" s="365">
        <f t="shared" si="450"/>
        <v>0</v>
      </c>
      <c r="J125" s="365">
        <f t="shared" si="450"/>
        <v>0</v>
      </c>
      <c r="K125" s="365">
        <f t="shared" si="450"/>
        <v>0</v>
      </c>
      <c r="L125" s="365">
        <f t="shared" si="450"/>
        <v>0</v>
      </c>
      <c r="M125" s="365">
        <f t="shared" si="450"/>
        <v>0</v>
      </c>
      <c r="N125" s="365">
        <f t="shared" si="450"/>
        <v>1</v>
      </c>
      <c r="O125" s="365">
        <f t="shared" si="450"/>
        <v>0</v>
      </c>
      <c r="P125" s="365">
        <f t="shared" si="451"/>
        <v>0</v>
      </c>
      <c r="Q125" s="365">
        <f t="shared" si="451"/>
        <v>0</v>
      </c>
      <c r="R125" s="365"/>
      <c r="S125" s="418">
        <f>SUM(T125:AC125)</f>
        <v>1</v>
      </c>
      <c r="T125" s="365">
        <f t="shared" si="452"/>
        <v>0</v>
      </c>
      <c r="U125" s="365">
        <f t="shared" si="452"/>
        <v>0</v>
      </c>
      <c r="V125" s="365">
        <f t="shared" si="452"/>
        <v>0</v>
      </c>
      <c r="W125" s="365">
        <f t="shared" si="452"/>
        <v>0</v>
      </c>
      <c r="X125" s="365">
        <f t="shared" si="452"/>
        <v>0</v>
      </c>
      <c r="Y125" s="365">
        <f t="shared" si="452"/>
        <v>0</v>
      </c>
      <c r="Z125" s="365">
        <f t="shared" si="452"/>
        <v>1</v>
      </c>
      <c r="AA125" s="365">
        <f t="shared" si="452"/>
        <v>0</v>
      </c>
      <c r="AB125" s="365">
        <f t="shared" si="452"/>
        <v>0</v>
      </c>
      <c r="AC125" s="365">
        <f t="shared" si="452"/>
        <v>0</v>
      </c>
      <c r="AD125" s="365"/>
      <c r="AE125" s="112">
        <f>ROUND(SUM(AF125:AO125),ARRONDI_QT)</f>
        <v>1</v>
      </c>
      <c r="AF125" s="366">
        <v>0</v>
      </c>
      <c r="AG125" s="366">
        <v>0</v>
      </c>
      <c r="AH125" s="366">
        <v>0</v>
      </c>
      <c r="AI125" s="366">
        <v>0</v>
      </c>
      <c r="AJ125" s="366">
        <v>0</v>
      </c>
      <c r="AK125" s="366">
        <v>0</v>
      </c>
      <c r="AL125" s="366">
        <v>1</v>
      </c>
      <c r="AM125" s="366">
        <v>0</v>
      </c>
      <c r="AN125" s="366">
        <v>0</v>
      </c>
      <c r="AO125" s="366">
        <v>0</v>
      </c>
      <c r="AP125" s="365"/>
      <c r="AQ125" s="439">
        <f>SUM(H125:Q125)</f>
        <v>1</v>
      </c>
      <c r="AR125" s="439">
        <f>ROUND(AU125+BV125,ARRONDI_PU)</f>
        <v>9569.56</v>
      </c>
      <c r="AS125" s="440">
        <f>+AR125*AQ125</f>
        <v>9569.56</v>
      </c>
      <c r="AT125" s="255"/>
      <c r="AU125" s="130">
        <f>+AX125+BB125+BE125+BH125+BK125+BN125+BQ125+BT125</f>
        <v>7361.2</v>
      </c>
      <c r="AV125" s="285">
        <f>+COEF_MO_INSTALL</f>
        <v>1.3</v>
      </c>
      <c r="AW125" s="286">
        <f>24*2.9</f>
        <v>69.599999999999994</v>
      </c>
      <c r="AX125" s="130">
        <f>+AW125*TH_INSTALL</f>
        <v>2053.1999999999998</v>
      </c>
      <c r="AY125" s="130">
        <f>+AW125*AE125</f>
        <v>69.599999999999994</v>
      </c>
      <c r="AZ125" s="130">
        <f>IF(AQ125&gt;0,(AX125*AE125),0)</f>
        <v>2053.1999999999998</v>
      </c>
      <c r="BA125" s="285">
        <f>+COEF_FOUR1_INSTALL</f>
        <v>1.3</v>
      </c>
      <c r="BB125" s="286">
        <f>24*145+800</f>
        <v>4280</v>
      </c>
      <c r="BC125" s="130">
        <f>IF(AQ125&gt;0,(BB125*AE125),0)</f>
        <v>4280</v>
      </c>
      <c r="BD125" s="285">
        <f>+COEF_FOUR2_INSTALL</f>
        <v>1.3</v>
      </c>
      <c r="BE125" s="286">
        <v>428</v>
      </c>
      <c r="BF125" s="130">
        <f>IF(AQ125&gt;0,(BE125*AE125),0)</f>
        <v>428</v>
      </c>
      <c r="BG125" s="285">
        <f>+COEF_FOUR3_INSTALL</f>
        <v>1.3</v>
      </c>
      <c r="BH125" s="286">
        <f>24*25</f>
        <v>600</v>
      </c>
      <c r="BI125" s="130">
        <f>IF(AQ125&gt;0,(BH125*AE125),0)</f>
        <v>600</v>
      </c>
      <c r="BJ125" s="287">
        <f>+COEF_MTLLOC_INSTALL</f>
        <v>1.1499999999999999</v>
      </c>
      <c r="BK125" s="286">
        <v>0</v>
      </c>
      <c r="BL125" s="130">
        <f>IF(AQ125&gt;0,(BK125*AE125),0)</f>
        <v>0</v>
      </c>
      <c r="BM125" s="287">
        <f>+COEF_MTLAMR_INSTALL</f>
        <v>1.3</v>
      </c>
      <c r="BN125" s="286">
        <v>0</v>
      </c>
      <c r="BO125" s="130">
        <f>IF(AQ125&gt;0,(BN125*AE125),0)</f>
        <v>0</v>
      </c>
      <c r="BP125" s="287">
        <f>+COEF_ST1_INSTALL</f>
        <v>1.1100000000000001</v>
      </c>
      <c r="BQ125" s="286">
        <v>0</v>
      </c>
      <c r="BR125" s="130">
        <f>IF(AQ125&gt;0,(BQ125*AE125),0)</f>
        <v>0</v>
      </c>
      <c r="BS125" s="287">
        <f>+COEF_ST2_INSTALL</f>
        <v>1.1100000000000001</v>
      </c>
      <c r="BT125" s="286">
        <v>0</v>
      </c>
      <c r="BU125" s="130">
        <f>IF(AQ125&gt;0,(BT125*AE125),0)</f>
        <v>0</v>
      </c>
      <c r="BV125" s="130">
        <f>+(((AX125)*AV125)+(BB125*BA125)+(BE125*BD125)+(BH125*BG125)+(BK125*BJ125)+(BN125*BM125)+(BQ125*BP125)+(BT125*BS125)+(BT125*BS125))-(AU125)</f>
        <v>2208.3599999999997</v>
      </c>
      <c r="BW125" s="130">
        <f>+BV125*AE125</f>
        <v>2208.3599999999997</v>
      </c>
      <c r="BX125" s="130">
        <f>AS125-(BW125+BU125+BR125+BO125+BL125+BI125+BF125+BC125+AZ125)</f>
        <v>0</v>
      </c>
      <c r="BY125" s="329"/>
    </row>
    <row r="126" spans="1:77" s="327" customFormat="1" ht="11.45" customHeight="1">
      <c r="A126" s="392"/>
      <c r="B126" s="261"/>
      <c r="C126" s="237"/>
      <c r="D126" s="397"/>
      <c r="E126" s="110"/>
      <c r="F126" s="127"/>
      <c r="G126" s="17"/>
      <c r="H126" s="276"/>
      <c r="I126" s="276"/>
      <c r="J126" s="276"/>
      <c r="K126" s="276"/>
      <c r="L126" s="276"/>
      <c r="M126" s="276"/>
      <c r="N126" s="276"/>
      <c r="O126" s="276"/>
      <c r="P126" s="276"/>
      <c r="Q126" s="276"/>
      <c r="R126" s="276"/>
      <c r="S126" s="418"/>
      <c r="T126" s="112"/>
      <c r="U126" s="112"/>
      <c r="V126" s="112"/>
      <c r="W126" s="112"/>
      <c r="X126" s="112"/>
      <c r="Y126" s="112"/>
      <c r="Z126" s="112"/>
      <c r="AA126" s="112"/>
      <c r="AB126" s="112"/>
      <c r="AC126" s="112"/>
      <c r="AD126" s="276"/>
      <c r="AE126" s="112"/>
      <c r="AF126" s="129"/>
      <c r="AG126" s="129"/>
      <c r="AH126" s="129"/>
      <c r="AI126" s="129"/>
      <c r="AJ126" s="129"/>
      <c r="AK126" s="129"/>
      <c r="AL126" s="129"/>
      <c r="AM126" s="129"/>
      <c r="AN126" s="129"/>
      <c r="AO126" s="129"/>
      <c r="AP126" s="276"/>
      <c r="AQ126" s="439"/>
      <c r="AR126" s="439"/>
      <c r="AS126" s="440"/>
      <c r="AT126" s="255"/>
      <c r="AU126" s="130"/>
      <c r="AV126" s="285"/>
      <c r="AW126" s="286"/>
      <c r="AX126" s="130"/>
      <c r="AY126" s="130"/>
      <c r="AZ126" s="130"/>
      <c r="BA126" s="285"/>
      <c r="BB126" s="286"/>
      <c r="BC126" s="130"/>
      <c r="BD126" s="285"/>
      <c r="BE126" s="286"/>
      <c r="BF126" s="130"/>
      <c r="BG126" s="285"/>
      <c r="BH126" s="286"/>
      <c r="BI126" s="130"/>
      <c r="BJ126" s="287"/>
      <c r="BK126" s="286"/>
      <c r="BL126" s="130"/>
      <c r="BM126" s="287"/>
      <c r="BN126" s="286"/>
      <c r="BO126" s="130"/>
      <c r="BP126" s="287"/>
      <c r="BQ126" s="286"/>
      <c r="BR126" s="130"/>
      <c r="BS126" s="287"/>
      <c r="BT126" s="286"/>
      <c r="BU126" s="130"/>
      <c r="BV126" s="130"/>
      <c r="BW126" s="130"/>
      <c r="BX126" s="130"/>
      <c r="BY126" s="256"/>
    </row>
    <row r="127" spans="1:77" s="448" customFormat="1" ht="11.45" customHeight="1">
      <c r="B127" s="261"/>
      <c r="C127" s="237"/>
      <c r="D127" s="397"/>
      <c r="E127" s="110"/>
      <c r="F127" s="127"/>
      <c r="G127" s="17"/>
      <c r="H127" s="276"/>
      <c r="I127" s="276"/>
      <c r="J127" s="276"/>
      <c r="K127" s="276"/>
      <c r="L127" s="276"/>
      <c r="M127" s="276"/>
      <c r="N127" s="276"/>
      <c r="O127" s="276"/>
      <c r="P127" s="276"/>
      <c r="Q127" s="276"/>
      <c r="R127" s="276"/>
      <c r="S127" s="418"/>
      <c r="T127" s="112"/>
      <c r="U127" s="112"/>
      <c r="V127" s="112"/>
      <c r="W127" s="112"/>
      <c r="X127" s="112"/>
      <c r="Y127" s="112"/>
      <c r="Z127" s="112"/>
      <c r="AA127" s="112"/>
      <c r="AB127" s="112"/>
      <c r="AC127" s="112"/>
      <c r="AD127" s="276"/>
      <c r="AE127" s="112"/>
      <c r="AF127" s="129"/>
      <c r="AG127" s="129"/>
      <c r="AH127" s="129"/>
      <c r="AI127" s="129"/>
      <c r="AJ127" s="129"/>
      <c r="AK127" s="129"/>
      <c r="AL127" s="129"/>
      <c r="AM127" s="129"/>
      <c r="AN127" s="129"/>
      <c r="AO127" s="129"/>
      <c r="AP127" s="276"/>
      <c r="AQ127" s="439"/>
      <c r="AR127" s="439"/>
      <c r="AS127" s="440"/>
      <c r="AT127" s="255"/>
      <c r="AU127" s="130"/>
      <c r="AV127" s="285"/>
      <c r="AW127" s="286"/>
      <c r="AX127" s="130"/>
      <c r="AY127" s="130"/>
      <c r="AZ127" s="130"/>
      <c r="BA127" s="285"/>
      <c r="BB127" s="286"/>
      <c r="BC127" s="130"/>
      <c r="BD127" s="285"/>
      <c r="BE127" s="286"/>
      <c r="BF127" s="130"/>
      <c r="BG127" s="285"/>
      <c r="BH127" s="286"/>
      <c r="BI127" s="130"/>
      <c r="BJ127" s="287"/>
      <c r="BK127" s="286"/>
      <c r="BL127" s="130"/>
      <c r="BM127" s="287"/>
      <c r="BN127" s="286"/>
      <c r="BO127" s="130"/>
      <c r="BP127" s="287"/>
      <c r="BQ127" s="286"/>
      <c r="BR127" s="130"/>
      <c r="BS127" s="287"/>
      <c r="BT127" s="286"/>
      <c r="BU127" s="130"/>
      <c r="BV127" s="130"/>
      <c r="BW127" s="130"/>
      <c r="BX127" s="130"/>
      <c r="BY127" s="256"/>
    </row>
    <row r="128" spans="1:77" s="448" customFormat="1" ht="11.45" customHeight="1">
      <c r="B128" s="261"/>
      <c r="C128" s="237"/>
      <c r="D128" s="397"/>
      <c r="E128" s="110"/>
      <c r="F128" s="127"/>
      <c r="G128" s="17"/>
      <c r="H128" s="276"/>
      <c r="I128" s="276"/>
      <c r="J128" s="276"/>
      <c r="K128" s="276"/>
      <c r="L128" s="276"/>
      <c r="M128" s="276"/>
      <c r="N128" s="276"/>
      <c r="O128" s="276"/>
      <c r="P128" s="276"/>
      <c r="Q128" s="276"/>
      <c r="R128" s="276"/>
      <c r="S128" s="418"/>
      <c r="T128" s="112"/>
      <c r="U128" s="112"/>
      <c r="V128" s="112"/>
      <c r="W128" s="112"/>
      <c r="X128" s="112"/>
      <c r="Y128" s="112"/>
      <c r="Z128" s="112"/>
      <c r="AA128" s="112"/>
      <c r="AB128" s="112"/>
      <c r="AC128" s="112"/>
      <c r="AD128" s="276"/>
      <c r="AE128" s="112"/>
      <c r="AF128" s="129"/>
      <c r="AG128" s="129"/>
      <c r="AH128" s="129"/>
      <c r="AI128" s="129"/>
      <c r="AJ128" s="129"/>
      <c r="AK128" s="129"/>
      <c r="AL128" s="129"/>
      <c r="AM128" s="129"/>
      <c r="AN128" s="129"/>
      <c r="AO128" s="129"/>
      <c r="AP128" s="276"/>
      <c r="AQ128" s="439"/>
      <c r="AR128" s="439"/>
      <c r="AS128" s="440"/>
      <c r="AT128" s="255"/>
      <c r="AU128" s="130"/>
      <c r="AV128" s="285"/>
      <c r="AW128" s="286"/>
      <c r="AX128" s="130"/>
      <c r="AY128" s="130"/>
      <c r="AZ128" s="130"/>
      <c r="BA128" s="285"/>
      <c r="BB128" s="286"/>
      <c r="BC128" s="130"/>
      <c r="BD128" s="285"/>
      <c r="BE128" s="286"/>
      <c r="BF128" s="130"/>
      <c r="BG128" s="285"/>
      <c r="BH128" s="286"/>
      <c r="BI128" s="130"/>
      <c r="BJ128" s="287"/>
      <c r="BK128" s="286"/>
      <c r="BL128" s="130"/>
      <c r="BM128" s="287"/>
      <c r="BN128" s="286"/>
      <c r="BO128" s="130"/>
      <c r="BP128" s="287"/>
      <c r="BQ128" s="286"/>
      <c r="BR128" s="130"/>
      <c r="BS128" s="287"/>
      <c r="BT128" s="286"/>
      <c r="BU128" s="130"/>
      <c r="BV128" s="130"/>
      <c r="BW128" s="130"/>
      <c r="BX128" s="130"/>
      <c r="BY128" s="256"/>
    </row>
    <row r="129" spans="1:82" s="448" customFormat="1" ht="11.45" customHeight="1">
      <c r="B129" s="261"/>
      <c r="C129" s="237"/>
      <c r="D129" s="397"/>
      <c r="E129" s="110"/>
      <c r="F129" s="127"/>
      <c r="G129" s="17"/>
      <c r="H129" s="276"/>
      <c r="I129" s="276"/>
      <c r="J129" s="276"/>
      <c r="K129" s="276"/>
      <c r="L129" s="276"/>
      <c r="M129" s="276"/>
      <c r="N129" s="276"/>
      <c r="O129" s="276"/>
      <c r="P129" s="276"/>
      <c r="Q129" s="276"/>
      <c r="R129" s="276"/>
      <c r="S129" s="418"/>
      <c r="T129" s="112"/>
      <c r="U129" s="112"/>
      <c r="V129" s="112"/>
      <c r="W129" s="112"/>
      <c r="X129" s="112"/>
      <c r="Y129" s="112"/>
      <c r="Z129" s="112"/>
      <c r="AA129" s="112"/>
      <c r="AB129" s="112"/>
      <c r="AC129" s="112"/>
      <c r="AD129" s="276"/>
      <c r="AE129" s="112"/>
      <c r="AF129" s="129"/>
      <c r="AG129" s="129"/>
      <c r="AH129" s="129"/>
      <c r="AI129" s="129"/>
      <c r="AJ129" s="129"/>
      <c r="AK129" s="129"/>
      <c r="AL129" s="129"/>
      <c r="AM129" s="129"/>
      <c r="AN129" s="129"/>
      <c r="AO129" s="129"/>
      <c r="AP129" s="276"/>
      <c r="AQ129" s="439"/>
      <c r="AR129" s="439"/>
      <c r="AS129" s="440"/>
      <c r="AT129" s="255"/>
      <c r="AU129" s="130"/>
      <c r="AV129" s="285"/>
      <c r="AW129" s="286"/>
      <c r="AX129" s="130"/>
      <c r="AY129" s="130"/>
      <c r="AZ129" s="130"/>
      <c r="BA129" s="285"/>
      <c r="BB129" s="286"/>
      <c r="BC129" s="130"/>
      <c r="BD129" s="285"/>
      <c r="BE129" s="286"/>
      <c r="BF129" s="130"/>
      <c r="BG129" s="285"/>
      <c r="BH129" s="286"/>
      <c r="BI129" s="130"/>
      <c r="BJ129" s="287"/>
      <c r="BK129" s="286"/>
      <c r="BL129" s="130"/>
      <c r="BM129" s="287"/>
      <c r="BN129" s="286"/>
      <c r="BO129" s="130"/>
      <c r="BP129" s="287"/>
      <c r="BQ129" s="286"/>
      <c r="BR129" s="130"/>
      <c r="BS129" s="287"/>
      <c r="BT129" s="286"/>
      <c r="BU129" s="130"/>
      <c r="BV129" s="130"/>
      <c r="BW129" s="130"/>
      <c r="BX129" s="130"/>
      <c r="BY129" s="256"/>
    </row>
    <row r="130" spans="1:82" s="448" customFormat="1" ht="11.45" customHeight="1">
      <c r="B130" s="261"/>
      <c r="C130" s="237"/>
      <c r="D130" s="397"/>
      <c r="E130" s="110"/>
      <c r="F130" s="127"/>
      <c r="G130" s="17"/>
      <c r="H130" s="276"/>
      <c r="I130" s="276"/>
      <c r="J130" s="276"/>
      <c r="K130" s="276"/>
      <c r="L130" s="276"/>
      <c r="M130" s="276"/>
      <c r="N130" s="276"/>
      <c r="O130" s="276"/>
      <c r="P130" s="276"/>
      <c r="Q130" s="276"/>
      <c r="R130" s="276"/>
      <c r="S130" s="418"/>
      <c r="T130" s="112"/>
      <c r="U130" s="112"/>
      <c r="V130" s="112"/>
      <c r="W130" s="112"/>
      <c r="X130" s="112"/>
      <c r="Y130" s="112"/>
      <c r="Z130" s="112"/>
      <c r="AA130" s="112"/>
      <c r="AB130" s="112"/>
      <c r="AC130" s="112"/>
      <c r="AD130" s="276"/>
      <c r="AE130" s="112"/>
      <c r="AF130" s="129"/>
      <c r="AG130" s="129"/>
      <c r="AH130" s="129"/>
      <c r="AI130" s="129"/>
      <c r="AJ130" s="129"/>
      <c r="AK130" s="129"/>
      <c r="AL130" s="129"/>
      <c r="AM130" s="129"/>
      <c r="AN130" s="129"/>
      <c r="AO130" s="129"/>
      <c r="AP130" s="276"/>
      <c r="AQ130" s="439"/>
      <c r="AR130" s="439"/>
      <c r="AS130" s="440"/>
      <c r="AT130" s="255"/>
      <c r="AU130" s="130"/>
      <c r="AV130" s="285"/>
      <c r="AW130" s="286"/>
      <c r="AX130" s="130"/>
      <c r="AY130" s="130"/>
      <c r="AZ130" s="130"/>
      <c r="BA130" s="285"/>
      <c r="BB130" s="286"/>
      <c r="BC130" s="130"/>
      <c r="BD130" s="285"/>
      <c r="BE130" s="286"/>
      <c r="BF130" s="130"/>
      <c r="BG130" s="285"/>
      <c r="BH130" s="286"/>
      <c r="BI130" s="130"/>
      <c r="BJ130" s="287"/>
      <c r="BK130" s="286"/>
      <c r="BL130" s="130"/>
      <c r="BM130" s="287"/>
      <c r="BN130" s="286"/>
      <c r="BO130" s="130"/>
      <c r="BP130" s="287"/>
      <c r="BQ130" s="286"/>
      <c r="BR130" s="130"/>
      <c r="BS130" s="287"/>
      <c r="BT130" s="286"/>
      <c r="BU130" s="130"/>
      <c r="BV130" s="130"/>
      <c r="BW130" s="130"/>
      <c r="BX130" s="130"/>
      <c r="BY130" s="256"/>
    </row>
    <row r="131" spans="1:82" s="448" customFormat="1" ht="11.45" customHeight="1">
      <c r="B131" s="261"/>
      <c r="C131" s="237"/>
      <c r="D131" s="397"/>
      <c r="E131" s="110"/>
      <c r="F131" s="127"/>
      <c r="G131" s="17"/>
      <c r="H131" s="276"/>
      <c r="I131" s="276"/>
      <c r="J131" s="276"/>
      <c r="K131" s="276"/>
      <c r="L131" s="276"/>
      <c r="M131" s="276"/>
      <c r="N131" s="276"/>
      <c r="O131" s="276"/>
      <c r="P131" s="276"/>
      <c r="Q131" s="276"/>
      <c r="R131" s="276"/>
      <c r="S131" s="418"/>
      <c r="T131" s="112"/>
      <c r="U131" s="112"/>
      <c r="V131" s="112"/>
      <c r="W131" s="112"/>
      <c r="X131" s="112"/>
      <c r="Y131" s="112"/>
      <c r="Z131" s="112"/>
      <c r="AA131" s="112"/>
      <c r="AB131" s="112"/>
      <c r="AC131" s="112"/>
      <c r="AD131" s="276"/>
      <c r="AE131" s="112"/>
      <c r="AF131" s="129"/>
      <c r="AG131" s="129"/>
      <c r="AH131" s="129"/>
      <c r="AI131" s="129"/>
      <c r="AJ131" s="129"/>
      <c r="AK131" s="129"/>
      <c r="AL131" s="129"/>
      <c r="AM131" s="129"/>
      <c r="AN131" s="129"/>
      <c r="AO131" s="129"/>
      <c r="AP131" s="276"/>
      <c r="AQ131" s="439"/>
      <c r="AR131" s="439"/>
      <c r="AS131" s="440"/>
      <c r="AT131" s="255"/>
      <c r="AU131" s="130"/>
      <c r="AV131" s="285"/>
      <c r="AW131" s="286"/>
      <c r="AX131" s="130"/>
      <c r="AY131" s="130"/>
      <c r="AZ131" s="130"/>
      <c r="BA131" s="285"/>
      <c r="BB131" s="286"/>
      <c r="BC131" s="130"/>
      <c r="BD131" s="285"/>
      <c r="BE131" s="286"/>
      <c r="BF131" s="130"/>
      <c r="BG131" s="285"/>
      <c r="BH131" s="286"/>
      <c r="BI131" s="130"/>
      <c r="BJ131" s="287"/>
      <c r="BK131" s="286"/>
      <c r="BL131" s="130"/>
      <c r="BM131" s="287"/>
      <c r="BN131" s="286"/>
      <c r="BO131" s="130"/>
      <c r="BP131" s="287"/>
      <c r="BQ131" s="286"/>
      <c r="BR131" s="130"/>
      <c r="BS131" s="287"/>
      <c r="BT131" s="286"/>
      <c r="BU131" s="130"/>
      <c r="BV131" s="130"/>
      <c r="BW131" s="130"/>
      <c r="BX131" s="130"/>
      <c r="BY131" s="256"/>
    </row>
    <row r="132" spans="1:82" s="327" customFormat="1">
      <c r="A132" s="392"/>
      <c r="B132" s="261"/>
      <c r="C132" s="237"/>
      <c r="D132" s="397"/>
      <c r="E132" s="110" t="s">
        <v>212</v>
      </c>
      <c r="F132" s="127" t="s">
        <v>213</v>
      </c>
      <c r="G132" s="17"/>
      <c r="H132" s="276"/>
      <c r="I132" s="276"/>
      <c r="J132" s="276"/>
      <c r="K132" s="276"/>
      <c r="L132" s="276"/>
      <c r="M132" s="276"/>
      <c r="N132" s="276"/>
      <c r="O132" s="276"/>
      <c r="P132" s="276"/>
      <c r="Q132" s="276"/>
      <c r="R132" s="276"/>
      <c r="S132" s="418"/>
      <c r="T132" s="112"/>
      <c r="U132" s="112"/>
      <c r="V132" s="112"/>
      <c r="W132" s="112"/>
      <c r="X132" s="112"/>
      <c r="Y132" s="112"/>
      <c r="Z132" s="112"/>
      <c r="AA132" s="112"/>
      <c r="AB132" s="112"/>
      <c r="AC132" s="112"/>
      <c r="AD132" s="276"/>
      <c r="AE132" s="112"/>
      <c r="AF132" s="129"/>
      <c r="AG132" s="129"/>
      <c r="AH132" s="129"/>
      <c r="AI132" s="129"/>
      <c r="AJ132" s="129"/>
      <c r="AK132" s="129"/>
      <c r="AL132" s="129"/>
      <c r="AM132" s="129"/>
      <c r="AN132" s="129"/>
      <c r="AO132" s="129"/>
      <c r="AP132" s="276"/>
      <c r="AQ132" s="439"/>
      <c r="AR132" s="439"/>
      <c r="AS132" s="440"/>
      <c r="AT132" s="255"/>
      <c r="AU132" s="130"/>
      <c r="AV132" s="285"/>
      <c r="AW132" s="286"/>
      <c r="AX132" s="130"/>
      <c r="AY132" s="130"/>
      <c r="AZ132" s="130"/>
      <c r="BA132" s="285"/>
      <c r="BB132" s="286"/>
      <c r="BC132" s="130"/>
      <c r="BD132" s="285"/>
      <c r="BE132" s="286"/>
      <c r="BF132" s="130"/>
      <c r="BG132" s="285"/>
      <c r="BH132" s="286"/>
      <c r="BI132" s="130"/>
      <c r="BJ132" s="287"/>
      <c r="BK132" s="286"/>
      <c r="BL132" s="130"/>
      <c r="BM132" s="287"/>
      <c r="BN132" s="286"/>
      <c r="BO132" s="130"/>
      <c r="BP132" s="287"/>
      <c r="BQ132" s="286"/>
      <c r="BR132" s="130"/>
      <c r="BS132" s="287"/>
      <c r="BT132" s="286"/>
      <c r="BU132" s="130"/>
      <c r="BV132" s="130"/>
      <c r="BW132" s="130"/>
      <c r="BX132" s="130"/>
      <c r="BY132" s="256"/>
    </row>
    <row r="133" spans="1:82" s="393" customFormat="1">
      <c r="B133" s="261"/>
      <c r="C133" s="237"/>
      <c r="D133" s="397"/>
      <c r="E133" s="110"/>
      <c r="F133" s="127" t="s">
        <v>353</v>
      </c>
      <c r="G133" s="17" t="s">
        <v>105</v>
      </c>
      <c r="H133" s="276"/>
      <c r="I133" s="276"/>
      <c r="J133" s="276"/>
      <c r="K133" s="276"/>
      <c r="L133" s="276"/>
      <c r="M133" s="276"/>
      <c r="N133" s="276"/>
      <c r="O133" s="276"/>
      <c r="P133" s="276"/>
      <c r="Q133" s="276"/>
      <c r="R133" s="276"/>
      <c r="S133" s="418"/>
      <c r="T133" s="112"/>
      <c r="U133" s="112"/>
      <c r="V133" s="112"/>
      <c r="W133" s="112"/>
      <c r="X133" s="112"/>
      <c r="Y133" s="112"/>
      <c r="Z133" s="112"/>
      <c r="AA133" s="112"/>
      <c r="AB133" s="112"/>
      <c r="AC133" s="112"/>
      <c r="AD133" s="276"/>
      <c r="AE133" s="112"/>
      <c r="AF133" s="129"/>
      <c r="AG133" s="129"/>
      <c r="AH133" s="129"/>
      <c r="AI133" s="129"/>
      <c r="AJ133" s="129"/>
      <c r="AK133" s="129"/>
      <c r="AL133" s="129"/>
      <c r="AM133" s="129"/>
      <c r="AN133" s="129"/>
      <c r="AO133" s="129"/>
      <c r="AP133" s="276"/>
      <c r="AQ133" s="441" t="s">
        <v>401</v>
      </c>
      <c r="AR133" s="441" t="str">
        <f>+AQ133</f>
        <v>Compris</v>
      </c>
      <c r="AS133" s="442" t="str">
        <f>+AR133</f>
        <v>Compris</v>
      </c>
      <c r="AT133" s="255"/>
      <c r="AU133" s="130"/>
      <c r="AV133" s="285"/>
      <c r="AW133" s="286"/>
      <c r="AX133" s="130"/>
      <c r="AY133" s="130"/>
      <c r="AZ133" s="130"/>
      <c r="BA133" s="285"/>
      <c r="BB133" s="286"/>
      <c r="BC133" s="130"/>
      <c r="BD133" s="285"/>
      <c r="BE133" s="286"/>
      <c r="BF133" s="130"/>
      <c r="BG133" s="285"/>
      <c r="BH133" s="286"/>
      <c r="BI133" s="130"/>
      <c r="BJ133" s="287"/>
      <c r="BK133" s="286"/>
      <c r="BL133" s="130"/>
      <c r="BM133" s="287"/>
      <c r="BN133" s="286"/>
      <c r="BO133" s="130"/>
      <c r="BP133" s="287"/>
      <c r="BQ133" s="286"/>
      <c r="BR133" s="130"/>
      <c r="BS133" s="287"/>
      <c r="BT133" s="286"/>
      <c r="BU133" s="130"/>
      <c r="BV133" s="130"/>
      <c r="BW133" s="130"/>
      <c r="BX133" s="130"/>
      <c r="BY133" s="256"/>
    </row>
    <row r="134" spans="1:82" s="393" customFormat="1">
      <c r="B134" s="261"/>
      <c r="C134" s="237"/>
      <c r="D134" s="397"/>
      <c r="E134" s="110"/>
      <c r="F134" s="127" t="s">
        <v>354</v>
      </c>
      <c r="G134" s="17" t="s">
        <v>108</v>
      </c>
      <c r="H134" s="365">
        <f t="shared" ref="H134:O135" si="453">+T134</f>
        <v>0</v>
      </c>
      <c r="I134" s="365">
        <f t="shared" si="453"/>
        <v>0</v>
      </c>
      <c r="J134" s="365">
        <f t="shared" si="453"/>
        <v>0</v>
      </c>
      <c r="K134" s="365">
        <f t="shared" si="453"/>
        <v>0</v>
      </c>
      <c r="L134" s="365">
        <f t="shared" si="453"/>
        <v>0</v>
      </c>
      <c r="M134" s="365">
        <f t="shared" si="453"/>
        <v>0</v>
      </c>
      <c r="N134" s="365">
        <f t="shared" si="453"/>
        <v>1153</v>
      </c>
      <c r="O134" s="365">
        <f t="shared" si="453"/>
        <v>0</v>
      </c>
      <c r="P134" s="365">
        <f t="shared" ref="P134:Q135" si="454">+AB134</f>
        <v>0</v>
      </c>
      <c r="Q134" s="365">
        <f t="shared" si="454"/>
        <v>0</v>
      </c>
      <c r="R134" s="365"/>
      <c r="S134" s="418">
        <f>SUM(T134:AC134)</f>
        <v>1153</v>
      </c>
      <c r="T134" s="365">
        <f t="shared" ref="T134:AC135" si="455">ROUND(AF134,ARRONDI_QT)</f>
        <v>0</v>
      </c>
      <c r="U134" s="365">
        <f t="shared" si="455"/>
        <v>0</v>
      </c>
      <c r="V134" s="365">
        <f t="shared" si="455"/>
        <v>0</v>
      </c>
      <c r="W134" s="365">
        <f t="shared" si="455"/>
        <v>0</v>
      </c>
      <c r="X134" s="365">
        <f t="shared" si="455"/>
        <v>0</v>
      </c>
      <c r="Y134" s="365">
        <f t="shared" si="455"/>
        <v>0</v>
      </c>
      <c r="Z134" s="365">
        <f t="shared" si="455"/>
        <v>1153</v>
      </c>
      <c r="AA134" s="365">
        <f t="shared" si="455"/>
        <v>0</v>
      </c>
      <c r="AB134" s="365">
        <f t="shared" si="455"/>
        <v>0</v>
      </c>
      <c r="AC134" s="365">
        <f t="shared" si="455"/>
        <v>0</v>
      </c>
      <c r="AD134" s="365"/>
      <c r="AE134" s="112">
        <f>ROUND(SUM(AF134:AO134),ARRONDI_QT)</f>
        <v>1153</v>
      </c>
      <c r="AF134" s="366">
        <v>0</v>
      </c>
      <c r="AG134" s="366">
        <v>0</v>
      </c>
      <c r="AH134" s="366">
        <v>0</v>
      </c>
      <c r="AI134" s="366">
        <v>0</v>
      </c>
      <c r="AJ134" s="366">
        <v>0</v>
      </c>
      <c r="AK134" s="366">
        <v>0</v>
      </c>
      <c r="AL134" s="366">
        <v>1153</v>
      </c>
      <c r="AM134" s="366">
        <v>0</v>
      </c>
      <c r="AN134" s="366">
        <v>0</v>
      </c>
      <c r="AO134" s="366">
        <v>0</v>
      </c>
      <c r="AP134" s="365"/>
      <c r="AQ134" s="439">
        <f>SUM(H134:Q134)</f>
        <v>1153</v>
      </c>
      <c r="AR134" s="439">
        <f>ROUND(AU134+BV134,ARRONDI_PU)</f>
        <v>5.55</v>
      </c>
      <c r="AS134" s="440">
        <f>+AR134*AQ134</f>
        <v>6399.15</v>
      </c>
      <c r="AT134" s="255"/>
      <c r="AU134" s="130">
        <f>+AX134+BB134+BE134+BH134+BK134+BN134+BQ134+BT134</f>
        <v>5</v>
      </c>
      <c r="AV134" s="285">
        <f>+COEF_MO_INSTALL</f>
        <v>1.3</v>
      </c>
      <c r="AW134" s="286">
        <v>0</v>
      </c>
      <c r="AX134" s="130">
        <f>+AW134*TH_INSTALL</f>
        <v>0</v>
      </c>
      <c r="AY134" s="130">
        <f>+AW134*AE134</f>
        <v>0</v>
      </c>
      <c r="AZ134" s="130">
        <f>IF(AQ134&gt;0,(AX134*AE134),0)</f>
        <v>0</v>
      </c>
      <c r="BA134" s="285">
        <f>+COEF_FOUR1_INSTALL</f>
        <v>1.3</v>
      </c>
      <c r="BB134" s="286">
        <v>0</v>
      </c>
      <c r="BC134" s="130">
        <f>IF(AQ134&gt;0,(BB134*AE134),0)</f>
        <v>0</v>
      </c>
      <c r="BD134" s="285">
        <f>+COEF_FOUR2_INSTALL</f>
        <v>1.3</v>
      </c>
      <c r="BE134" s="286">
        <v>0</v>
      </c>
      <c r="BF134" s="130">
        <f>IF(AQ134&gt;0,(BE134*AE134),0)</f>
        <v>0</v>
      </c>
      <c r="BG134" s="285">
        <f>+COEF_FOUR3_INSTALL</f>
        <v>1.3</v>
      </c>
      <c r="BH134" s="286">
        <v>0</v>
      </c>
      <c r="BI134" s="130">
        <f>IF(AQ134&gt;0,(BH134*AE134),0)</f>
        <v>0</v>
      </c>
      <c r="BJ134" s="287">
        <f>+COEF_MTLLOC_INSTALL</f>
        <v>1.1499999999999999</v>
      </c>
      <c r="BK134" s="286">
        <v>0</v>
      </c>
      <c r="BL134" s="130">
        <f>IF(AQ134&gt;0,(BK134*AE134),0)</f>
        <v>0</v>
      </c>
      <c r="BM134" s="287">
        <f>+COEF_MTLAMR_INSTALL</f>
        <v>1.3</v>
      </c>
      <c r="BN134" s="286">
        <v>0</v>
      </c>
      <c r="BO134" s="130">
        <f>IF(AQ134&gt;0,(BN134*AE134),0)</f>
        <v>0</v>
      </c>
      <c r="BP134" s="287">
        <f>+COEF_ST1_INSTALL</f>
        <v>1.1100000000000001</v>
      </c>
      <c r="BQ134" s="286">
        <v>5</v>
      </c>
      <c r="BR134" s="130">
        <f>IF(AQ134&gt;0,(BQ134*AE134),0)</f>
        <v>5765</v>
      </c>
      <c r="BS134" s="287">
        <f>+COEF_ST2_INSTALL</f>
        <v>1.1100000000000001</v>
      </c>
      <c r="BT134" s="286">
        <v>0</v>
      </c>
      <c r="BU134" s="130">
        <f>IF(AQ134&gt;0,(BT134*AE134),0)</f>
        <v>0</v>
      </c>
      <c r="BV134" s="130">
        <f>+(((AX134)*AV134)+(BB134*BA134)+(BE134*BD134)+(BH134*BG134)+(BK134*BJ134)+(BN134*BM134)+(BQ134*BP134)+(BT134*BS134)+(BT134*BS134))-(AU134)</f>
        <v>0.55000000000000071</v>
      </c>
      <c r="BW134" s="130">
        <f>+BV134*AE134</f>
        <v>634.15000000000077</v>
      </c>
      <c r="BX134" s="130">
        <f>AS134-(BW134+BU134+BR134+BO134+BL134+BI134+BF134+BC134+AZ134)</f>
        <v>0</v>
      </c>
      <c r="BY134" s="329"/>
    </row>
    <row r="135" spans="1:82" s="327" customFormat="1">
      <c r="A135" s="392"/>
      <c r="B135" s="261"/>
      <c r="C135" s="237"/>
      <c r="D135" s="397"/>
      <c r="E135" s="110" t="s">
        <v>38</v>
      </c>
      <c r="F135" s="127" t="s">
        <v>355</v>
      </c>
      <c r="G135" s="17" t="s">
        <v>108</v>
      </c>
      <c r="H135" s="365">
        <f t="shared" si="453"/>
        <v>0</v>
      </c>
      <c r="I135" s="365">
        <f t="shared" si="453"/>
        <v>0</v>
      </c>
      <c r="J135" s="365">
        <f t="shared" si="453"/>
        <v>0</v>
      </c>
      <c r="K135" s="365">
        <f t="shared" si="453"/>
        <v>0</v>
      </c>
      <c r="L135" s="365">
        <f t="shared" si="453"/>
        <v>0</v>
      </c>
      <c r="M135" s="365">
        <f t="shared" si="453"/>
        <v>0</v>
      </c>
      <c r="N135" s="365">
        <f t="shared" si="453"/>
        <v>7</v>
      </c>
      <c r="O135" s="365">
        <f t="shared" si="453"/>
        <v>0</v>
      </c>
      <c r="P135" s="365">
        <f t="shared" si="454"/>
        <v>0</v>
      </c>
      <c r="Q135" s="365">
        <f t="shared" si="454"/>
        <v>0</v>
      </c>
      <c r="R135" s="365"/>
      <c r="S135" s="418">
        <f>SUM(T135:AC135)</f>
        <v>7</v>
      </c>
      <c r="T135" s="365">
        <f t="shared" si="455"/>
        <v>0</v>
      </c>
      <c r="U135" s="365">
        <f t="shared" si="455"/>
        <v>0</v>
      </c>
      <c r="V135" s="365">
        <f t="shared" si="455"/>
        <v>0</v>
      </c>
      <c r="W135" s="365">
        <f t="shared" si="455"/>
        <v>0</v>
      </c>
      <c r="X135" s="365">
        <f t="shared" si="455"/>
        <v>0</v>
      </c>
      <c r="Y135" s="365">
        <f t="shared" si="455"/>
        <v>0</v>
      </c>
      <c r="Z135" s="365">
        <f t="shared" si="455"/>
        <v>7</v>
      </c>
      <c r="AA135" s="365">
        <f t="shared" si="455"/>
        <v>0</v>
      </c>
      <c r="AB135" s="365">
        <f t="shared" si="455"/>
        <v>0</v>
      </c>
      <c r="AC135" s="365">
        <f t="shared" si="455"/>
        <v>0</v>
      </c>
      <c r="AD135" s="365"/>
      <c r="AE135" s="112">
        <f>ROUND(SUM(AF135:AO135),ARRONDI_QT)</f>
        <v>7</v>
      </c>
      <c r="AF135" s="366">
        <v>0</v>
      </c>
      <c r="AG135" s="366">
        <v>0</v>
      </c>
      <c r="AH135" s="366">
        <v>0</v>
      </c>
      <c r="AI135" s="366">
        <v>0</v>
      </c>
      <c r="AJ135" s="366">
        <v>0</v>
      </c>
      <c r="AK135" s="366">
        <v>0</v>
      </c>
      <c r="AL135" s="366">
        <v>7</v>
      </c>
      <c r="AM135" s="366">
        <v>0</v>
      </c>
      <c r="AN135" s="366">
        <v>0</v>
      </c>
      <c r="AO135" s="366">
        <v>0</v>
      </c>
      <c r="AP135" s="365"/>
      <c r="AQ135" s="439">
        <f>SUM(H135:Q135)</f>
        <v>7</v>
      </c>
      <c r="AR135" s="439">
        <f>ROUND(AU135+BV135,ARRONDI_PU)</f>
        <v>44.4</v>
      </c>
      <c r="AS135" s="440">
        <f>+AR135*AQ135</f>
        <v>310.8</v>
      </c>
      <c r="AT135" s="255"/>
      <c r="AU135" s="130">
        <f>+AX135+BB135+BE135+BH135+BK135+BN135+BQ135+BT135</f>
        <v>40</v>
      </c>
      <c r="AV135" s="285">
        <f>+COEF_MO_INSTALL</f>
        <v>1.3</v>
      </c>
      <c r="AW135" s="286">
        <v>0</v>
      </c>
      <c r="AX135" s="130">
        <f>+AW135*TH_INSTALL</f>
        <v>0</v>
      </c>
      <c r="AY135" s="130">
        <f>+AW135*AE135</f>
        <v>0</v>
      </c>
      <c r="AZ135" s="130">
        <f>IF(AQ135&gt;0,(AX135*AE135),0)</f>
        <v>0</v>
      </c>
      <c r="BA135" s="285">
        <f>+COEF_FOUR1_INSTALL</f>
        <v>1.3</v>
      </c>
      <c r="BB135" s="286">
        <v>0</v>
      </c>
      <c r="BC135" s="130">
        <f>IF(AQ135&gt;0,(BB135*AE135),0)</f>
        <v>0</v>
      </c>
      <c r="BD135" s="285">
        <f>+COEF_FOUR2_INSTALL</f>
        <v>1.3</v>
      </c>
      <c r="BE135" s="286">
        <v>0</v>
      </c>
      <c r="BF135" s="130">
        <f>IF(AQ135&gt;0,(BE135*AE135),0)</f>
        <v>0</v>
      </c>
      <c r="BG135" s="285">
        <f>+COEF_FOUR3_INSTALL</f>
        <v>1.3</v>
      </c>
      <c r="BH135" s="286">
        <v>0</v>
      </c>
      <c r="BI135" s="130">
        <f>IF(AQ135&gt;0,(BH135*AE135),0)</f>
        <v>0</v>
      </c>
      <c r="BJ135" s="287">
        <f>+COEF_MTLLOC_INSTALL</f>
        <v>1.1499999999999999</v>
      </c>
      <c r="BK135" s="286">
        <v>0</v>
      </c>
      <c r="BL135" s="130">
        <f>IF(AQ135&gt;0,(BK135*AE135),0)</f>
        <v>0</v>
      </c>
      <c r="BM135" s="287">
        <f>+COEF_MTLAMR_INSTALL</f>
        <v>1.3</v>
      </c>
      <c r="BN135" s="286">
        <v>0</v>
      </c>
      <c r="BO135" s="130">
        <f>IF(AQ135&gt;0,(BN135*AE135),0)</f>
        <v>0</v>
      </c>
      <c r="BP135" s="287">
        <f>+COEF_ST1_INSTALL</f>
        <v>1.1100000000000001</v>
      </c>
      <c r="BQ135" s="286">
        <v>40</v>
      </c>
      <c r="BR135" s="130">
        <f>IF(AQ135&gt;0,(BQ135*AE135),0)</f>
        <v>280</v>
      </c>
      <c r="BS135" s="287">
        <f>+COEF_ST2_INSTALL</f>
        <v>1.1100000000000001</v>
      </c>
      <c r="BT135" s="286">
        <v>0</v>
      </c>
      <c r="BU135" s="130">
        <f>IF(AQ135&gt;0,(BT135*AE135),0)</f>
        <v>0</v>
      </c>
      <c r="BV135" s="130">
        <f>+(((AX135)*AV135)+(BB135*BA135)+(BE135*BD135)+(BH135*BG135)+(BK135*BJ135)+(BN135*BM135)+(BQ135*BP135)+(BT135*BS135)+(BT135*BS135))-(AU135)</f>
        <v>4.4000000000000057</v>
      </c>
      <c r="BW135" s="130">
        <f>+BV135*AE135</f>
        <v>30.80000000000004</v>
      </c>
      <c r="BX135" s="130">
        <f>AS135-(BW135+BU135+BR135+BO135+BL135+BI135+BF135+BC135+AZ135)</f>
        <v>0</v>
      </c>
      <c r="BY135" s="329"/>
      <c r="BZ135" s="393"/>
    </row>
    <row r="136" spans="1:82" s="327" customFormat="1">
      <c r="A136" s="392"/>
      <c r="B136" s="261"/>
      <c r="C136" s="237"/>
      <c r="D136" s="397"/>
      <c r="E136" s="110" t="s">
        <v>182</v>
      </c>
      <c r="F136" s="127" t="s">
        <v>242</v>
      </c>
      <c r="G136" s="17" t="s">
        <v>108</v>
      </c>
      <c r="H136" s="276"/>
      <c r="I136" s="276"/>
      <c r="J136" s="276"/>
      <c r="K136" s="276"/>
      <c r="L136" s="276"/>
      <c r="M136" s="276"/>
      <c r="N136" s="276"/>
      <c r="O136" s="276"/>
      <c r="P136" s="276"/>
      <c r="Q136" s="276"/>
      <c r="R136" s="276"/>
      <c r="S136" s="418"/>
      <c r="T136" s="112"/>
      <c r="U136" s="112"/>
      <c r="V136" s="112"/>
      <c r="W136" s="112"/>
      <c r="X136" s="112"/>
      <c r="Y136" s="112"/>
      <c r="Z136" s="112"/>
      <c r="AA136" s="112"/>
      <c r="AB136" s="112"/>
      <c r="AC136" s="112"/>
      <c r="AD136" s="276"/>
      <c r="AE136" s="112"/>
      <c r="AF136" s="129"/>
      <c r="AG136" s="129"/>
      <c r="AH136" s="129"/>
      <c r="AI136" s="129"/>
      <c r="AJ136" s="129"/>
      <c r="AK136" s="129"/>
      <c r="AL136" s="129"/>
      <c r="AM136" s="129"/>
      <c r="AN136" s="129"/>
      <c r="AO136" s="129"/>
      <c r="AP136" s="276"/>
      <c r="AQ136" s="441" t="s">
        <v>305</v>
      </c>
      <c r="AR136" s="441" t="str">
        <f>+AQ136</f>
        <v>à définir</v>
      </c>
      <c r="AS136" s="442" t="str">
        <f>+AR136</f>
        <v>à définir</v>
      </c>
      <c r="AT136" s="255"/>
      <c r="AU136" s="130"/>
      <c r="AV136" s="285"/>
      <c r="AW136" s="286"/>
      <c r="AX136" s="130"/>
      <c r="AY136" s="130"/>
      <c r="AZ136" s="130"/>
      <c r="BA136" s="285"/>
      <c r="BB136" s="286"/>
      <c r="BC136" s="130"/>
      <c r="BD136" s="285"/>
      <c r="BE136" s="286"/>
      <c r="BF136" s="130"/>
      <c r="BG136" s="285"/>
      <c r="BH136" s="286"/>
      <c r="BI136" s="130"/>
      <c r="BJ136" s="287"/>
      <c r="BK136" s="286"/>
      <c r="BL136" s="130"/>
      <c r="BM136" s="287"/>
      <c r="BN136" s="286"/>
      <c r="BO136" s="130"/>
      <c r="BP136" s="287"/>
      <c r="BQ136" s="286"/>
      <c r="BR136" s="130"/>
      <c r="BS136" s="287"/>
      <c r="BT136" s="286"/>
      <c r="BU136" s="130"/>
      <c r="BV136" s="130"/>
      <c r="BW136" s="130"/>
      <c r="BX136" s="130"/>
      <c r="BY136" s="256"/>
    </row>
    <row r="137" spans="1:82" s="327" customFormat="1">
      <c r="A137" s="392"/>
      <c r="B137" s="261"/>
      <c r="C137" s="237"/>
      <c r="D137" s="397"/>
      <c r="E137" s="110" t="s">
        <v>214</v>
      </c>
      <c r="F137" s="127" t="s">
        <v>243</v>
      </c>
      <c r="G137" s="17" t="s">
        <v>108</v>
      </c>
      <c r="H137" s="365"/>
      <c r="I137" s="365"/>
      <c r="J137" s="365"/>
      <c r="K137" s="365"/>
      <c r="L137" s="365"/>
      <c r="M137" s="365"/>
      <c r="N137" s="365"/>
      <c r="O137" s="365"/>
      <c r="P137" s="365"/>
      <c r="Q137" s="365"/>
      <c r="R137" s="365"/>
      <c r="S137" s="418"/>
      <c r="T137" s="365"/>
      <c r="U137" s="365"/>
      <c r="V137" s="365"/>
      <c r="W137" s="365"/>
      <c r="X137" s="365"/>
      <c r="Y137" s="365"/>
      <c r="Z137" s="365"/>
      <c r="AA137" s="365"/>
      <c r="AB137" s="365"/>
      <c r="AC137" s="365"/>
      <c r="AD137" s="365"/>
      <c r="AE137" s="112"/>
      <c r="AF137" s="366"/>
      <c r="AG137" s="366"/>
      <c r="AH137" s="366"/>
      <c r="AI137" s="366"/>
      <c r="AJ137" s="366"/>
      <c r="AK137" s="366"/>
      <c r="AL137" s="366"/>
      <c r="AM137" s="366">
        <v>0</v>
      </c>
      <c r="AN137" s="366">
        <v>0</v>
      </c>
      <c r="AO137" s="366">
        <v>0</v>
      </c>
      <c r="AP137" s="365"/>
      <c r="AQ137" s="441" t="s">
        <v>305</v>
      </c>
      <c r="AR137" s="441" t="str">
        <f>+AQ137</f>
        <v>à définir</v>
      </c>
      <c r="AS137" s="442" t="str">
        <f>+AR137</f>
        <v>à définir</v>
      </c>
      <c r="AT137" s="255"/>
      <c r="AU137" s="130"/>
      <c r="AV137" s="285"/>
      <c r="AW137" s="286"/>
      <c r="AX137" s="130"/>
      <c r="AY137" s="130"/>
      <c r="AZ137" s="130"/>
      <c r="BA137" s="285"/>
      <c r="BB137" s="286"/>
      <c r="BC137" s="130"/>
      <c r="BD137" s="285"/>
      <c r="BE137" s="286"/>
      <c r="BF137" s="130"/>
      <c r="BG137" s="285"/>
      <c r="BH137" s="286"/>
      <c r="BI137" s="130"/>
      <c r="BJ137" s="287"/>
      <c r="BK137" s="286"/>
      <c r="BL137" s="130"/>
      <c r="BM137" s="287"/>
      <c r="BN137" s="286"/>
      <c r="BO137" s="130"/>
      <c r="BP137" s="287"/>
      <c r="BQ137" s="286"/>
      <c r="BR137" s="130"/>
      <c r="BS137" s="287"/>
      <c r="BT137" s="286"/>
      <c r="BU137" s="130"/>
      <c r="BV137" s="130"/>
      <c r="BW137" s="130"/>
      <c r="BX137" s="130"/>
      <c r="BY137" s="256"/>
      <c r="BZ137" s="393"/>
      <c r="CA137" s="393"/>
      <c r="CB137" s="393"/>
      <c r="CC137" s="393"/>
      <c r="CD137" s="393"/>
    </row>
    <row r="138" spans="1:82" s="327" customFormat="1">
      <c r="A138" s="392"/>
      <c r="B138" s="261"/>
      <c r="C138" s="237"/>
      <c r="D138" s="397"/>
      <c r="E138" s="110" t="s">
        <v>215</v>
      </c>
      <c r="F138" s="127" t="s">
        <v>363</v>
      </c>
      <c r="G138" s="17" t="s">
        <v>108</v>
      </c>
      <c r="H138" s="365">
        <f t="shared" ref="H138:O139" si="456">+T138</f>
        <v>0</v>
      </c>
      <c r="I138" s="365">
        <f t="shared" si="456"/>
        <v>0</v>
      </c>
      <c r="J138" s="365">
        <f t="shared" si="456"/>
        <v>0</v>
      </c>
      <c r="K138" s="365">
        <f t="shared" si="456"/>
        <v>0</v>
      </c>
      <c r="L138" s="365">
        <f t="shared" si="456"/>
        <v>0</v>
      </c>
      <c r="M138" s="365">
        <f t="shared" si="456"/>
        <v>0</v>
      </c>
      <c r="N138" s="365">
        <f t="shared" si="456"/>
        <v>152</v>
      </c>
      <c r="O138" s="365">
        <f t="shared" si="456"/>
        <v>0</v>
      </c>
      <c r="P138" s="365">
        <f t="shared" ref="P138:Q139" si="457">+AB138</f>
        <v>0</v>
      </c>
      <c r="Q138" s="365">
        <f t="shared" si="457"/>
        <v>0</v>
      </c>
      <c r="R138" s="365"/>
      <c r="S138" s="418">
        <f>SUM(T138:AC138)</f>
        <v>152</v>
      </c>
      <c r="T138" s="365">
        <f t="shared" ref="T138:AC139" si="458">ROUND(AF138,ARRONDI_QT)</f>
        <v>0</v>
      </c>
      <c r="U138" s="365">
        <f t="shared" si="458"/>
        <v>0</v>
      </c>
      <c r="V138" s="365">
        <f t="shared" si="458"/>
        <v>0</v>
      </c>
      <c r="W138" s="365">
        <f t="shared" si="458"/>
        <v>0</v>
      </c>
      <c r="X138" s="365">
        <f t="shared" si="458"/>
        <v>0</v>
      </c>
      <c r="Y138" s="365">
        <f t="shared" si="458"/>
        <v>0</v>
      </c>
      <c r="Z138" s="365">
        <f t="shared" si="458"/>
        <v>152</v>
      </c>
      <c r="AA138" s="365">
        <f t="shared" si="458"/>
        <v>0</v>
      </c>
      <c r="AB138" s="365">
        <f t="shared" si="458"/>
        <v>0</v>
      </c>
      <c r="AC138" s="365">
        <f t="shared" si="458"/>
        <v>0</v>
      </c>
      <c r="AD138" s="365"/>
      <c r="AE138" s="112">
        <f>ROUND(SUM(AF138:AO138),ARRONDI_QT)</f>
        <v>152</v>
      </c>
      <c r="AF138" s="366">
        <v>0</v>
      </c>
      <c r="AG138" s="366">
        <v>0</v>
      </c>
      <c r="AH138" s="366">
        <v>0</v>
      </c>
      <c r="AI138" s="366">
        <v>0</v>
      </c>
      <c r="AJ138" s="366">
        <v>0</v>
      </c>
      <c r="AK138" s="366">
        <v>0</v>
      </c>
      <c r="AL138" s="366">
        <f>60+67+25</f>
        <v>152</v>
      </c>
      <c r="AM138" s="366">
        <v>0</v>
      </c>
      <c r="AN138" s="366">
        <v>0</v>
      </c>
      <c r="AO138" s="366">
        <v>0</v>
      </c>
      <c r="AP138" s="365"/>
      <c r="AQ138" s="439">
        <f>SUM(H138:Q138)</f>
        <v>152</v>
      </c>
      <c r="AR138" s="439">
        <f>ROUND(AU138+BV138,ARRONDI_PU)</f>
        <v>85.47</v>
      </c>
      <c r="AS138" s="440">
        <f>+AR138*AQ138</f>
        <v>12991.44</v>
      </c>
      <c r="AT138" s="255"/>
      <c r="AU138" s="130">
        <f>+AX138+BB138+BE138+BH138+BK138+BN138+BQ138+BT138</f>
        <v>77</v>
      </c>
      <c r="AV138" s="285">
        <f>+COEF_MO_INSTALL</f>
        <v>1.3</v>
      </c>
      <c r="AW138" s="286">
        <v>0</v>
      </c>
      <c r="AX138" s="130">
        <f>+AW138*TH_INSTALL</f>
        <v>0</v>
      </c>
      <c r="AY138" s="130">
        <f>+AW138*AE138</f>
        <v>0</v>
      </c>
      <c r="AZ138" s="130">
        <f>IF(AQ138&gt;0,(AX138*AE138),0)</f>
        <v>0</v>
      </c>
      <c r="BA138" s="285">
        <f>+COEF_FOUR1_INSTALL</f>
        <v>1.3</v>
      </c>
      <c r="BB138" s="286">
        <v>0</v>
      </c>
      <c r="BC138" s="130">
        <f>IF(AQ138&gt;0,(BB138*AE138),0)</f>
        <v>0</v>
      </c>
      <c r="BD138" s="285">
        <f>+COEF_FOUR2_INSTALL</f>
        <v>1.3</v>
      </c>
      <c r="BE138" s="286">
        <v>0</v>
      </c>
      <c r="BF138" s="130">
        <f>IF(AQ138&gt;0,(BE138*AE138),0)</f>
        <v>0</v>
      </c>
      <c r="BG138" s="285">
        <f>+COEF_FOUR3_INSTALL</f>
        <v>1.3</v>
      </c>
      <c r="BH138" s="286">
        <v>0</v>
      </c>
      <c r="BI138" s="130">
        <f>IF(AQ138&gt;0,(BH138*AE138),0)</f>
        <v>0</v>
      </c>
      <c r="BJ138" s="287">
        <f>+COEF_MTLLOC_INSTALL</f>
        <v>1.1499999999999999</v>
      </c>
      <c r="BK138" s="286">
        <v>0</v>
      </c>
      <c r="BL138" s="130">
        <f>IF(AQ138&gt;0,(BK138*AE138),0)</f>
        <v>0</v>
      </c>
      <c r="BM138" s="287">
        <f>+COEF_MTLAMR_INSTALL</f>
        <v>1.3</v>
      </c>
      <c r="BN138" s="286">
        <v>0</v>
      </c>
      <c r="BO138" s="130">
        <f>IF(AQ138&gt;0,(BN138*AE138),0)</f>
        <v>0</v>
      </c>
      <c r="BP138" s="287">
        <f>+COEF_ST1_INSTALL</f>
        <v>1.1100000000000001</v>
      </c>
      <c r="BQ138" s="286">
        <f>62+15</f>
        <v>77</v>
      </c>
      <c r="BR138" s="130">
        <f>IF(AQ138&gt;0,(BQ138*AE138),0)</f>
        <v>11704</v>
      </c>
      <c r="BS138" s="287">
        <f>+COEF_ST2_INSTALL</f>
        <v>1.1100000000000001</v>
      </c>
      <c r="BT138" s="286">
        <v>0</v>
      </c>
      <c r="BU138" s="130">
        <f>IF(AQ138&gt;0,(BT138*AE138),0)</f>
        <v>0</v>
      </c>
      <c r="BV138" s="130">
        <f>+(((AX138)*AV138)+(BB138*BA138)+(BE138*BD138)+(BH138*BG138)+(BK138*BJ138)+(BN138*BM138)+(BQ138*BP138)+(BT138*BS138)+(BT138*BS138))-(AU138)</f>
        <v>8.4700000000000131</v>
      </c>
      <c r="BW138" s="130">
        <f>+BV138*AE138</f>
        <v>1287.4400000000019</v>
      </c>
      <c r="BX138" s="130">
        <f>AS138-(BW138+BU138+BR138+BO138+BL138+BI138+BF138+BC138+AZ138)</f>
        <v>0</v>
      </c>
      <c r="BY138" s="329"/>
    </row>
    <row r="139" spans="1:82" s="327" customFormat="1">
      <c r="A139" s="392"/>
      <c r="B139" s="261"/>
      <c r="C139" s="237"/>
      <c r="D139" s="397"/>
      <c r="E139" s="110" t="s">
        <v>216</v>
      </c>
      <c r="F139" s="127" t="s">
        <v>244</v>
      </c>
      <c r="G139" s="17" t="s">
        <v>108</v>
      </c>
      <c r="H139" s="365">
        <f t="shared" si="456"/>
        <v>0</v>
      </c>
      <c r="I139" s="365">
        <f t="shared" si="456"/>
        <v>0</v>
      </c>
      <c r="J139" s="365">
        <f t="shared" si="456"/>
        <v>0</v>
      </c>
      <c r="K139" s="365">
        <f t="shared" si="456"/>
        <v>0</v>
      </c>
      <c r="L139" s="365">
        <f t="shared" si="456"/>
        <v>0</v>
      </c>
      <c r="M139" s="365">
        <f t="shared" si="456"/>
        <v>0</v>
      </c>
      <c r="N139" s="365">
        <f t="shared" si="456"/>
        <v>94</v>
      </c>
      <c r="O139" s="365">
        <f t="shared" si="456"/>
        <v>0</v>
      </c>
      <c r="P139" s="365">
        <f t="shared" si="457"/>
        <v>0</v>
      </c>
      <c r="Q139" s="365">
        <f t="shared" si="457"/>
        <v>0</v>
      </c>
      <c r="R139" s="365"/>
      <c r="S139" s="418">
        <f>SUM(T139:AC139)</f>
        <v>94</v>
      </c>
      <c r="T139" s="365">
        <f t="shared" si="458"/>
        <v>0</v>
      </c>
      <c r="U139" s="365">
        <f t="shared" si="458"/>
        <v>0</v>
      </c>
      <c r="V139" s="365">
        <f t="shared" si="458"/>
        <v>0</v>
      </c>
      <c r="W139" s="365">
        <f t="shared" si="458"/>
        <v>0</v>
      </c>
      <c r="X139" s="365">
        <f t="shared" si="458"/>
        <v>0</v>
      </c>
      <c r="Y139" s="365">
        <f t="shared" si="458"/>
        <v>0</v>
      </c>
      <c r="Z139" s="365">
        <f t="shared" si="458"/>
        <v>94</v>
      </c>
      <c r="AA139" s="365">
        <f t="shared" si="458"/>
        <v>0</v>
      </c>
      <c r="AB139" s="365">
        <f t="shared" si="458"/>
        <v>0</v>
      </c>
      <c r="AC139" s="365">
        <f t="shared" si="458"/>
        <v>0</v>
      </c>
      <c r="AD139" s="365"/>
      <c r="AE139" s="112">
        <f>ROUND(SUM(AF139:AO139),ARRONDI_QT)</f>
        <v>94</v>
      </c>
      <c r="AF139" s="366">
        <v>0</v>
      </c>
      <c r="AG139" s="366">
        <v>0</v>
      </c>
      <c r="AH139" s="366">
        <v>0</v>
      </c>
      <c r="AI139" s="366">
        <v>0</v>
      </c>
      <c r="AJ139" s="366">
        <v>0</v>
      </c>
      <c r="AK139" s="366">
        <v>0</v>
      </c>
      <c r="AL139" s="366">
        <v>94</v>
      </c>
      <c r="AM139" s="366">
        <v>0</v>
      </c>
      <c r="AN139" s="366">
        <v>0</v>
      </c>
      <c r="AO139" s="366">
        <v>0</v>
      </c>
      <c r="AP139" s="365"/>
      <c r="AQ139" s="439">
        <f>SUM(H139:Q139)</f>
        <v>94</v>
      </c>
      <c r="AR139" s="439">
        <f>ROUND(AU139+BV139,ARRONDI_PU)</f>
        <v>42.18</v>
      </c>
      <c r="AS139" s="440">
        <f>+AR139*AQ139</f>
        <v>3964.92</v>
      </c>
      <c r="AT139" s="255"/>
      <c r="AU139" s="130">
        <f>+AX139+BB139+BE139+BH139+BK139+BN139+BQ139+BT139</f>
        <v>38</v>
      </c>
      <c r="AV139" s="285">
        <f>+COEF_MO_INSTALL</f>
        <v>1.3</v>
      </c>
      <c r="AW139" s="286">
        <v>0</v>
      </c>
      <c r="AX139" s="130">
        <f>+AW139*TH_INSTALL</f>
        <v>0</v>
      </c>
      <c r="AY139" s="130">
        <f>+AW139*AE139</f>
        <v>0</v>
      </c>
      <c r="AZ139" s="130">
        <f>IF(AQ139&gt;0,(AX139*AE139),0)</f>
        <v>0</v>
      </c>
      <c r="BA139" s="285">
        <f>+COEF_FOUR1_INSTALL</f>
        <v>1.3</v>
      </c>
      <c r="BB139" s="286">
        <v>0</v>
      </c>
      <c r="BC139" s="130">
        <f>IF(AQ139&gt;0,(BB139*AE139),0)</f>
        <v>0</v>
      </c>
      <c r="BD139" s="285">
        <f>+COEF_FOUR2_INSTALL</f>
        <v>1.3</v>
      </c>
      <c r="BE139" s="286">
        <v>0</v>
      </c>
      <c r="BF139" s="130">
        <f>IF(AQ139&gt;0,(BE139*AE139),0)</f>
        <v>0</v>
      </c>
      <c r="BG139" s="285">
        <f>+COEF_FOUR3_INSTALL</f>
        <v>1.3</v>
      </c>
      <c r="BH139" s="286">
        <v>0</v>
      </c>
      <c r="BI139" s="130">
        <f>IF(AQ139&gt;0,(BH139*AE139),0)</f>
        <v>0</v>
      </c>
      <c r="BJ139" s="287">
        <f>+COEF_MTLLOC_INSTALL</f>
        <v>1.1499999999999999</v>
      </c>
      <c r="BK139" s="286">
        <v>0</v>
      </c>
      <c r="BL139" s="130">
        <f>IF(AQ139&gt;0,(BK139*AE139),0)</f>
        <v>0</v>
      </c>
      <c r="BM139" s="287">
        <f>+COEF_MTLAMR_INSTALL</f>
        <v>1.3</v>
      </c>
      <c r="BN139" s="286">
        <v>0</v>
      </c>
      <c r="BO139" s="130">
        <f>IF(AQ139&gt;0,(BN139*AE139),0)</f>
        <v>0</v>
      </c>
      <c r="BP139" s="287">
        <f>+COEF_ST1_INSTALL</f>
        <v>1.1100000000000001</v>
      </c>
      <c r="BQ139" s="286">
        <v>38</v>
      </c>
      <c r="BR139" s="130">
        <f>IF(AQ139&gt;0,(BQ139*AE139),0)</f>
        <v>3572</v>
      </c>
      <c r="BS139" s="287">
        <f>+COEF_ST2_INSTALL</f>
        <v>1.1100000000000001</v>
      </c>
      <c r="BT139" s="286">
        <v>0</v>
      </c>
      <c r="BU139" s="130">
        <f>IF(AQ139&gt;0,(BT139*AE139),0)</f>
        <v>0</v>
      </c>
      <c r="BV139" s="130">
        <f>+(((AX139)*AV139)+(BB139*BA139)+(BE139*BD139)+(BH139*BG139)+(BK139*BJ139)+(BN139*BM139)+(BQ139*BP139)+(BT139*BS139)+(BT139*BS139))-(AU139)</f>
        <v>4.1800000000000068</v>
      </c>
      <c r="BW139" s="130">
        <f>+BV139*AE139</f>
        <v>392.92000000000064</v>
      </c>
      <c r="BX139" s="130">
        <f>AS139-(BW139+BU139+BR139+BO139+BL139+BI139+BF139+BC139+AZ139)</f>
        <v>0</v>
      </c>
      <c r="BY139" s="329"/>
    </row>
    <row r="140" spans="1:82" s="393" customFormat="1">
      <c r="B140" s="261"/>
      <c r="C140" s="237"/>
      <c r="D140" s="397"/>
      <c r="E140" s="110"/>
      <c r="F140" s="127"/>
      <c r="G140" s="17"/>
      <c r="H140" s="365"/>
      <c r="I140" s="365"/>
      <c r="J140" s="365"/>
      <c r="K140" s="365"/>
      <c r="L140" s="365"/>
      <c r="M140" s="365"/>
      <c r="N140" s="365"/>
      <c r="O140" s="365"/>
      <c r="P140" s="365"/>
      <c r="Q140" s="365"/>
      <c r="R140" s="365"/>
      <c r="S140" s="418"/>
      <c r="T140" s="365"/>
      <c r="U140" s="365"/>
      <c r="V140" s="365"/>
      <c r="W140" s="365"/>
      <c r="X140" s="365"/>
      <c r="Y140" s="365"/>
      <c r="Z140" s="365"/>
      <c r="AA140" s="365"/>
      <c r="AB140" s="365"/>
      <c r="AC140" s="365"/>
      <c r="AD140" s="365"/>
      <c r="AE140" s="112"/>
      <c r="AF140" s="366"/>
      <c r="AG140" s="366"/>
      <c r="AH140" s="366"/>
      <c r="AI140" s="366"/>
      <c r="AJ140" s="366"/>
      <c r="AK140" s="366"/>
      <c r="AL140" s="366"/>
      <c r="AM140" s="366"/>
      <c r="AN140" s="366"/>
      <c r="AO140" s="366"/>
      <c r="AP140" s="365"/>
      <c r="AQ140" s="439"/>
      <c r="AR140" s="439"/>
      <c r="AS140" s="440"/>
      <c r="AT140" s="255"/>
      <c r="AU140" s="130"/>
      <c r="AV140" s="285"/>
      <c r="AW140" s="286"/>
      <c r="AX140" s="130"/>
      <c r="AY140" s="130"/>
      <c r="AZ140" s="130"/>
      <c r="BA140" s="285"/>
      <c r="BB140" s="286"/>
      <c r="BC140" s="130"/>
      <c r="BD140" s="285"/>
      <c r="BE140" s="286"/>
      <c r="BF140" s="130"/>
      <c r="BG140" s="285"/>
      <c r="BH140" s="286"/>
      <c r="BI140" s="130"/>
      <c r="BJ140" s="287"/>
      <c r="BK140" s="286"/>
      <c r="BL140" s="130"/>
      <c r="BM140" s="287"/>
      <c r="BN140" s="286"/>
      <c r="BO140" s="130"/>
      <c r="BP140" s="287"/>
      <c r="BQ140" s="286"/>
      <c r="BR140" s="130"/>
      <c r="BS140" s="287"/>
      <c r="BT140" s="286"/>
      <c r="BU140" s="130"/>
      <c r="BV140" s="130"/>
      <c r="BW140" s="130"/>
      <c r="BX140" s="130"/>
      <c r="BY140" s="329"/>
    </row>
    <row r="141" spans="1:82" s="327" customFormat="1" ht="26.25">
      <c r="A141" s="392"/>
      <c r="B141" s="261"/>
      <c r="C141" s="237"/>
      <c r="D141" s="397"/>
      <c r="E141" s="110" t="s">
        <v>217</v>
      </c>
      <c r="F141" s="368" t="s">
        <v>357</v>
      </c>
      <c r="G141" s="17"/>
      <c r="H141" s="365"/>
      <c r="I141" s="365"/>
      <c r="J141" s="365"/>
      <c r="K141" s="365"/>
      <c r="L141" s="365"/>
      <c r="M141" s="365"/>
      <c r="N141" s="365"/>
      <c r="O141" s="365"/>
      <c r="P141" s="365"/>
      <c r="Q141" s="365"/>
      <c r="R141" s="365"/>
      <c r="S141" s="418"/>
      <c r="T141" s="365"/>
      <c r="U141" s="365"/>
      <c r="V141" s="365"/>
      <c r="W141" s="365"/>
      <c r="X141" s="365"/>
      <c r="Y141" s="365"/>
      <c r="Z141" s="365"/>
      <c r="AA141" s="365"/>
      <c r="AB141" s="365"/>
      <c r="AC141" s="365"/>
      <c r="AD141" s="365"/>
      <c r="AE141" s="112"/>
      <c r="AF141" s="366"/>
      <c r="AG141" s="366"/>
      <c r="AH141" s="366"/>
      <c r="AI141" s="366"/>
      <c r="AJ141" s="366"/>
      <c r="AK141" s="366"/>
      <c r="AL141" s="366"/>
      <c r="AM141" s="366"/>
      <c r="AN141" s="366"/>
      <c r="AO141" s="366"/>
      <c r="AP141" s="365"/>
      <c r="AQ141" s="439"/>
      <c r="AR141" s="439"/>
      <c r="AS141" s="440"/>
      <c r="AT141" s="255"/>
      <c r="AU141" s="130"/>
      <c r="AV141" s="285"/>
      <c r="AW141" s="286"/>
      <c r="AX141" s="130"/>
      <c r="AY141" s="130"/>
      <c r="AZ141" s="130"/>
      <c r="BA141" s="285"/>
      <c r="BB141" s="286"/>
      <c r="BC141" s="130"/>
      <c r="BD141" s="285"/>
      <c r="BE141" s="286"/>
      <c r="BF141" s="130"/>
      <c r="BG141" s="285"/>
      <c r="BH141" s="286"/>
      <c r="BI141" s="130"/>
      <c r="BJ141" s="287"/>
      <c r="BK141" s="286"/>
      <c r="BL141" s="130"/>
      <c r="BM141" s="287"/>
      <c r="BN141" s="286"/>
      <c r="BO141" s="130"/>
      <c r="BP141" s="287"/>
      <c r="BQ141" s="286"/>
      <c r="BR141" s="130"/>
      <c r="BS141" s="287"/>
      <c r="BT141" s="286"/>
      <c r="BU141" s="130"/>
      <c r="BV141" s="130"/>
      <c r="BW141" s="130"/>
      <c r="BX141" s="130"/>
      <c r="BY141" s="329"/>
    </row>
    <row r="142" spans="1:82" s="393" customFormat="1" ht="51.75">
      <c r="B142" s="261"/>
      <c r="C142" s="237"/>
      <c r="D142" s="397"/>
      <c r="E142" s="430"/>
      <c r="F142" s="368" t="s">
        <v>358</v>
      </c>
      <c r="G142" s="431" t="s">
        <v>36</v>
      </c>
      <c r="H142" s="365">
        <f t="shared" ref="H142" si="459">+T142</f>
        <v>0</v>
      </c>
      <c r="I142" s="365">
        <f t="shared" ref="I142" si="460">+U142</f>
        <v>0</v>
      </c>
      <c r="J142" s="365">
        <f t="shared" ref="J142" si="461">+V142</f>
        <v>0</v>
      </c>
      <c r="K142" s="365">
        <f t="shared" ref="K142" si="462">+W142</f>
        <v>0</v>
      </c>
      <c r="L142" s="365">
        <f t="shared" ref="L142" si="463">+X142</f>
        <v>0</v>
      </c>
      <c r="M142" s="365">
        <f t="shared" ref="M142" si="464">+Y142</f>
        <v>0</v>
      </c>
      <c r="N142" s="365">
        <f t="shared" ref="N142" si="465">+Z142</f>
        <v>178</v>
      </c>
      <c r="O142" s="365">
        <f t="shared" ref="O142" si="466">+AA142</f>
        <v>0</v>
      </c>
      <c r="P142" s="365">
        <f t="shared" ref="P142" si="467">+AB142</f>
        <v>0</v>
      </c>
      <c r="Q142" s="365">
        <f t="shared" ref="Q142" si="468">+AC142</f>
        <v>0</v>
      </c>
      <c r="R142" s="365"/>
      <c r="S142" s="418">
        <f>SUM(T142:AC142)</f>
        <v>178</v>
      </c>
      <c r="T142" s="365">
        <f t="shared" ref="T142" si="469">ROUND(AF142,ARRONDI_QT)</f>
        <v>0</v>
      </c>
      <c r="U142" s="365">
        <f t="shared" ref="U142" si="470">ROUND(AG142,ARRONDI_QT)</f>
        <v>0</v>
      </c>
      <c r="V142" s="365">
        <f t="shared" ref="V142" si="471">ROUND(AH142,ARRONDI_QT)</f>
        <v>0</v>
      </c>
      <c r="W142" s="365">
        <f t="shared" ref="W142" si="472">ROUND(AI142,ARRONDI_QT)</f>
        <v>0</v>
      </c>
      <c r="X142" s="365">
        <f t="shared" ref="X142" si="473">ROUND(AJ142,ARRONDI_QT)</f>
        <v>0</v>
      </c>
      <c r="Y142" s="365">
        <f t="shared" ref="Y142" si="474">ROUND(AK142,ARRONDI_QT)</f>
        <v>0</v>
      </c>
      <c r="Z142" s="365">
        <f t="shared" ref="Z142" si="475">ROUND(AL142,ARRONDI_QT)</f>
        <v>178</v>
      </c>
      <c r="AA142" s="365">
        <f t="shared" ref="AA142" si="476">ROUND(AM142,ARRONDI_QT)</f>
        <v>0</v>
      </c>
      <c r="AB142" s="365">
        <f t="shared" ref="AB142" si="477">ROUND(AN142,ARRONDI_QT)</f>
        <v>0</v>
      </c>
      <c r="AC142" s="365">
        <f t="shared" ref="AC142" si="478">ROUND(AO142,ARRONDI_QT)</f>
        <v>0</v>
      </c>
      <c r="AD142" s="365"/>
      <c r="AE142" s="112">
        <f>ROUND(SUM(AF142:AO142),ARRONDI_QT)</f>
        <v>178</v>
      </c>
      <c r="AF142" s="366">
        <v>0</v>
      </c>
      <c r="AG142" s="366">
        <v>0</v>
      </c>
      <c r="AH142" s="366">
        <v>0</v>
      </c>
      <c r="AI142" s="366">
        <v>0</v>
      </c>
      <c r="AJ142" s="366">
        <v>0</v>
      </c>
      <c r="AK142" s="366">
        <v>0</v>
      </c>
      <c r="AL142" s="366">
        <v>178</v>
      </c>
      <c r="AM142" s="366">
        <v>0</v>
      </c>
      <c r="AN142" s="366">
        <v>0</v>
      </c>
      <c r="AO142" s="366">
        <v>0</v>
      </c>
      <c r="AP142" s="365"/>
      <c r="AQ142" s="439">
        <f>SUM(H142:Q142)</f>
        <v>178</v>
      </c>
      <c r="AR142" s="439">
        <f>ROUND(AU142+BV142,ARRONDI_PU)</f>
        <v>23.31</v>
      </c>
      <c r="AS142" s="440">
        <f>+AR142*AQ142</f>
        <v>4149.1799999999994</v>
      </c>
      <c r="AT142" s="255"/>
      <c r="AU142" s="130">
        <f>+AX142+BB142+BE142+BH142+BK142+BN142+BQ142+BT142</f>
        <v>21</v>
      </c>
      <c r="AV142" s="285">
        <f>+COEF_MO_INSTALL</f>
        <v>1.3</v>
      </c>
      <c r="AW142" s="286">
        <v>0</v>
      </c>
      <c r="AX142" s="130">
        <f>+AW142*TH_INSTALL</f>
        <v>0</v>
      </c>
      <c r="AY142" s="130">
        <f>+AW142*AE142</f>
        <v>0</v>
      </c>
      <c r="AZ142" s="130">
        <f>IF(AQ142&gt;0,(AX142*AE142),0)</f>
        <v>0</v>
      </c>
      <c r="BA142" s="285">
        <f>+COEF_FOUR1_INSTALL</f>
        <v>1.3</v>
      </c>
      <c r="BB142" s="286">
        <v>0</v>
      </c>
      <c r="BC142" s="130">
        <f>IF(AQ142&gt;0,(BB142*AE142),0)</f>
        <v>0</v>
      </c>
      <c r="BD142" s="285">
        <f>+COEF_FOUR2_INSTALL</f>
        <v>1.3</v>
      </c>
      <c r="BE142" s="286">
        <v>0</v>
      </c>
      <c r="BF142" s="130">
        <f>IF(AQ142&gt;0,(BE142*AE142),0)</f>
        <v>0</v>
      </c>
      <c r="BG142" s="285">
        <f>+COEF_FOUR3_INSTALL</f>
        <v>1.3</v>
      </c>
      <c r="BH142" s="286">
        <v>0</v>
      </c>
      <c r="BI142" s="130">
        <f>IF(AQ142&gt;0,(BH142*AE142),0)</f>
        <v>0</v>
      </c>
      <c r="BJ142" s="287">
        <f>+COEF_MTLLOC_INSTALL</f>
        <v>1.1499999999999999</v>
      </c>
      <c r="BK142" s="286">
        <v>0</v>
      </c>
      <c r="BL142" s="130">
        <f>IF(AQ142&gt;0,(BK142*AE142),0)</f>
        <v>0</v>
      </c>
      <c r="BM142" s="287">
        <f>+COEF_MTLAMR_INSTALL</f>
        <v>1.3</v>
      </c>
      <c r="BN142" s="286">
        <v>0</v>
      </c>
      <c r="BO142" s="130">
        <f>IF(AQ142&gt;0,(BN142*AE142),0)</f>
        <v>0</v>
      </c>
      <c r="BP142" s="287">
        <f>+COEF_ST1_INSTALL</f>
        <v>1.1100000000000001</v>
      </c>
      <c r="BQ142" s="286">
        <v>21</v>
      </c>
      <c r="BR142" s="130">
        <f>IF(AQ142&gt;0,(BQ142*AE142),0)</f>
        <v>3738</v>
      </c>
      <c r="BS142" s="287">
        <f>+COEF_ST2_INSTALL</f>
        <v>1.1100000000000001</v>
      </c>
      <c r="BT142" s="286">
        <v>0</v>
      </c>
      <c r="BU142" s="130">
        <f>IF(AQ142&gt;0,(BT142*AE142),0)</f>
        <v>0</v>
      </c>
      <c r="BV142" s="130">
        <f>+(((AX142)*AV142)+(BB142*BA142)+(BE142*BD142)+(BH142*BG142)+(BK142*BJ142)+(BN142*BM142)+(BQ142*BP142)+(BT142*BS142)+(BT142*BS142))-(AU142)</f>
        <v>2.3100000000000023</v>
      </c>
      <c r="BW142" s="130">
        <f>+BV142*AE142</f>
        <v>411.1800000000004</v>
      </c>
      <c r="BX142" s="130">
        <f>AS142-(BW142+BU142+BR142+BO142+BL142+BI142+BF142+BC142+AZ142)</f>
        <v>0</v>
      </c>
      <c r="BY142" s="329"/>
    </row>
    <row r="143" spans="1:82" s="393" customFormat="1" ht="26.25">
      <c r="B143" s="261"/>
      <c r="C143" s="237"/>
      <c r="D143" s="397"/>
      <c r="E143" s="430" t="s">
        <v>327</v>
      </c>
      <c r="F143" s="368" t="s">
        <v>359</v>
      </c>
      <c r="G143" s="431"/>
      <c r="H143" s="365"/>
      <c r="I143" s="365"/>
      <c r="J143" s="365"/>
      <c r="K143" s="365"/>
      <c r="L143" s="365"/>
      <c r="M143" s="365"/>
      <c r="N143" s="365"/>
      <c r="O143" s="365"/>
      <c r="P143" s="365"/>
      <c r="Q143" s="365"/>
      <c r="R143" s="365"/>
      <c r="S143" s="418"/>
      <c r="T143" s="365"/>
      <c r="U143" s="365"/>
      <c r="V143" s="365"/>
      <c r="W143" s="365"/>
      <c r="X143" s="365"/>
      <c r="Y143" s="365"/>
      <c r="Z143" s="365"/>
      <c r="AA143" s="365"/>
      <c r="AB143" s="365"/>
      <c r="AC143" s="365"/>
      <c r="AD143" s="365"/>
      <c r="AE143" s="112"/>
      <c r="AF143" s="366"/>
      <c r="AG143" s="366"/>
      <c r="AH143" s="366"/>
      <c r="AI143" s="366"/>
      <c r="AJ143" s="366"/>
      <c r="AK143" s="366"/>
      <c r="AL143" s="366"/>
      <c r="AM143" s="366"/>
      <c r="AN143" s="366"/>
      <c r="AO143" s="366"/>
      <c r="AP143" s="365"/>
      <c r="AQ143" s="441" t="s">
        <v>326</v>
      </c>
      <c r="AR143" s="441" t="str">
        <f>+AQ143</f>
        <v>Non prévu</v>
      </c>
      <c r="AS143" s="442" t="str">
        <f>+AR143</f>
        <v>Non prévu</v>
      </c>
      <c r="AT143" s="255"/>
      <c r="AU143" s="130"/>
      <c r="AV143" s="285"/>
      <c r="AW143" s="286"/>
      <c r="AX143" s="130"/>
      <c r="AY143" s="130"/>
      <c r="AZ143" s="130"/>
      <c r="BA143" s="285"/>
      <c r="BB143" s="286"/>
      <c r="BC143" s="130"/>
      <c r="BD143" s="285"/>
      <c r="BE143" s="286"/>
      <c r="BF143" s="130"/>
      <c r="BG143" s="285"/>
      <c r="BH143" s="286"/>
      <c r="BI143" s="130"/>
      <c r="BJ143" s="287"/>
      <c r="BK143" s="286"/>
      <c r="BL143" s="130"/>
      <c r="BM143" s="287"/>
      <c r="BN143" s="286"/>
      <c r="BO143" s="130"/>
      <c r="BP143" s="287"/>
      <c r="BQ143" s="286"/>
      <c r="BR143" s="130"/>
      <c r="BS143" s="287"/>
      <c r="BT143" s="286"/>
      <c r="BU143" s="130"/>
      <c r="BV143" s="130"/>
      <c r="BW143" s="130"/>
      <c r="BX143" s="130"/>
      <c r="BY143" s="329"/>
    </row>
    <row r="144" spans="1:82" s="426" customFormat="1">
      <c r="B144" s="261"/>
      <c r="C144" s="237"/>
      <c r="D144" s="397"/>
      <c r="E144" s="430"/>
      <c r="F144" s="368"/>
      <c r="G144" s="431"/>
      <c r="H144" s="365"/>
      <c r="I144" s="365"/>
      <c r="J144" s="365"/>
      <c r="K144" s="365"/>
      <c r="L144" s="365"/>
      <c r="M144" s="365"/>
      <c r="N144" s="365"/>
      <c r="O144" s="365"/>
      <c r="P144" s="365"/>
      <c r="Q144" s="365"/>
      <c r="R144" s="365"/>
      <c r="S144" s="418"/>
      <c r="T144" s="365"/>
      <c r="U144" s="365"/>
      <c r="V144" s="365"/>
      <c r="W144" s="365"/>
      <c r="X144" s="365"/>
      <c r="Y144" s="365"/>
      <c r="Z144" s="365"/>
      <c r="AA144" s="365"/>
      <c r="AB144" s="365"/>
      <c r="AC144" s="365"/>
      <c r="AD144" s="365"/>
      <c r="AE144" s="112"/>
      <c r="AF144" s="366"/>
      <c r="AG144" s="366"/>
      <c r="AH144" s="366"/>
      <c r="AI144" s="366"/>
      <c r="AJ144" s="366"/>
      <c r="AK144" s="366"/>
      <c r="AL144" s="366"/>
      <c r="AM144" s="366"/>
      <c r="AN144" s="366"/>
      <c r="AO144" s="366"/>
      <c r="AP144" s="365"/>
      <c r="AQ144" s="439"/>
      <c r="AR144" s="439"/>
      <c r="AS144" s="440"/>
      <c r="AT144" s="255"/>
      <c r="AU144" s="130"/>
      <c r="AV144" s="285"/>
      <c r="AW144" s="286"/>
      <c r="AX144" s="130"/>
      <c r="AY144" s="130"/>
      <c r="AZ144" s="130"/>
      <c r="BA144" s="285"/>
      <c r="BB144" s="286"/>
      <c r="BC144" s="130"/>
      <c r="BD144" s="285"/>
      <c r="BE144" s="286"/>
      <c r="BF144" s="130"/>
      <c r="BG144" s="285"/>
      <c r="BH144" s="286"/>
      <c r="BI144" s="130"/>
      <c r="BJ144" s="287"/>
      <c r="BK144" s="286"/>
      <c r="BL144" s="130"/>
      <c r="BM144" s="287"/>
      <c r="BN144" s="286"/>
      <c r="BO144" s="130"/>
      <c r="BP144" s="287"/>
      <c r="BQ144" s="286"/>
      <c r="BR144" s="130"/>
      <c r="BS144" s="287"/>
      <c r="BT144" s="286"/>
      <c r="BU144" s="130"/>
      <c r="BV144" s="130"/>
      <c r="BW144" s="130"/>
      <c r="BX144" s="130"/>
      <c r="BY144" s="329"/>
    </row>
    <row r="145" spans="1:82" s="327" customFormat="1">
      <c r="A145" s="392"/>
      <c r="B145" s="261"/>
      <c r="C145" s="237"/>
      <c r="D145" s="397"/>
      <c r="E145" s="110" t="s">
        <v>218</v>
      </c>
      <c r="F145" s="127" t="s">
        <v>356</v>
      </c>
      <c r="G145" s="431"/>
      <c r="H145" s="365"/>
      <c r="I145" s="365"/>
      <c r="J145" s="365"/>
      <c r="K145" s="365"/>
      <c r="L145" s="365"/>
      <c r="M145" s="365"/>
      <c r="N145" s="365"/>
      <c r="O145" s="365"/>
      <c r="P145" s="365"/>
      <c r="Q145" s="365"/>
      <c r="R145" s="365"/>
      <c r="S145" s="418"/>
      <c r="T145" s="365"/>
      <c r="U145" s="365"/>
      <c r="V145" s="365"/>
      <c r="W145" s="365"/>
      <c r="X145" s="365"/>
      <c r="Y145" s="365"/>
      <c r="Z145" s="365"/>
      <c r="AA145" s="365"/>
      <c r="AB145" s="365"/>
      <c r="AC145" s="365"/>
      <c r="AD145" s="365"/>
      <c r="AE145" s="112"/>
      <c r="AF145" s="366"/>
      <c r="AG145" s="366"/>
      <c r="AH145" s="366"/>
      <c r="AI145" s="366"/>
      <c r="AJ145" s="366"/>
      <c r="AK145" s="366"/>
      <c r="AL145" s="366"/>
      <c r="AM145" s="366"/>
      <c r="AN145" s="366"/>
      <c r="AO145" s="366"/>
      <c r="AP145" s="365"/>
      <c r="AQ145" s="439"/>
      <c r="AR145" s="439"/>
      <c r="AS145" s="440"/>
      <c r="AT145" s="255"/>
      <c r="AU145" s="130"/>
      <c r="AV145" s="285"/>
      <c r="AW145" s="286"/>
      <c r="AX145" s="130"/>
      <c r="AY145" s="130"/>
      <c r="AZ145" s="130"/>
      <c r="BA145" s="285"/>
      <c r="BB145" s="286"/>
      <c r="BC145" s="130"/>
      <c r="BD145" s="285"/>
      <c r="BE145" s="286"/>
      <c r="BF145" s="130"/>
      <c r="BG145" s="285"/>
      <c r="BH145" s="286"/>
      <c r="BI145" s="130"/>
      <c r="BJ145" s="287"/>
      <c r="BK145" s="286"/>
      <c r="BL145" s="130"/>
      <c r="BM145" s="287"/>
      <c r="BN145" s="286"/>
      <c r="BO145" s="130"/>
      <c r="BP145" s="287"/>
      <c r="BQ145" s="286"/>
      <c r="BR145" s="130"/>
      <c r="BS145" s="287"/>
      <c r="BT145" s="286"/>
      <c r="BU145" s="130"/>
      <c r="BV145" s="130"/>
      <c r="BW145" s="130"/>
      <c r="BX145" s="130"/>
      <c r="BY145" s="329"/>
    </row>
    <row r="146" spans="1:82" s="327" customFormat="1" ht="77.25">
      <c r="A146" s="392"/>
      <c r="B146" s="261"/>
      <c r="C146" s="237"/>
      <c r="D146" s="397"/>
      <c r="E146" s="110"/>
      <c r="F146" s="368" t="s">
        <v>360</v>
      </c>
      <c r="G146" s="431" t="s">
        <v>108</v>
      </c>
      <c r="H146" s="365">
        <f t="shared" ref="H146" si="479">+T146</f>
        <v>0</v>
      </c>
      <c r="I146" s="365">
        <f t="shared" ref="I146" si="480">+U146</f>
        <v>0</v>
      </c>
      <c r="J146" s="365">
        <f t="shared" ref="J146" si="481">+V146</f>
        <v>0</v>
      </c>
      <c r="K146" s="365">
        <f t="shared" ref="K146" si="482">+W146</f>
        <v>0</v>
      </c>
      <c r="L146" s="365">
        <f t="shared" ref="L146" si="483">+X146</f>
        <v>0</v>
      </c>
      <c r="M146" s="365">
        <f t="shared" ref="M146" si="484">+Y146</f>
        <v>0</v>
      </c>
      <c r="N146" s="365">
        <f t="shared" ref="N146" si="485">+Z146</f>
        <v>95</v>
      </c>
      <c r="O146" s="365">
        <f t="shared" ref="O146" si="486">+AA146</f>
        <v>0</v>
      </c>
      <c r="P146" s="365">
        <f t="shared" ref="P146" si="487">+AB146</f>
        <v>0</v>
      </c>
      <c r="Q146" s="365">
        <f t="shared" ref="Q146" si="488">+AC146</f>
        <v>0</v>
      </c>
      <c r="R146" s="365"/>
      <c r="S146" s="418">
        <f>SUM(T146:AC146)</f>
        <v>95</v>
      </c>
      <c r="T146" s="365">
        <f t="shared" ref="T146" si="489">ROUND(AF146,ARRONDI_QT)</f>
        <v>0</v>
      </c>
      <c r="U146" s="365">
        <f t="shared" ref="U146" si="490">ROUND(AG146,ARRONDI_QT)</f>
        <v>0</v>
      </c>
      <c r="V146" s="365">
        <f t="shared" ref="V146" si="491">ROUND(AH146,ARRONDI_QT)</f>
        <v>0</v>
      </c>
      <c r="W146" s="365">
        <f t="shared" ref="W146" si="492">ROUND(AI146,ARRONDI_QT)</f>
        <v>0</v>
      </c>
      <c r="X146" s="365">
        <f t="shared" ref="X146" si="493">ROUND(AJ146,ARRONDI_QT)</f>
        <v>0</v>
      </c>
      <c r="Y146" s="365">
        <f t="shared" ref="Y146" si="494">ROUND(AK146,ARRONDI_QT)</f>
        <v>0</v>
      </c>
      <c r="Z146" s="365">
        <f t="shared" ref="Z146" si="495">ROUND(AL146,ARRONDI_QT)</f>
        <v>95</v>
      </c>
      <c r="AA146" s="365">
        <f t="shared" ref="AA146" si="496">ROUND(AM146,ARRONDI_QT)</f>
        <v>0</v>
      </c>
      <c r="AB146" s="365">
        <f t="shared" ref="AB146" si="497">ROUND(AN146,ARRONDI_QT)</f>
        <v>0</v>
      </c>
      <c r="AC146" s="365">
        <f t="shared" ref="AC146" si="498">ROUND(AO146,ARRONDI_QT)</f>
        <v>0</v>
      </c>
      <c r="AD146" s="365"/>
      <c r="AE146" s="112">
        <f>ROUND(SUM(AF146:AO146),ARRONDI_QT)</f>
        <v>95</v>
      </c>
      <c r="AF146" s="366">
        <v>0</v>
      </c>
      <c r="AG146" s="366">
        <v>0</v>
      </c>
      <c r="AH146" s="366">
        <v>0</v>
      </c>
      <c r="AI146" s="366">
        <v>0</v>
      </c>
      <c r="AJ146" s="366">
        <v>0</v>
      </c>
      <c r="AK146" s="366">
        <v>0</v>
      </c>
      <c r="AL146" s="366">
        <v>95</v>
      </c>
      <c r="AM146" s="366">
        <v>0</v>
      </c>
      <c r="AN146" s="366">
        <v>0</v>
      </c>
      <c r="AO146" s="366">
        <v>0</v>
      </c>
      <c r="AP146" s="365"/>
      <c r="AQ146" s="439">
        <f>SUM(H146:Q146)</f>
        <v>95</v>
      </c>
      <c r="AR146" s="439">
        <f>ROUND(AU146+BV146,ARRONDI_PU)</f>
        <v>46.62</v>
      </c>
      <c r="AS146" s="440">
        <f>+AR146*AQ146</f>
        <v>4428.8999999999996</v>
      </c>
      <c r="AT146" s="255"/>
      <c r="AU146" s="130">
        <f>+AX146+BB146+BE146+BH146+BK146+BN146+BQ146+BT146</f>
        <v>42</v>
      </c>
      <c r="AV146" s="285">
        <f>+COEF_MO_INSTALL</f>
        <v>1.3</v>
      </c>
      <c r="AW146" s="286">
        <v>0</v>
      </c>
      <c r="AX146" s="130">
        <f>+AW146*TH_INSTALL</f>
        <v>0</v>
      </c>
      <c r="AY146" s="130">
        <f>+AW146*AE146</f>
        <v>0</v>
      </c>
      <c r="AZ146" s="130">
        <f>IF(AQ146&gt;0,(AX146*AE146),0)</f>
        <v>0</v>
      </c>
      <c r="BA146" s="285">
        <f>+COEF_FOUR1_INSTALL</f>
        <v>1.3</v>
      </c>
      <c r="BB146" s="286">
        <v>0</v>
      </c>
      <c r="BC146" s="130">
        <f>IF(AQ146&gt;0,(BB146*AE146),0)</f>
        <v>0</v>
      </c>
      <c r="BD146" s="285">
        <f>+COEF_FOUR2_INSTALL</f>
        <v>1.3</v>
      </c>
      <c r="BE146" s="286">
        <v>0</v>
      </c>
      <c r="BF146" s="130">
        <f>IF(AQ146&gt;0,(BE146*AE146),0)</f>
        <v>0</v>
      </c>
      <c r="BG146" s="285">
        <f>+COEF_FOUR3_INSTALL</f>
        <v>1.3</v>
      </c>
      <c r="BH146" s="286">
        <v>0</v>
      </c>
      <c r="BI146" s="130">
        <f>IF(AQ146&gt;0,(BH146*AE146),0)</f>
        <v>0</v>
      </c>
      <c r="BJ146" s="287">
        <f>+COEF_MTLLOC_INSTALL</f>
        <v>1.1499999999999999</v>
      </c>
      <c r="BK146" s="286">
        <v>0</v>
      </c>
      <c r="BL146" s="130">
        <f>IF(AQ146&gt;0,(BK146*AE146),0)</f>
        <v>0</v>
      </c>
      <c r="BM146" s="287">
        <f>+COEF_MTLAMR_INSTALL</f>
        <v>1.3</v>
      </c>
      <c r="BN146" s="286">
        <v>0</v>
      </c>
      <c r="BO146" s="130">
        <f>IF(AQ146&gt;0,(BN146*AE146),0)</f>
        <v>0</v>
      </c>
      <c r="BP146" s="287">
        <f>+COEF_ST1_INSTALL</f>
        <v>1.1100000000000001</v>
      </c>
      <c r="BQ146" s="286">
        <v>42</v>
      </c>
      <c r="BR146" s="130">
        <f>IF(AQ146&gt;0,(BQ146*AE146),0)</f>
        <v>3990</v>
      </c>
      <c r="BS146" s="287">
        <f>+COEF_ST2_INSTALL</f>
        <v>1.1100000000000001</v>
      </c>
      <c r="BT146" s="286">
        <v>0</v>
      </c>
      <c r="BU146" s="130">
        <f>IF(AQ146&gt;0,(BT146*AE146),0)</f>
        <v>0</v>
      </c>
      <c r="BV146" s="130">
        <f>+(((AX146)*AV146)+(BB146*BA146)+(BE146*BD146)+(BH146*BG146)+(BK146*BJ146)+(BN146*BM146)+(BQ146*BP146)+(BT146*BS146)+(BT146*BS146))-(AU146)</f>
        <v>4.6200000000000045</v>
      </c>
      <c r="BW146" s="130">
        <f>+BV146*AE146</f>
        <v>438.90000000000043</v>
      </c>
      <c r="BX146" s="130">
        <f>AS146-(BW146+BU146+BR146+BO146+BL146+BI146+BF146+BC146+AZ146)</f>
        <v>0</v>
      </c>
      <c r="BY146" s="329"/>
      <c r="BZ146" s="393"/>
      <c r="CA146" s="393"/>
      <c r="CB146" s="393"/>
      <c r="CC146" s="393"/>
      <c r="CD146" s="393"/>
    </row>
    <row r="147" spans="1:82" s="327" customFormat="1" ht="63.75">
      <c r="A147" s="392"/>
      <c r="B147" s="261"/>
      <c r="C147" s="237"/>
      <c r="D147" s="397"/>
      <c r="E147" s="110"/>
      <c r="F147" s="369" t="s">
        <v>361</v>
      </c>
      <c r="G147" s="431" t="s">
        <v>108</v>
      </c>
      <c r="H147" s="365">
        <f t="shared" ref="H147" si="499">+T147</f>
        <v>0</v>
      </c>
      <c r="I147" s="365">
        <f t="shared" ref="I147" si="500">+U147</f>
        <v>0</v>
      </c>
      <c r="J147" s="365">
        <f t="shared" ref="J147" si="501">+V147</f>
        <v>0</v>
      </c>
      <c r="K147" s="365">
        <f t="shared" ref="K147" si="502">+W147</f>
        <v>0</v>
      </c>
      <c r="L147" s="365">
        <f t="shared" ref="L147" si="503">+X147</f>
        <v>0</v>
      </c>
      <c r="M147" s="365">
        <f t="shared" ref="M147" si="504">+Y147</f>
        <v>0</v>
      </c>
      <c r="N147" s="365">
        <f t="shared" ref="N147" si="505">+Z147</f>
        <v>13</v>
      </c>
      <c r="O147" s="365">
        <f t="shared" ref="O147" si="506">+AA147</f>
        <v>0</v>
      </c>
      <c r="P147" s="365">
        <f t="shared" ref="P147" si="507">+AB147</f>
        <v>0</v>
      </c>
      <c r="Q147" s="365">
        <f t="shared" ref="Q147" si="508">+AC147</f>
        <v>0</v>
      </c>
      <c r="R147" s="365"/>
      <c r="S147" s="418">
        <f>SUM(T147:AC147)</f>
        <v>13</v>
      </c>
      <c r="T147" s="365">
        <f t="shared" ref="T147" si="509">ROUND(AF147,ARRONDI_QT)</f>
        <v>0</v>
      </c>
      <c r="U147" s="365">
        <f t="shared" ref="U147" si="510">ROUND(AG147,ARRONDI_QT)</f>
        <v>0</v>
      </c>
      <c r="V147" s="365">
        <f t="shared" ref="V147" si="511">ROUND(AH147,ARRONDI_QT)</f>
        <v>0</v>
      </c>
      <c r="W147" s="365">
        <f t="shared" ref="W147" si="512">ROUND(AI147,ARRONDI_QT)</f>
        <v>0</v>
      </c>
      <c r="X147" s="365">
        <f t="shared" ref="X147" si="513">ROUND(AJ147,ARRONDI_QT)</f>
        <v>0</v>
      </c>
      <c r="Y147" s="365">
        <f t="shared" ref="Y147" si="514">ROUND(AK147,ARRONDI_QT)</f>
        <v>0</v>
      </c>
      <c r="Z147" s="365">
        <f t="shared" ref="Z147" si="515">ROUND(AL147,ARRONDI_QT)</f>
        <v>13</v>
      </c>
      <c r="AA147" s="365">
        <f t="shared" ref="AA147" si="516">ROUND(AM147,ARRONDI_QT)</f>
        <v>0</v>
      </c>
      <c r="AB147" s="365">
        <f t="shared" ref="AB147" si="517">ROUND(AN147,ARRONDI_QT)</f>
        <v>0</v>
      </c>
      <c r="AC147" s="365">
        <f t="shared" ref="AC147" si="518">ROUND(AO147,ARRONDI_QT)</f>
        <v>0</v>
      </c>
      <c r="AD147" s="365"/>
      <c r="AE147" s="112">
        <f>ROUND(SUM(AF147:AO147),ARRONDI_QT)</f>
        <v>13</v>
      </c>
      <c r="AF147" s="366">
        <v>0</v>
      </c>
      <c r="AG147" s="366">
        <v>0</v>
      </c>
      <c r="AH147" s="366">
        <v>0</v>
      </c>
      <c r="AI147" s="366">
        <v>0</v>
      </c>
      <c r="AJ147" s="366">
        <v>0</v>
      </c>
      <c r="AK147" s="366">
        <v>0</v>
      </c>
      <c r="AL147" s="366">
        <v>13</v>
      </c>
      <c r="AM147" s="366">
        <v>0</v>
      </c>
      <c r="AN147" s="366">
        <v>0</v>
      </c>
      <c r="AO147" s="366">
        <v>0</v>
      </c>
      <c r="AP147" s="365"/>
      <c r="AQ147" s="439">
        <f>SUM(H147:Q147)</f>
        <v>13</v>
      </c>
      <c r="AR147" s="439">
        <f>ROUND(AU147+BV147,ARRONDI_PU)</f>
        <v>53.28</v>
      </c>
      <c r="AS147" s="440">
        <f>+AR147*AQ147</f>
        <v>692.64</v>
      </c>
      <c r="AT147" s="255"/>
      <c r="AU147" s="130">
        <f>+AX147+BB147+BE147+BH147+BK147+BN147+BQ147+BT147</f>
        <v>48</v>
      </c>
      <c r="AV147" s="285">
        <f>+COEF_MO_INSTALL</f>
        <v>1.3</v>
      </c>
      <c r="AW147" s="286">
        <v>0</v>
      </c>
      <c r="AX147" s="130">
        <f>+AW147*TH_INSTALL</f>
        <v>0</v>
      </c>
      <c r="AY147" s="130">
        <f>+AW147*AE147</f>
        <v>0</v>
      </c>
      <c r="AZ147" s="130">
        <f>IF(AQ147&gt;0,(AX147*AE147),0)</f>
        <v>0</v>
      </c>
      <c r="BA147" s="285">
        <f>+COEF_FOUR1_INSTALL</f>
        <v>1.3</v>
      </c>
      <c r="BB147" s="286">
        <v>0</v>
      </c>
      <c r="BC147" s="130">
        <f>IF(AQ147&gt;0,(BB147*AE147),0)</f>
        <v>0</v>
      </c>
      <c r="BD147" s="285">
        <f>+COEF_FOUR2_INSTALL</f>
        <v>1.3</v>
      </c>
      <c r="BE147" s="286">
        <v>0</v>
      </c>
      <c r="BF147" s="130">
        <f>IF(AQ147&gt;0,(BE147*AE147),0)</f>
        <v>0</v>
      </c>
      <c r="BG147" s="285">
        <f>+COEF_FOUR3_INSTALL</f>
        <v>1.3</v>
      </c>
      <c r="BH147" s="286">
        <v>0</v>
      </c>
      <c r="BI147" s="130">
        <f>IF(AQ147&gt;0,(BH147*AE147),0)</f>
        <v>0</v>
      </c>
      <c r="BJ147" s="287">
        <f>+COEF_MTLLOC_INSTALL</f>
        <v>1.1499999999999999</v>
      </c>
      <c r="BK147" s="286">
        <v>0</v>
      </c>
      <c r="BL147" s="130">
        <f>IF(AQ147&gt;0,(BK147*AE147),0)</f>
        <v>0</v>
      </c>
      <c r="BM147" s="287">
        <f>+COEF_MTLAMR_INSTALL</f>
        <v>1.3</v>
      </c>
      <c r="BN147" s="286">
        <v>0</v>
      </c>
      <c r="BO147" s="130">
        <f>IF(AQ147&gt;0,(BN147*AE147),0)</f>
        <v>0</v>
      </c>
      <c r="BP147" s="287">
        <f>+COEF_ST1_INSTALL</f>
        <v>1.1100000000000001</v>
      </c>
      <c r="BQ147" s="286">
        <v>48</v>
      </c>
      <c r="BR147" s="130">
        <f>IF(AQ147&gt;0,(BQ147*AE147),0)</f>
        <v>624</v>
      </c>
      <c r="BS147" s="287">
        <f>+COEF_ST2_INSTALL</f>
        <v>1.1100000000000001</v>
      </c>
      <c r="BT147" s="286">
        <v>0</v>
      </c>
      <c r="BU147" s="130">
        <f>IF(AQ147&gt;0,(BT147*AE147),0)</f>
        <v>0</v>
      </c>
      <c r="BV147" s="130">
        <f>+(((AX147)*AV147)+(BB147*BA147)+(BE147*BD147)+(BH147*BG147)+(BK147*BJ147)+(BN147*BM147)+(BQ147*BP147)+(BT147*BS147)+(BT147*BS147))-(AU147)</f>
        <v>5.2800000000000011</v>
      </c>
      <c r="BW147" s="130">
        <f>+BV147*AE147</f>
        <v>68.640000000000015</v>
      </c>
      <c r="BX147" s="130">
        <f>AS147-(BW147+BU147+BR147+BO147+BL147+BI147+BF147+BC147+AZ147)</f>
        <v>0</v>
      </c>
      <c r="BY147" s="329"/>
      <c r="BZ147" s="393"/>
      <c r="CA147" s="393"/>
    </row>
    <row r="148" spans="1:82" s="393" customFormat="1" ht="51.75">
      <c r="B148" s="261"/>
      <c r="C148" s="237"/>
      <c r="D148" s="397"/>
      <c r="E148" s="110"/>
      <c r="F148" s="368" t="s">
        <v>362</v>
      </c>
      <c r="G148" s="431" t="s">
        <v>108</v>
      </c>
      <c r="H148" s="365">
        <f t="shared" ref="H148" si="519">+T148</f>
        <v>0</v>
      </c>
      <c r="I148" s="365">
        <f t="shared" ref="I148" si="520">+U148</f>
        <v>0</v>
      </c>
      <c r="J148" s="365">
        <f t="shared" ref="J148" si="521">+V148</f>
        <v>0</v>
      </c>
      <c r="K148" s="365">
        <f t="shared" ref="K148" si="522">+W148</f>
        <v>0</v>
      </c>
      <c r="L148" s="365">
        <f t="shared" ref="L148" si="523">+X148</f>
        <v>0</v>
      </c>
      <c r="M148" s="365">
        <f t="shared" ref="M148" si="524">+Y148</f>
        <v>0</v>
      </c>
      <c r="N148" s="365">
        <f t="shared" ref="N148" si="525">+Z148</f>
        <v>70</v>
      </c>
      <c r="O148" s="365">
        <f t="shared" ref="O148" si="526">+AA148</f>
        <v>0</v>
      </c>
      <c r="P148" s="365">
        <f t="shared" ref="P148" si="527">+AB148</f>
        <v>0</v>
      </c>
      <c r="Q148" s="365">
        <f t="shared" ref="Q148" si="528">+AC148</f>
        <v>0</v>
      </c>
      <c r="R148" s="365"/>
      <c r="S148" s="418">
        <f>SUM(T148:AC148)</f>
        <v>70</v>
      </c>
      <c r="T148" s="365">
        <f t="shared" ref="T148" si="529">ROUND(AF148,ARRONDI_QT)</f>
        <v>0</v>
      </c>
      <c r="U148" s="365">
        <f t="shared" ref="U148" si="530">ROUND(AG148,ARRONDI_QT)</f>
        <v>0</v>
      </c>
      <c r="V148" s="365">
        <f t="shared" ref="V148" si="531">ROUND(AH148,ARRONDI_QT)</f>
        <v>0</v>
      </c>
      <c r="W148" s="365">
        <f t="shared" ref="W148" si="532">ROUND(AI148,ARRONDI_QT)</f>
        <v>0</v>
      </c>
      <c r="X148" s="365">
        <f t="shared" ref="X148" si="533">ROUND(AJ148,ARRONDI_QT)</f>
        <v>0</v>
      </c>
      <c r="Y148" s="365">
        <f t="shared" ref="Y148" si="534">ROUND(AK148,ARRONDI_QT)</f>
        <v>0</v>
      </c>
      <c r="Z148" s="365">
        <f t="shared" ref="Z148" si="535">ROUND(AL148,ARRONDI_QT)</f>
        <v>70</v>
      </c>
      <c r="AA148" s="365">
        <f t="shared" ref="AA148" si="536">ROUND(AM148,ARRONDI_QT)</f>
        <v>0</v>
      </c>
      <c r="AB148" s="365">
        <f t="shared" ref="AB148" si="537">ROUND(AN148,ARRONDI_QT)</f>
        <v>0</v>
      </c>
      <c r="AC148" s="365">
        <f t="shared" ref="AC148" si="538">ROUND(AO148,ARRONDI_QT)</f>
        <v>0</v>
      </c>
      <c r="AD148" s="365"/>
      <c r="AE148" s="112">
        <f>ROUND(SUM(AF148:AO148),ARRONDI_QT)</f>
        <v>70</v>
      </c>
      <c r="AF148" s="366">
        <v>0</v>
      </c>
      <c r="AG148" s="366">
        <v>0</v>
      </c>
      <c r="AH148" s="366">
        <v>0</v>
      </c>
      <c r="AI148" s="366">
        <v>0</v>
      </c>
      <c r="AJ148" s="366">
        <v>0</v>
      </c>
      <c r="AK148" s="366">
        <v>0</v>
      </c>
      <c r="AL148" s="366">
        <v>70</v>
      </c>
      <c r="AM148" s="366">
        <v>0</v>
      </c>
      <c r="AN148" s="366">
        <v>0</v>
      </c>
      <c r="AO148" s="366">
        <v>0</v>
      </c>
      <c r="AP148" s="365"/>
      <c r="AQ148" s="439">
        <f>SUM(H148:Q148)</f>
        <v>70</v>
      </c>
      <c r="AR148" s="439">
        <f>ROUND(AU148+BV148,ARRONDI_PU)</f>
        <v>35.520000000000003</v>
      </c>
      <c r="AS148" s="440">
        <f>+AR148*AQ148</f>
        <v>2486.4</v>
      </c>
      <c r="AT148" s="255"/>
      <c r="AU148" s="130">
        <f>+AX148+BB148+BE148+BH148+BK148+BN148+BQ148+BT148</f>
        <v>32</v>
      </c>
      <c r="AV148" s="285">
        <f>+COEF_MO_INSTALL</f>
        <v>1.3</v>
      </c>
      <c r="AW148" s="286">
        <v>0</v>
      </c>
      <c r="AX148" s="130">
        <f>+AW148*TH_INSTALL</f>
        <v>0</v>
      </c>
      <c r="AY148" s="130">
        <f>+AW148*AE148</f>
        <v>0</v>
      </c>
      <c r="AZ148" s="130">
        <f>IF(AQ148&gt;0,(AX148*AE148),0)</f>
        <v>0</v>
      </c>
      <c r="BA148" s="285">
        <f>+COEF_FOUR1_INSTALL</f>
        <v>1.3</v>
      </c>
      <c r="BB148" s="286">
        <v>0</v>
      </c>
      <c r="BC148" s="130">
        <f>IF(AQ148&gt;0,(BB148*AE148),0)</f>
        <v>0</v>
      </c>
      <c r="BD148" s="285">
        <f>+COEF_FOUR2_INSTALL</f>
        <v>1.3</v>
      </c>
      <c r="BE148" s="286">
        <v>0</v>
      </c>
      <c r="BF148" s="130">
        <f>IF(AQ148&gt;0,(BE148*AE148),0)</f>
        <v>0</v>
      </c>
      <c r="BG148" s="285">
        <f>+COEF_FOUR3_INSTALL</f>
        <v>1.3</v>
      </c>
      <c r="BH148" s="286">
        <v>0</v>
      </c>
      <c r="BI148" s="130">
        <f>IF(AQ148&gt;0,(BH148*AE148),0)</f>
        <v>0</v>
      </c>
      <c r="BJ148" s="287">
        <f>+COEF_MTLLOC_INSTALL</f>
        <v>1.1499999999999999</v>
      </c>
      <c r="BK148" s="286">
        <v>0</v>
      </c>
      <c r="BL148" s="130">
        <f>IF(AQ148&gt;0,(BK148*AE148),0)</f>
        <v>0</v>
      </c>
      <c r="BM148" s="287">
        <f>+COEF_MTLAMR_INSTALL</f>
        <v>1.3</v>
      </c>
      <c r="BN148" s="286">
        <v>0</v>
      </c>
      <c r="BO148" s="130">
        <f>IF(AQ148&gt;0,(BN148*AE148),0)</f>
        <v>0</v>
      </c>
      <c r="BP148" s="287">
        <f>+COEF_ST1_INSTALL</f>
        <v>1.1100000000000001</v>
      </c>
      <c r="BQ148" s="286">
        <v>32</v>
      </c>
      <c r="BR148" s="130">
        <f>IF(AQ148&gt;0,(BQ148*AE148),0)</f>
        <v>2240</v>
      </c>
      <c r="BS148" s="287">
        <f>+COEF_ST2_INSTALL</f>
        <v>1.1100000000000001</v>
      </c>
      <c r="BT148" s="286">
        <v>0</v>
      </c>
      <c r="BU148" s="130">
        <f>IF(AQ148&gt;0,(BT148*AE148),0)</f>
        <v>0</v>
      </c>
      <c r="BV148" s="130">
        <f>+(((AX148)*AV148)+(BB148*BA148)+(BE148*BD148)+(BH148*BG148)+(BK148*BJ148)+(BN148*BM148)+(BQ148*BP148)+(BT148*BS148)+(BT148*BS148))-(AU148)</f>
        <v>3.5200000000000031</v>
      </c>
      <c r="BW148" s="130">
        <f>+BV148*AE148</f>
        <v>246.4000000000002</v>
      </c>
      <c r="BX148" s="130">
        <f>AS148-(BW148+BU148+BR148+BO148+BL148+BI148+BF148+BC148+AZ148)</f>
        <v>0</v>
      </c>
      <c r="BY148" s="329"/>
    </row>
    <row r="149" spans="1:82" s="327" customFormat="1">
      <c r="A149" s="392"/>
      <c r="B149" s="261"/>
      <c r="C149" s="237"/>
      <c r="D149" s="397"/>
      <c r="E149" s="110"/>
      <c r="F149" s="127"/>
      <c r="G149" s="17"/>
      <c r="H149" s="276"/>
      <c r="I149" s="276"/>
      <c r="J149" s="276"/>
      <c r="K149" s="276"/>
      <c r="L149" s="276"/>
      <c r="M149" s="276"/>
      <c r="N149" s="276"/>
      <c r="O149" s="276"/>
      <c r="P149" s="276"/>
      <c r="Q149" s="276"/>
      <c r="R149" s="276"/>
      <c r="S149" s="418"/>
      <c r="T149" s="112"/>
      <c r="U149" s="112"/>
      <c r="V149" s="112"/>
      <c r="W149" s="112"/>
      <c r="X149" s="112"/>
      <c r="Y149" s="112"/>
      <c r="Z149" s="112"/>
      <c r="AA149" s="112"/>
      <c r="AB149" s="112"/>
      <c r="AC149" s="112"/>
      <c r="AD149" s="276"/>
      <c r="AE149" s="112"/>
      <c r="AF149" s="129"/>
      <c r="AG149" s="129"/>
      <c r="AH149" s="129"/>
      <c r="AI149" s="129"/>
      <c r="AJ149" s="129"/>
      <c r="AK149" s="129"/>
      <c r="AL149" s="129"/>
      <c r="AM149" s="129"/>
      <c r="AN149" s="129"/>
      <c r="AO149" s="129"/>
      <c r="AP149" s="276"/>
      <c r="AQ149" s="439"/>
      <c r="AR149" s="439"/>
      <c r="AS149" s="440"/>
      <c r="AT149" s="255"/>
      <c r="AU149" s="130"/>
      <c r="AV149" s="285"/>
      <c r="AW149" s="286"/>
      <c r="AX149" s="130"/>
      <c r="AY149" s="130"/>
      <c r="AZ149" s="130"/>
      <c r="BA149" s="285"/>
      <c r="BB149" s="286"/>
      <c r="BC149" s="130"/>
      <c r="BD149" s="285"/>
      <c r="BE149" s="286"/>
      <c r="BF149" s="130"/>
      <c r="BG149" s="285"/>
      <c r="BH149" s="286"/>
      <c r="BI149" s="130"/>
      <c r="BJ149" s="287"/>
      <c r="BK149" s="286"/>
      <c r="BL149" s="130"/>
      <c r="BM149" s="287"/>
      <c r="BN149" s="286"/>
      <c r="BO149" s="130"/>
      <c r="BP149" s="287"/>
      <c r="BQ149" s="286"/>
      <c r="BR149" s="130"/>
      <c r="BS149" s="287"/>
      <c r="BT149" s="286"/>
      <c r="BU149" s="130"/>
      <c r="BV149" s="130"/>
      <c r="BW149" s="130"/>
      <c r="BX149" s="130"/>
      <c r="BY149" s="256"/>
    </row>
    <row r="150" spans="1:82" s="448" customFormat="1">
      <c r="B150" s="261"/>
      <c r="C150" s="237"/>
      <c r="D150" s="397"/>
      <c r="E150" s="110"/>
      <c r="F150" s="127"/>
      <c r="G150" s="17"/>
      <c r="H150" s="276"/>
      <c r="I150" s="276"/>
      <c r="J150" s="276"/>
      <c r="K150" s="276"/>
      <c r="L150" s="276"/>
      <c r="M150" s="276"/>
      <c r="N150" s="276"/>
      <c r="O150" s="276"/>
      <c r="P150" s="276"/>
      <c r="Q150" s="276"/>
      <c r="R150" s="276"/>
      <c r="S150" s="418"/>
      <c r="T150" s="112"/>
      <c r="U150" s="112"/>
      <c r="V150" s="112"/>
      <c r="W150" s="112"/>
      <c r="X150" s="112"/>
      <c r="Y150" s="112"/>
      <c r="Z150" s="112"/>
      <c r="AA150" s="112"/>
      <c r="AB150" s="112"/>
      <c r="AC150" s="112"/>
      <c r="AD150" s="276"/>
      <c r="AE150" s="112"/>
      <c r="AF150" s="129"/>
      <c r="AG150" s="129"/>
      <c r="AH150" s="129"/>
      <c r="AI150" s="129"/>
      <c r="AJ150" s="129"/>
      <c r="AK150" s="129"/>
      <c r="AL150" s="129"/>
      <c r="AM150" s="129"/>
      <c r="AN150" s="129"/>
      <c r="AO150" s="129"/>
      <c r="AP150" s="276"/>
      <c r="AQ150" s="439"/>
      <c r="AR150" s="439"/>
      <c r="AS150" s="440"/>
      <c r="AT150" s="255"/>
      <c r="AU150" s="130"/>
      <c r="AV150" s="285"/>
      <c r="AW150" s="286"/>
      <c r="AX150" s="130"/>
      <c r="AY150" s="130"/>
      <c r="AZ150" s="130"/>
      <c r="BA150" s="285"/>
      <c r="BB150" s="286"/>
      <c r="BC150" s="130"/>
      <c r="BD150" s="285"/>
      <c r="BE150" s="286"/>
      <c r="BF150" s="130"/>
      <c r="BG150" s="285"/>
      <c r="BH150" s="286"/>
      <c r="BI150" s="130"/>
      <c r="BJ150" s="287"/>
      <c r="BK150" s="286"/>
      <c r="BL150" s="130"/>
      <c r="BM150" s="287"/>
      <c r="BN150" s="286"/>
      <c r="BO150" s="130"/>
      <c r="BP150" s="287"/>
      <c r="BQ150" s="286"/>
      <c r="BR150" s="130"/>
      <c r="BS150" s="287"/>
      <c r="BT150" s="286"/>
      <c r="BU150" s="130"/>
      <c r="BV150" s="130"/>
      <c r="BW150" s="130"/>
      <c r="BX150" s="130"/>
      <c r="BY150" s="256"/>
    </row>
    <row r="151" spans="1:82" s="327" customFormat="1">
      <c r="A151" s="392"/>
      <c r="B151" s="261"/>
      <c r="C151" s="237"/>
      <c r="D151" s="397"/>
      <c r="E151" s="110" t="s">
        <v>219</v>
      </c>
      <c r="F151" s="127" t="s">
        <v>364</v>
      </c>
      <c r="G151" s="17"/>
      <c r="H151" s="276"/>
      <c r="I151" s="276"/>
      <c r="J151" s="276"/>
      <c r="K151" s="276"/>
      <c r="L151" s="276"/>
      <c r="M151" s="276"/>
      <c r="N151" s="276"/>
      <c r="O151" s="276"/>
      <c r="P151" s="276"/>
      <c r="Q151" s="276"/>
      <c r="R151" s="276"/>
      <c r="S151" s="418"/>
      <c r="T151" s="112"/>
      <c r="U151" s="112"/>
      <c r="V151" s="112"/>
      <c r="W151" s="112"/>
      <c r="X151" s="112"/>
      <c r="Y151" s="112"/>
      <c r="Z151" s="112"/>
      <c r="AA151" s="112"/>
      <c r="AB151" s="112"/>
      <c r="AC151" s="112"/>
      <c r="AD151" s="276"/>
      <c r="AE151" s="112"/>
      <c r="AF151" s="129"/>
      <c r="AG151" s="129"/>
      <c r="AH151" s="129"/>
      <c r="AI151" s="129"/>
      <c r="AJ151" s="129"/>
      <c r="AK151" s="129"/>
      <c r="AL151" s="129"/>
      <c r="AM151" s="129"/>
      <c r="AN151" s="129"/>
      <c r="AO151" s="129"/>
      <c r="AP151" s="276"/>
      <c r="AQ151" s="439"/>
      <c r="AR151" s="439"/>
      <c r="AS151" s="440"/>
      <c r="AT151" s="255"/>
      <c r="AU151" s="130"/>
      <c r="AV151" s="285"/>
      <c r="AW151" s="286"/>
      <c r="AX151" s="130"/>
      <c r="AY151" s="130"/>
      <c r="AZ151" s="130"/>
      <c r="BA151" s="285"/>
      <c r="BB151" s="286"/>
      <c r="BC151" s="130"/>
      <c r="BD151" s="285"/>
      <c r="BE151" s="286"/>
      <c r="BF151" s="130"/>
      <c r="BG151" s="285"/>
      <c r="BH151" s="286"/>
      <c r="BI151" s="130"/>
      <c r="BJ151" s="287"/>
      <c r="BK151" s="286"/>
      <c r="BL151" s="130"/>
      <c r="BM151" s="287"/>
      <c r="BN151" s="286"/>
      <c r="BO151" s="130"/>
      <c r="BP151" s="287"/>
      <c r="BQ151" s="286"/>
      <c r="BR151" s="130"/>
      <c r="BS151" s="287"/>
      <c r="BT151" s="286"/>
      <c r="BU151" s="130"/>
      <c r="BV151" s="130"/>
      <c r="BW151" s="130"/>
      <c r="BX151" s="130"/>
      <c r="BY151" s="256"/>
    </row>
    <row r="152" spans="1:82" s="327" customFormat="1">
      <c r="A152" s="392"/>
      <c r="B152" s="261"/>
      <c r="C152" s="237"/>
      <c r="D152" s="397"/>
      <c r="E152" s="110"/>
      <c r="F152" s="127" t="s">
        <v>245</v>
      </c>
      <c r="G152" s="17" t="s">
        <v>108</v>
      </c>
      <c r="H152" s="365">
        <f t="shared" ref="H152:O153" si="539">+T152</f>
        <v>0</v>
      </c>
      <c r="I152" s="365">
        <f t="shared" si="539"/>
        <v>0</v>
      </c>
      <c r="J152" s="365">
        <f t="shared" si="539"/>
        <v>0</v>
      </c>
      <c r="K152" s="365">
        <f t="shared" si="539"/>
        <v>0</v>
      </c>
      <c r="L152" s="365">
        <f t="shared" si="539"/>
        <v>0</v>
      </c>
      <c r="M152" s="365">
        <f t="shared" si="539"/>
        <v>0</v>
      </c>
      <c r="N152" s="365">
        <f t="shared" si="539"/>
        <v>210</v>
      </c>
      <c r="O152" s="365">
        <f t="shared" si="539"/>
        <v>0</v>
      </c>
      <c r="P152" s="365">
        <f t="shared" ref="P152:Q153" si="540">+AB152</f>
        <v>0</v>
      </c>
      <c r="Q152" s="365">
        <f t="shared" si="540"/>
        <v>0</v>
      </c>
      <c r="R152" s="365"/>
      <c r="S152" s="418">
        <f>SUM(T152:AC152)</f>
        <v>210</v>
      </c>
      <c r="T152" s="365">
        <f t="shared" ref="T152:AC153" si="541">ROUND(AF152,ARRONDI_QT)</f>
        <v>0</v>
      </c>
      <c r="U152" s="365">
        <f t="shared" si="541"/>
        <v>0</v>
      </c>
      <c r="V152" s="365">
        <f t="shared" si="541"/>
        <v>0</v>
      </c>
      <c r="W152" s="365">
        <f t="shared" si="541"/>
        <v>0</v>
      </c>
      <c r="X152" s="365">
        <f t="shared" si="541"/>
        <v>0</v>
      </c>
      <c r="Y152" s="365">
        <f t="shared" si="541"/>
        <v>0</v>
      </c>
      <c r="Z152" s="365">
        <f t="shared" si="541"/>
        <v>210</v>
      </c>
      <c r="AA152" s="365">
        <f t="shared" si="541"/>
        <v>0</v>
      </c>
      <c r="AB152" s="365">
        <f t="shared" si="541"/>
        <v>0</v>
      </c>
      <c r="AC152" s="365">
        <f t="shared" si="541"/>
        <v>0</v>
      </c>
      <c r="AD152" s="365"/>
      <c r="AE152" s="112">
        <f>ROUND(SUM(AF152:AO152),ARRONDI_QT)</f>
        <v>210</v>
      </c>
      <c r="AF152" s="366">
        <v>0</v>
      </c>
      <c r="AG152" s="366">
        <v>0</v>
      </c>
      <c r="AH152" s="366">
        <v>0</v>
      </c>
      <c r="AI152" s="366">
        <v>0</v>
      </c>
      <c r="AJ152" s="366">
        <v>0</v>
      </c>
      <c r="AK152" s="366">
        <v>0</v>
      </c>
      <c r="AL152" s="366">
        <v>210</v>
      </c>
      <c r="AM152" s="366">
        <v>0</v>
      </c>
      <c r="AN152" s="366">
        <v>0</v>
      </c>
      <c r="AO152" s="366">
        <v>0</v>
      </c>
      <c r="AP152" s="365"/>
      <c r="AQ152" s="439">
        <f>SUM(H152:Q152)</f>
        <v>210</v>
      </c>
      <c r="AR152" s="439">
        <f>ROUND(AU152+BV152,ARRONDI_PU)</f>
        <v>35.520000000000003</v>
      </c>
      <c r="AS152" s="440">
        <f>+AR152*AQ152</f>
        <v>7459.2000000000007</v>
      </c>
      <c r="AT152" s="255"/>
      <c r="AU152" s="130">
        <f>+AX152+BB152+BE152+BH152+BK152+BN152+BQ152+BT152</f>
        <v>32</v>
      </c>
      <c r="AV152" s="285">
        <f>+COEF_MO_INSTALL</f>
        <v>1.3</v>
      </c>
      <c r="AW152" s="286">
        <v>0</v>
      </c>
      <c r="AX152" s="130">
        <f>+AW152*TH_INSTALL</f>
        <v>0</v>
      </c>
      <c r="AY152" s="130">
        <f>+AW152*AE152</f>
        <v>0</v>
      </c>
      <c r="AZ152" s="130">
        <f>IF(AQ152&gt;0,(AX152*AE152),0)</f>
        <v>0</v>
      </c>
      <c r="BA152" s="285">
        <f>+COEF_FOUR1_INSTALL</f>
        <v>1.3</v>
      </c>
      <c r="BB152" s="286">
        <v>0</v>
      </c>
      <c r="BC152" s="130">
        <f>IF(AQ152&gt;0,(BB152*AE152),0)</f>
        <v>0</v>
      </c>
      <c r="BD152" s="285">
        <f>+COEF_FOUR2_INSTALL</f>
        <v>1.3</v>
      </c>
      <c r="BE152" s="286">
        <v>0</v>
      </c>
      <c r="BF152" s="130">
        <f>IF(AQ152&gt;0,(BE152*AE152),0)</f>
        <v>0</v>
      </c>
      <c r="BG152" s="285">
        <f>+COEF_FOUR3_INSTALL</f>
        <v>1.3</v>
      </c>
      <c r="BH152" s="286">
        <v>0</v>
      </c>
      <c r="BI152" s="130">
        <f>IF(AQ152&gt;0,(BH152*AE152),0)</f>
        <v>0</v>
      </c>
      <c r="BJ152" s="287">
        <f>+COEF_MTLLOC_INSTALL</f>
        <v>1.1499999999999999</v>
      </c>
      <c r="BK152" s="286">
        <v>0</v>
      </c>
      <c r="BL152" s="130">
        <f>IF(AQ152&gt;0,(BK152*AE152),0)</f>
        <v>0</v>
      </c>
      <c r="BM152" s="287">
        <f>+COEF_MTLAMR_INSTALL</f>
        <v>1.3</v>
      </c>
      <c r="BN152" s="286">
        <v>0</v>
      </c>
      <c r="BO152" s="130">
        <f>IF(AQ152&gt;0,(BN152*AE152),0)</f>
        <v>0</v>
      </c>
      <c r="BP152" s="287">
        <f>+COEF_ST1_INSTALL</f>
        <v>1.1100000000000001</v>
      </c>
      <c r="BQ152" s="286">
        <v>32</v>
      </c>
      <c r="BR152" s="130">
        <f>IF(AQ152&gt;0,(BQ152*AE152),0)</f>
        <v>6720</v>
      </c>
      <c r="BS152" s="287">
        <f>+COEF_ST2_INSTALL</f>
        <v>1.1100000000000001</v>
      </c>
      <c r="BT152" s="286">
        <v>0</v>
      </c>
      <c r="BU152" s="130">
        <f>IF(AQ152&gt;0,(BT152*AE152),0)</f>
        <v>0</v>
      </c>
      <c r="BV152" s="130">
        <f>+(((AX152)*AV152)+(BB152*BA152)+(BE152*BD152)+(BH152*BG152)+(BK152*BJ152)+(BN152*BM152)+(BQ152*BP152)+(BT152*BS152)+(BT152*BS152))-(AU152)</f>
        <v>3.5200000000000031</v>
      </c>
      <c r="BW152" s="130">
        <f>+BV152*AE152</f>
        <v>739.20000000000061</v>
      </c>
      <c r="BX152" s="130">
        <f>AS152-(BW152+BU152+BR152+BO152+BL152+BI152+BF152+BC152+AZ152)</f>
        <v>0</v>
      </c>
      <c r="BY152" s="329"/>
    </row>
    <row r="153" spans="1:82" s="327" customFormat="1">
      <c r="A153" s="392"/>
      <c r="B153" s="261"/>
      <c r="C153" s="237"/>
      <c r="D153" s="397"/>
      <c r="E153" s="110"/>
      <c r="F153" s="127" t="s">
        <v>246</v>
      </c>
      <c r="G153" s="17" t="s">
        <v>108</v>
      </c>
      <c r="H153" s="365">
        <f t="shared" si="539"/>
        <v>0</v>
      </c>
      <c r="I153" s="365">
        <f t="shared" si="539"/>
        <v>0</v>
      </c>
      <c r="J153" s="365">
        <f t="shared" si="539"/>
        <v>0</v>
      </c>
      <c r="K153" s="365">
        <f t="shared" si="539"/>
        <v>0</v>
      </c>
      <c r="L153" s="365">
        <f t="shared" si="539"/>
        <v>0</v>
      </c>
      <c r="M153" s="365">
        <f t="shared" si="539"/>
        <v>0</v>
      </c>
      <c r="N153" s="365">
        <f t="shared" si="539"/>
        <v>690</v>
      </c>
      <c r="O153" s="365">
        <f t="shared" si="539"/>
        <v>0</v>
      </c>
      <c r="P153" s="365">
        <f t="shared" si="540"/>
        <v>0</v>
      </c>
      <c r="Q153" s="365">
        <f t="shared" si="540"/>
        <v>0</v>
      </c>
      <c r="R153" s="365"/>
      <c r="S153" s="418">
        <f>SUM(T153:AC153)</f>
        <v>690</v>
      </c>
      <c r="T153" s="365">
        <f t="shared" si="541"/>
        <v>0</v>
      </c>
      <c r="U153" s="365">
        <f t="shared" si="541"/>
        <v>0</v>
      </c>
      <c r="V153" s="365">
        <f t="shared" si="541"/>
        <v>0</v>
      </c>
      <c r="W153" s="365">
        <f t="shared" si="541"/>
        <v>0</v>
      </c>
      <c r="X153" s="365">
        <f t="shared" si="541"/>
        <v>0</v>
      </c>
      <c r="Y153" s="365">
        <f t="shared" si="541"/>
        <v>0</v>
      </c>
      <c r="Z153" s="365">
        <f t="shared" si="541"/>
        <v>690</v>
      </c>
      <c r="AA153" s="365">
        <f t="shared" si="541"/>
        <v>0</v>
      </c>
      <c r="AB153" s="365">
        <f t="shared" si="541"/>
        <v>0</v>
      </c>
      <c r="AC153" s="365">
        <f t="shared" si="541"/>
        <v>0</v>
      </c>
      <c r="AD153" s="365"/>
      <c r="AE153" s="112">
        <f>ROUND(SUM(AF153:AO153),ARRONDI_QT)</f>
        <v>690</v>
      </c>
      <c r="AF153" s="366">
        <v>0</v>
      </c>
      <c r="AG153" s="366">
        <v>0</v>
      </c>
      <c r="AH153" s="366">
        <v>0</v>
      </c>
      <c r="AI153" s="366">
        <v>0</v>
      </c>
      <c r="AJ153" s="366">
        <v>0</v>
      </c>
      <c r="AK153" s="366">
        <v>0</v>
      </c>
      <c r="AL153" s="366">
        <v>690</v>
      </c>
      <c r="AM153" s="366">
        <v>0</v>
      </c>
      <c r="AN153" s="366">
        <v>0</v>
      </c>
      <c r="AO153" s="366">
        <v>0</v>
      </c>
      <c r="AP153" s="365"/>
      <c r="AQ153" s="439">
        <f>SUM(H153:Q153)</f>
        <v>690</v>
      </c>
      <c r="AR153" s="439">
        <f>ROUND(AU153+BV153,ARRONDI_PU)</f>
        <v>46.62</v>
      </c>
      <c r="AS153" s="440">
        <f>+AR153*AQ153</f>
        <v>32167.8</v>
      </c>
      <c r="AT153" s="255"/>
      <c r="AU153" s="130">
        <f>+AX153+BB153+BE153+BH153+BK153+BN153+BQ153+BT153</f>
        <v>42</v>
      </c>
      <c r="AV153" s="285">
        <f>+COEF_MO_INSTALL</f>
        <v>1.3</v>
      </c>
      <c r="AW153" s="286">
        <v>0</v>
      </c>
      <c r="AX153" s="130">
        <f>+AW153*TH_INSTALL</f>
        <v>0</v>
      </c>
      <c r="AY153" s="130">
        <f>+AW153*AE153</f>
        <v>0</v>
      </c>
      <c r="AZ153" s="130">
        <f>IF(AQ153&gt;0,(AX153*AE153),0)</f>
        <v>0</v>
      </c>
      <c r="BA153" s="285">
        <f>+COEF_FOUR1_INSTALL</f>
        <v>1.3</v>
      </c>
      <c r="BB153" s="286">
        <v>0</v>
      </c>
      <c r="BC153" s="130">
        <f>IF(AQ153&gt;0,(BB153*AE153),0)</f>
        <v>0</v>
      </c>
      <c r="BD153" s="285">
        <f>+COEF_FOUR2_INSTALL</f>
        <v>1.3</v>
      </c>
      <c r="BE153" s="286">
        <v>0</v>
      </c>
      <c r="BF153" s="130">
        <f>IF(AQ153&gt;0,(BE153*AE153),0)</f>
        <v>0</v>
      </c>
      <c r="BG153" s="285">
        <f>+COEF_FOUR3_INSTALL</f>
        <v>1.3</v>
      </c>
      <c r="BH153" s="286">
        <v>0</v>
      </c>
      <c r="BI153" s="130">
        <f>IF(AQ153&gt;0,(BH153*AE153),0)</f>
        <v>0</v>
      </c>
      <c r="BJ153" s="287">
        <f>+COEF_MTLLOC_INSTALL</f>
        <v>1.1499999999999999</v>
      </c>
      <c r="BK153" s="286">
        <v>0</v>
      </c>
      <c r="BL153" s="130">
        <f>IF(AQ153&gt;0,(BK153*AE153),0)</f>
        <v>0</v>
      </c>
      <c r="BM153" s="287">
        <f>+COEF_MTLAMR_INSTALL</f>
        <v>1.3</v>
      </c>
      <c r="BN153" s="286">
        <v>0</v>
      </c>
      <c r="BO153" s="130">
        <f>IF(AQ153&gt;0,(BN153*AE153),0)</f>
        <v>0</v>
      </c>
      <c r="BP153" s="287">
        <f>+COEF_ST1_INSTALL</f>
        <v>1.1100000000000001</v>
      </c>
      <c r="BQ153" s="286">
        <v>42</v>
      </c>
      <c r="BR153" s="130">
        <f>IF(AQ153&gt;0,(BQ153*AE153),0)</f>
        <v>28980</v>
      </c>
      <c r="BS153" s="287">
        <f>+COEF_ST2_INSTALL</f>
        <v>1.1100000000000001</v>
      </c>
      <c r="BT153" s="286">
        <v>0</v>
      </c>
      <c r="BU153" s="130">
        <f>IF(AQ153&gt;0,(BT153*AE153),0)</f>
        <v>0</v>
      </c>
      <c r="BV153" s="130">
        <f>+(((AX153)*AV153)+(BB153*BA153)+(BE153*BD153)+(BH153*BG153)+(BK153*BJ153)+(BN153*BM153)+(BQ153*BP153)+(BT153*BS153)+(BT153*BS153))-(AU153)</f>
        <v>4.6200000000000045</v>
      </c>
      <c r="BW153" s="130">
        <f>+BV153*AE153</f>
        <v>3187.8000000000029</v>
      </c>
      <c r="BX153" s="130">
        <f>AS153-(BW153+BU153+BR153+BO153+BL153+BI153+BF153+BC153+AZ153)</f>
        <v>0</v>
      </c>
      <c r="BY153" s="329"/>
    </row>
    <row r="154" spans="1:82" s="327" customFormat="1">
      <c r="A154" s="392"/>
      <c r="B154" s="261"/>
      <c r="C154" s="237"/>
      <c r="D154" s="397"/>
      <c r="E154" s="110"/>
      <c r="F154" s="127"/>
      <c r="G154" s="17"/>
      <c r="H154" s="276"/>
      <c r="I154" s="276"/>
      <c r="J154" s="276"/>
      <c r="K154" s="276"/>
      <c r="L154" s="276"/>
      <c r="M154" s="276"/>
      <c r="N154" s="276"/>
      <c r="O154" s="276"/>
      <c r="P154" s="276"/>
      <c r="Q154" s="276"/>
      <c r="R154" s="276"/>
      <c r="S154" s="418"/>
      <c r="T154" s="112"/>
      <c r="U154" s="112"/>
      <c r="V154" s="112"/>
      <c r="W154" s="112"/>
      <c r="X154" s="112"/>
      <c r="Y154" s="112"/>
      <c r="Z154" s="112"/>
      <c r="AA154" s="112"/>
      <c r="AB154" s="112"/>
      <c r="AC154" s="112"/>
      <c r="AD154" s="276"/>
      <c r="AE154" s="112"/>
      <c r="AF154" s="129"/>
      <c r="AG154" s="129"/>
      <c r="AH154" s="129"/>
      <c r="AI154" s="129"/>
      <c r="AJ154" s="129"/>
      <c r="AK154" s="129"/>
      <c r="AL154" s="129"/>
      <c r="AM154" s="129"/>
      <c r="AN154" s="129"/>
      <c r="AO154" s="129"/>
      <c r="AP154" s="276"/>
      <c r="AQ154" s="439"/>
      <c r="AR154" s="439"/>
      <c r="AS154" s="440"/>
      <c r="AT154" s="255"/>
      <c r="AU154" s="130"/>
      <c r="AV154" s="285"/>
      <c r="AW154" s="286"/>
      <c r="AX154" s="130"/>
      <c r="AY154" s="130"/>
      <c r="AZ154" s="130"/>
      <c r="BA154" s="285"/>
      <c r="BB154" s="286"/>
      <c r="BC154" s="130"/>
      <c r="BD154" s="285"/>
      <c r="BE154" s="286"/>
      <c r="BF154" s="130"/>
      <c r="BG154" s="285"/>
      <c r="BH154" s="286"/>
      <c r="BI154" s="130"/>
      <c r="BJ154" s="287"/>
      <c r="BK154" s="286"/>
      <c r="BL154" s="130"/>
      <c r="BM154" s="287"/>
      <c r="BN154" s="286"/>
      <c r="BO154" s="130"/>
      <c r="BP154" s="287"/>
      <c r="BQ154" s="286"/>
      <c r="BR154" s="130"/>
      <c r="BS154" s="287"/>
      <c r="BT154" s="286"/>
      <c r="BU154" s="130"/>
      <c r="BV154" s="130"/>
      <c r="BW154" s="130"/>
      <c r="BX154" s="130"/>
      <c r="BY154" s="256"/>
    </row>
    <row r="155" spans="1:82" s="327" customFormat="1">
      <c r="A155" s="392"/>
      <c r="B155" s="261"/>
      <c r="C155" s="237"/>
      <c r="D155" s="397"/>
      <c r="E155" s="110" t="s">
        <v>220</v>
      </c>
      <c r="F155" s="127" t="s">
        <v>221</v>
      </c>
      <c r="G155" s="17" t="s">
        <v>105</v>
      </c>
      <c r="H155" s="276"/>
      <c r="I155" s="276"/>
      <c r="J155" s="276"/>
      <c r="K155" s="276"/>
      <c r="L155" s="276"/>
      <c r="M155" s="276"/>
      <c r="N155" s="276"/>
      <c r="O155" s="276"/>
      <c r="P155" s="276"/>
      <c r="Q155" s="276"/>
      <c r="R155" s="276"/>
      <c r="S155" s="418"/>
      <c r="T155" s="112"/>
      <c r="U155" s="112"/>
      <c r="V155" s="112"/>
      <c r="W155" s="112"/>
      <c r="X155" s="112"/>
      <c r="Y155" s="112"/>
      <c r="Z155" s="112"/>
      <c r="AA155" s="112"/>
      <c r="AB155" s="112"/>
      <c r="AC155" s="112"/>
      <c r="AD155" s="276"/>
      <c r="AE155" s="112"/>
      <c r="AF155" s="129"/>
      <c r="AG155" s="129"/>
      <c r="AH155" s="129"/>
      <c r="AI155" s="129"/>
      <c r="AJ155" s="129"/>
      <c r="AK155" s="129"/>
      <c r="AL155" s="129"/>
      <c r="AM155" s="129"/>
      <c r="AN155" s="129"/>
      <c r="AO155" s="129"/>
      <c r="AP155" s="276"/>
      <c r="AQ155" s="441" t="s">
        <v>401</v>
      </c>
      <c r="AR155" s="441" t="str">
        <f>+AQ155</f>
        <v>Compris</v>
      </c>
      <c r="AS155" s="442" t="str">
        <f>+AR155</f>
        <v>Compris</v>
      </c>
      <c r="AT155" s="255"/>
      <c r="AU155" s="130"/>
      <c r="AV155" s="285"/>
      <c r="AW155" s="286"/>
      <c r="AX155" s="130"/>
      <c r="AY155" s="130"/>
      <c r="AZ155" s="130"/>
      <c r="BA155" s="285"/>
      <c r="BB155" s="286"/>
      <c r="BC155" s="130"/>
      <c r="BD155" s="285"/>
      <c r="BE155" s="286"/>
      <c r="BF155" s="130"/>
      <c r="BG155" s="285"/>
      <c r="BH155" s="286"/>
      <c r="BI155" s="130"/>
      <c r="BJ155" s="287"/>
      <c r="BK155" s="286"/>
      <c r="BL155" s="130"/>
      <c r="BM155" s="287"/>
      <c r="BN155" s="286"/>
      <c r="BO155" s="130"/>
      <c r="BP155" s="287"/>
      <c r="BQ155" s="286"/>
      <c r="BR155" s="130"/>
      <c r="BS155" s="287"/>
      <c r="BT155" s="286"/>
      <c r="BU155" s="130"/>
      <c r="BV155" s="130"/>
      <c r="BW155" s="130"/>
      <c r="BX155" s="130"/>
      <c r="BY155" s="256"/>
    </row>
    <row r="156" spans="1:82" s="327" customFormat="1">
      <c r="A156" s="392"/>
      <c r="B156" s="261"/>
      <c r="C156" s="237"/>
      <c r="D156" s="397"/>
      <c r="E156" s="110" t="s">
        <v>222</v>
      </c>
      <c r="F156" s="127" t="s">
        <v>223</v>
      </c>
      <c r="G156" s="17" t="s">
        <v>107</v>
      </c>
      <c r="H156" s="276"/>
      <c r="I156" s="276"/>
      <c r="J156" s="276"/>
      <c r="K156" s="276"/>
      <c r="L156" s="276"/>
      <c r="M156" s="276"/>
      <c r="N156" s="276"/>
      <c r="O156" s="276"/>
      <c r="P156" s="276"/>
      <c r="Q156" s="276"/>
      <c r="R156" s="276"/>
      <c r="S156" s="418"/>
      <c r="T156" s="112"/>
      <c r="U156" s="112"/>
      <c r="V156" s="112"/>
      <c r="W156" s="112"/>
      <c r="X156" s="112"/>
      <c r="Y156" s="112"/>
      <c r="Z156" s="112"/>
      <c r="AA156" s="112"/>
      <c r="AB156" s="112"/>
      <c r="AC156" s="112"/>
      <c r="AD156" s="276"/>
      <c r="AE156" s="112"/>
      <c r="AF156" s="129"/>
      <c r="AG156" s="129"/>
      <c r="AH156" s="129"/>
      <c r="AI156" s="129"/>
      <c r="AJ156" s="129"/>
      <c r="AK156" s="129"/>
      <c r="AL156" s="129"/>
      <c r="AM156" s="129"/>
      <c r="AN156" s="129"/>
      <c r="AO156" s="129"/>
      <c r="AP156" s="276"/>
      <c r="AQ156" s="441" t="s">
        <v>401</v>
      </c>
      <c r="AR156" s="441" t="str">
        <f>+AQ156</f>
        <v>Compris</v>
      </c>
      <c r="AS156" s="442" t="str">
        <f>+AR156</f>
        <v>Compris</v>
      </c>
      <c r="AT156" s="255"/>
      <c r="AU156" s="130"/>
      <c r="AV156" s="285"/>
      <c r="AW156" s="286"/>
      <c r="AX156" s="130"/>
      <c r="AY156" s="130"/>
      <c r="AZ156" s="130"/>
      <c r="BA156" s="285"/>
      <c r="BB156" s="286"/>
      <c r="BC156" s="130"/>
      <c r="BD156" s="285"/>
      <c r="BE156" s="286"/>
      <c r="BF156" s="130"/>
      <c r="BG156" s="285"/>
      <c r="BH156" s="286"/>
      <c r="BI156" s="130"/>
      <c r="BJ156" s="287"/>
      <c r="BK156" s="286"/>
      <c r="BL156" s="130"/>
      <c r="BM156" s="287"/>
      <c r="BN156" s="286"/>
      <c r="BO156" s="130"/>
      <c r="BP156" s="287"/>
      <c r="BQ156" s="286"/>
      <c r="BR156" s="130"/>
      <c r="BS156" s="287"/>
      <c r="BT156" s="286"/>
      <c r="BU156" s="130"/>
      <c r="BV156" s="130"/>
      <c r="BW156" s="130"/>
      <c r="BX156" s="130"/>
      <c r="BY156" s="256"/>
    </row>
    <row r="157" spans="1:82" s="393" customFormat="1">
      <c r="B157" s="261"/>
      <c r="C157" s="237"/>
      <c r="D157" s="397"/>
      <c r="E157" s="110"/>
      <c r="F157" s="127"/>
      <c r="G157" s="17"/>
      <c r="H157" s="276"/>
      <c r="I157" s="276"/>
      <c r="J157" s="276"/>
      <c r="K157" s="276"/>
      <c r="L157" s="276"/>
      <c r="M157" s="276"/>
      <c r="N157" s="276"/>
      <c r="O157" s="276"/>
      <c r="P157" s="276"/>
      <c r="Q157" s="276"/>
      <c r="R157" s="276"/>
      <c r="S157" s="418"/>
      <c r="T157" s="112"/>
      <c r="U157" s="112"/>
      <c r="V157" s="112"/>
      <c r="W157" s="112"/>
      <c r="X157" s="112"/>
      <c r="Y157" s="112"/>
      <c r="Z157" s="112"/>
      <c r="AA157" s="112"/>
      <c r="AB157" s="112"/>
      <c r="AC157" s="112"/>
      <c r="AD157" s="276"/>
      <c r="AE157" s="112"/>
      <c r="AF157" s="129"/>
      <c r="AG157" s="129"/>
      <c r="AH157" s="129"/>
      <c r="AI157" s="129"/>
      <c r="AJ157" s="129"/>
      <c r="AK157" s="129"/>
      <c r="AL157" s="129"/>
      <c r="AM157" s="129"/>
      <c r="AN157" s="129"/>
      <c r="AO157" s="129"/>
      <c r="AP157" s="276"/>
      <c r="AQ157" s="441"/>
      <c r="AR157" s="441"/>
      <c r="AS157" s="442"/>
      <c r="AT157" s="255"/>
      <c r="AU157" s="130"/>
      <c r="AV157" s="285"/>
      <c r="AW157" s="286"/>
      <c r="AX157" s="130"/>
      <c r="AY157" s="130"/>
      <c r="AZ157" s="130"/>
      <c r="BA157" s="285"/>
      <c r="BB157" s="286"/>
      <c r="BC157" s="130"/>
      <c r="BD157" s="285"/>
      <c r="BE157" s="286"/>
      <c r="BF157" s="130"/>
      <c r="BG157" s="285"/>
      <c r="BH157" s="286"/>
      <c r="BI157" s="130"/>
      <c r="BJ157" s="287"/>
      <c r="BK157" s="286"/>
      <c r="BL157" s="130"/>
      <c r="BM157" s="287"/>
      <c r="BN157" s="286"/>
      <c r="BO157" s="130"/>
      <c r="BP157" s="287"/>
      <c r="BQ157" s="286"/>
      <c r="BR157" s="130"/>
      <c r="BS157" s="287"/>
      <c r="BT157" s="286"/>
      <c r="BU157" s="130"/>
      <c r="BV157" s="130"/>
      <c r="BW157" s="130"/>
      <c r="BX157" s="130"/>
      <c r="BY157" s="256"/>
    </row>
    <row r="158" spans="1:82" s="327" customFormat="1">
      <c r="A158" s="392"/>
      <c r="B158" s="261"/>
      <c r="C158" s="237"/>
      <c r="D158" s="397"/>
      <c r="E158" s="110" t="s">
        <v>224</v>
      </c>
      <c r="F158" s="127" t="s">
        <v>225</v>
      </c>
      <c r="G158" s="17" t="s">
        <v>144</v>
      </c>
      <c r="H158" s="276"/>
      <c r="I158" s="276"/>
      <c r="J158" s="276"/>
      <c r="K158" s="276"/>
      <c r="L158" s="276"/>
      <c r="M158" s="276"/>
      <c r="N158" s="276"/>
      <c r="O158" s="276"/>
      <c r="P158" s="276"/>
      <c r="Q158" s="276"/>
      <c r="R158" s="276"/>
      <c r="S158" s="418"/>
      <c r="T158" s="112"/>
      <c r="U158" s="112"/>
      <c r="V158" s="112"/>
      <c r="W158" s="112"/>
      <c r="X158" s="112"/>
      <c r="Y158" s="112"/>
      <c r="Z158" s="112"/>
      <c r="AA158" s="112"/>
      <c r="AB158" s="112"/>
      <c r="AC158" s="112"/>
      <c r="AD158" s="276"/>
      <c r="AE158" s="112"/>
      <c r="AF158" s="129"/>
      <c r="AG158" s="129"/>
      <c r="AH158" s="129"/>
      <c r="AI158" s="129"/>
      <c r="AJ158" s="129"/>
      <c r="AK158" s="129"/>
      <c r="AL158" s="129"/>
      <c r="AM158" s="129"/>
      <c r="AN158" s="129"/>
      <c r="AO158" s="129"/>
      <c r="AP158" s="276"/>
      <c r="AQ158" s="441" t="s">
        <v>104</v>
      </c>
      <c r="AR158" s="441" t="str">
        <f>+AQ158</f>
        <v>Sans objet</v>
      </c>
      <c r="AS158" s="442" t="str">
        <f>+AR158</f>
        <v>Sans objet</v>
      </c>
      <c r="AT158" s="255"/>
      <c r="AU158" s="130"/>
      <c r="AV158" s="285"/>
      <c r="AW158" s="286"/>
      <c r="AX158" s="130"/>
      <c r="AY158" s="130"/>
      <c r="AZ158" s="130"/>
      <c r="BA158" s="285"/>
      <c r="BB158" s="286"/>
      <c r="BC158" s="130"/>
      <c r="BD158" s="285"/>
      <c r="BE158" s="286"/>
      <c r="BF158" s="130"/>
      <c r="BG158" s="285"/>
      <c r="BH158" s="286"/>
      <c r="BI158" s="130"/>
      <c r="BJ158" s="287"/>
      <c r="BK158" s="286"/>
      <c r="BL158" s="130"/>
      <c r="BM158" s="287"/>
      <c r="BN158" s="286"/>
      <c r="BO158" s="130"/>
      <c r="BP158" s="287"/>
      <c r="BQ158" s="286"/>
      <c r="BR158" s="130"/>
      <c r="BS158" s="287"/>
      <c r="BT158" s="286"/>
      <c r="BU158" s="130"/>
      <c r="BV158" s="130"/>
      <c r="BW158" s="130"/>
      <c r="BX158" s="130"/>
      <c r="BY158" s="256"/>
    </row>
    <row r="159" spans="1:82" s="327" customFormat="1">
      <c r="A159" s="392"/>
      <c r="B159" s="261"/>
      <c r="C159" s="237"/>
      <c r="D159" s="397"/>
      <c r="E159" s="110" t="s">
        <v>226</v>
      </c>
      <c r="F159" s="127" t="s">
        <v>370</v>
      </c>
      <c r="G159" s="17" t="s">
        <v>105</v>
      </c>
      <c r="H159" s="365">
        <f t="shared" ref="H159:O159" si="542">+T159</f>
        <v>0</v>
      </c>
      <c r="I159" s="365">
        <f t="shared" si="542"/>
        <v>0</v>
      </c>
      <c r="J159" s="365">
        <f t="shared" si="542"/>
        <v>0</v>
      </c>
      <c r="K159" s="365">
        <f t="shared" si="542"/>
        <v>0</v>
      </c>
      <c r="L159" s="365">
        <f t="shared" si="542"/>
        <v>0</v>
      </c>
      <c r="M159" s="365">
        <f t="shared" si="542"/>
        <v>0</v>
      </c>
      <c r="N159" s="365">
        <f t="shared" si="542"/>
        <v>1</v>
      </c>
      <c r="O159" s="365">
        <f t="shared" si="542"/>
        <v>0</v>
      </c>
      <c r="P159" s="365">
        <f t="shared" ref="P159:Q159" si="543">+AB159</f>
        <v>0</v>
      </c>
      <c r="Q159" s="365">
        <f t="shared" si="543"/>
        <v>0</v>
      </c>
      <c r="R159" s="365"/>
      <c r="S159" s="418">
        <f>SUM(T159:AC159)</f>
        <v>1</v>
      </c>
      <c r="T159" s="365">
        <f t="shared" ref="T159:AC159" si="544">ROUND(AF159,ARRONDI_QT)</f>
        <v>0</v>
      </c>
      <c r="U159" s="365">
        <f t="shared" si="544"/>
        <v>0</v>
      </c>
      <c r="V159" s="365">
        <f t="shared" si="544"/>
        <v>0</v>
      </c>
      <c r="W159" s="365">
        <f t="shared" si="544"/>
        <v>0</v>
      </c>
      <c r="X159" s="365">
        <f t="shared" si="544"/>
        <v>0</v>
      </c>
      <c r="Y159" s="365">
        <f t="shared" si="544"/>
        <v>0</v>
      </c>
      <c r="Z159" s="365">
        <f t="shared" si="544"/>
        <v>1</v>
      </c>
      <c r="AA159" s="365">
        <f t="shared" si="544"/>
        <v>0</v>
      </c>
      <c r="AB159" s="365">
        <f t="shared" si="544"/>
        <v>0</v>
      </c>
      <c r="AC159" s="365">
        <f t="shared" si="544"/>
        <v>0</v>
      </c>
      <c r="AD159" s="365"/>
      <c r="AE159" s="112">
        <f>ROUND(SUM(AF159:AO159),ARRONDI_QT)</f>
        <v>1</v>
      </c>
      <c r="AF159" s="366">
        <v>0</v>
      </c>
      <c r="AG159" s="366">
        <v>0</v>
      </c>
      <c r="AH159" s="366">
        <v>0</v>
      </c>
      <c r="AI159" s="366">
        <v>0</v>
      </c>
      <c r="AJ159" s="366">
        <v>0</v>
      </c>
      <c r="AK159" s="366">
        <v>0</v>
      </c>
      <c r="AL159" s="366">
        <v>1</v>
      </c>
      <c r="AM159" s="366">
        <v>0</v>
      </c>
      <c r="AN159" s="366">
        <v>0</v>
      </c>
      <c r="AO159" s="366">
        <v>0</v>
      </c>
      <c r="AP159" s="365"/>
      <c r="AQ159" s="439">
        <f>SUM(H159:Q159)</f>
        <v>1</v>
      </c>
      <c r="AR159" s="439">
        <f>ROUND(AU159+BV159,ARRONDI_PU)</f>
        <v>3330</v>
      </c>
      <c r="AS159" s="440">
        <f>+AR159*AQ159</f>
        <v>3330</v>
      </c>
      <c r="AT159" s="255"/>
      <c r="AU159" s="130">
        <f>+AX159+BB159+BE159+BH159+BK159+BN159+BQ159+BT159</f>
        <v>3000</v>
      </c>
      <c r="AV159" s="285">
        <f>+COEF_MO_INSTALL</f>
        <v>1.3</v>
      </c>
      <c r="AW159" s="286">
        <v>0</v>
      </c>
      <c r="AX159" s="130">
        <f>+AW159*TH_INSTALL</f>
        <v>0</v>
      </c>
      <c r="AY159" s="130">
        <f>+AW159*AE159</f>
        <v>0</v>
      </c>
      <c r="AZ159" s="130">
        <f>IF(AQ159&gt;0,(AX159*AE159),0)</f>
        <v>0</v>
      </c>
      <c r="BA159" s="285">
        <f>+COEF_FOUR1_INSTALL</f>
        <v>1.3</v>
      </c>
      <c r="BB159" s="286">
        <v>0</v>
      </c>
      <c r="BC159" s="130">
        <f>IF(AQ159&gt;0,(BB159*AE159),0)</f>
        <v>0</v>
      </c>
      <c r="BD159" s="285">
        <f>+COEF_FOUR2_INSTALL</f>
        <v>1.3</v>
      </c>
      <c r="BE159" s="286">
        <v>0</v>
      </c>
      <c r="BF159" s="130">
        <f>IF(AQ159&gt;0,(BE159*AE159),0)</f>
        <v>0</v>
      </c>
      <c r="BG159" s="285">
        <f>+COEF_FOUR3_INSTALL</f>
        <v>1.3</v>
      </c>
      <c r="BH159" s="286">
        <v>0</v>
      </c>
      <c r="BI159" s="130">
        <f>IF(AQ159&gt;0,(BH159*AE159),0)</f>
        <v>0</v>
      </c>
      <c r="BJ159" s="287">
        <f>+COEF_MTLLOC_INSTALL</f>
        <v>1.1499999999999999</v>
      </c>
      <c r="BK159" s="286">
        <v>0</v>
      </c>
      <c r="BL159" s="130">
        <f>IF(AQ159&gt;0,(BK159*AE159),0)</f>
        <v>0</v>
      </c>
      <c r="BM159" s="287">
        <f>+COEF_MTLAMR_INSTALL</f>
        <v>1.3</v>
      </c>
      <c r="BN159" s="286">
        <v>0</v>
      </c>
      <c r="BO159" s="130">
        <f>IF(AQ159&gt;0,(BN159*AE159),0)</f>
        <v>0</v>
      </c>
      <c r="BP159" s="287">
        <f>+COEF_ST1_INSTALL</f>
        <v>1.1100000000000001</v>
      </c>
      <c r="BQ159" s="286">
        <v>3000</v>
      </c>
      <c r="BR159" s="130">
        <f>IF(AQ159&gt;0,(BQ159*AE159),0)</f>
        <v>3000</v>
      </c>
      <c r="BS159" s="287">
        <f>+COEF_ST2_INSTALL</f>
        <v>1.1100000000000001</v>
      </c>
      <c r="BT159" s="286">
        <v>0</v>
      </c>
      <c r="BU159" s="130">
        <f>IF(AQ159&gt;0,(BT159*AE159),0)</f>
        <v>0</v>
      </c>
      <c r="BV159" s="130">
        <f>+(((AX159)*AV159)+(BB159*BA159)+(BE159*BD159)+(BH159*BG159)+(BK159*BJ159)+(BN159*BM159)+(BQ159*BP159)+(BT159*BS159)+(BT159*BS159))-(AU159)</f>
        <v>330.00000000000045</v>
      </c>
      <c r="BW159" s="130">
        <f>+BV159*AE159</f>
        <v>330.00000000000045</v>
      </c>
      <c r="BX159" s="130">
        <f>AS159-(BW159+BU159+BR159+BO159+BL159+BI159+BF159+BC159+AZ159)</f>
        <v>0</v>
      </c>
      <c r="BY159" s="329"/>
      <c r="BZ159" s="393"/>
    </row>
    <row r="160" spans="1:82" s="327" customFormat="1">
      <c r="A160" s="392"/>
      <c r="B160" s="261"/>
      <c r="C160" s="237"/>
      <c r="D160" s="397"/>
      <c r="E160" s="110"/>
      <c r="F160" s="127"/>
      <c r="G160" s="17"/>
      <c r="H160" s="276"/>
      <c r="I160" s="276"/>
      <c r="J160" s="276"/>
      <c r="K160" s="276"/>
      <c r="L160" s="276"/>
      <c r="M160" s="276"/>
      <c r="N160" s="276"/>
      <c r="O160" s="276"/>
      <c r="P160" s="276"/>
      <c r="Q160" s="276"/>
      <c r="R160" s="276"/>
      <c r="S160" s="418"/>
      <c r="T160" s="112"/>
      <c r="U160" s="112"/>
      <c r="V160" s="112"/>
      <c r="W160" s="112"/>
      <c r="X160" s="112"/>
      <c r="Y160" s="112"/>
      <c r="Z160" s="112"/>
      <c r="AA160" s="112"/>
      <c r="AB160" s="112"/>
      <c r="AC160" s="112"/>
      <c r="AD160" s="276"/>
      <c r="AE160" s="112"/>
      <c r="AF160" s="129"/>
      <c r="AG160" s="129"/>
      <c r="AH160" s="129"/>
      <c r="AI160" s="129"/>
      <c r="AJ160" s="129"/>
      <c r="AK160" s="129"/>
      <c r="AL160" s="129"/>
      <c r="AM160" s="129"/>
      <c r="AN160" s="129"/>
      <c r="AO160" s="129"/>
      <c r="AP160" s="276"/>
      <c r="AQ160" s="439"/>
      <c r="AR160" s="439"/>
      <c r="AS160" s="440"/>
      <c r="AT160" s="255"/>
      <c r="AU160" s="130"/>
      <c r="AV160" s="285"/>
      <c r="AW160" s="286"/>
      <c r="AX160" s="130"/>
      <c r="AY160" s="130"/>
      <c r="AZ160" s="130"/>
      <c r="BA160" s="285"/>
      <c r="BB160" s="286"/>
      <c r="BC160" s="130"/>
      <c r="BD160" s="285"/>
      <c r="BE160" s="286"/>
      <c r="BF160" s="130"/>
      <c r="BG160" s="285"/>
      <c r="BH160" s="286"/>
      <c r="BI160" s="130"/>
      <c r="BJ160" s="287"/>
      <c r="BK160" s="286"/>
      <c r="BL160" s="130"/>
      <c r="BM160" s="287"/>
      <c r="BN160" s="286"/>
      <c r="BO160" s="130"/>
      <c r="BP160" s="287"/>
      <c r="BQ160" s="286"/>
      <c r="BR160" s="130"/>
      <c r="BS160" s="287"/>
      <c r="BT160" s="286"/>
      <c r="BU160" s="130"/>
      <c r="BV160" s="130"/>
      <c r="BW160" s="130"/>
      <c r="BX160" s="130"/>
      <c r="BY160" s="256"/>
    </row>
    <row r="161" spans="1:80" s="327" customFormat="1">
      <c r="A161" s="392"/>
      <c r="B161" s="261"/>
      <c r="C161" s="237"/>
      <c r="D161" s="397"/>
      <c r="E161" s="110" t="s">
        <v>227</v>
      </c>
      <c r="F161" s="127" t="s">
        <v>228</v>
      </c>
      <c r="G161" s="17"/>
      <c r="H161" s="276"/>
      <c r="I161" s="276"/>
      <c r="J161" s="276"/>
      <c r="K161" s="276"/>
      <c r="L161" s="276"/>
      <c r="M161" s="276"/>
      <c r="N161" s="276"/>
      <c r="O161" s="276"/>
      <c r="P161" s="276"/>
      <c r="Q161" s="276"/>
      <c r="R161" s="276"/>
      <c r="S161" s="418"/>
      <c r="T161" s="112"/>
      <c r="U161" s="112"/>
      <c r="V161" s="112"/>
      <c r="W161" s="112"/>
      <c r="X161" s="112"/>
      <c r="Y161" s="112"/>
      <c r="Z161" s="112"/>
      <c r="AA161" s="112"/>
      <c r="AB161" s="112"/>
      <c r="AC161" s="112"/>
      <c r="AD161" s="276"/>
      <c r="AE161" s="112"/>
      <c r="AF161" s="129"/>
      <c r="AG161" s="129"/>
      <c r="AH161" s="129"/>
      <c r="AI161" s="129"/>
      <c r="AJ161" s="129"/>
      <c r="AK161" s="129"/>
      <c r="AL161" s="129"/>
      <c r="AM161" s="129"/>
      <c r="AN161" s="129"/>
      <c r="AO161" s="129"/>
      <c r="AP161" s="276"/>
      <c r="AQ161" s="439"/>
      <c r="AR161" s="439"/>
      <c r="AS161" s="440"/>
      <c r="AT161" s="255"/>
      <c r="AU161" s="130"/>
      <c r="AV161" s="285"/>
      <c r="AW161" s="286"/>
      <c r="AX161" s="130"/>
      <c r="AY161" s="130"/>
      <c r="AZ161" s="130"/>
      <c r="BA161" s="285"/>
      <c r="BB161" s="286"/>
      <c r="BC161" s="130"/>
      <c r="BD161" s="285"/>
      <c r="BE161" s="286"/>
      <c r="BF161" s="130"/>
      <c r="BG161" s="285"/>
      <c r="BH161" s="286"/>
      <c r="BI161" s="130"/>
      <c r="BJ161" s="287"/>
      <c r="BK161" s="286"/>
      <c r="BL161" s="130"/>
      <c r="BM161" s="287"/>
      <c r="BN161" s="286"/>
      <c r="BO161" s="130"/>
      <c r="BP161" s="287"/>
      <c r="BQ161" s="286"/>
      <c r="BR161" s="130"/>
      <c r="BS161" s="287"/>
      <c r="BT161" s="286"/>
      <c r="BU161" s="130"/>
      <c r="BV161" s="130"/>
      <c r="BW161" s="130"/>
      <c r="BX161" s="130"/>
      <c r="BY161" s="256"/>
    </row>
    <row r="162" spans="1:80" s="327" customFormat="1">
      <c r="A162" s="392"/>
      <c r="B162" s="261"/>
      <c r="C162" s="237"/>
      <c r="D162" s="397"/>
      <c r="E162" s="110"/>
      <c r="F162" s="127" t="s">
        <v>385</v>
      </c>
      <c r="G162" s="431" t="s">
        <v>33</v>
      </c>
      <c r="H162" s="365">
        <f t="shared" ref="H162:O162" si="545">+T162</f>
        <v>0</v>
      </c>
      <c r="I162" s="365">
        <f t="shared" si="545"/>
        <v>0</v>
      </c>
      <c r="J162" s="365">
        <f t="shared" si="545"/>
        <v>0</v>
      </c>
      <c r="K162" s="365">
        <f t="shared" si="545"/>
        <v>0</v>
      </c>
      <c r="L162" s="365">
        <f t="shared" si="545"/>
        <v>0</v>
      </c>
      <c r="M162" s="365">
        <f t="shared" si="545"/>
        <v>0</v>
      </c>
      <c r="N162" s="365">
        <f t="shared" si="545"/>
        <v>32</v>
      </c>
      <c r="O162" s="365">
        <f t="shared" si="545"/>
        <v>0</v>
      </c>
      <c r="P162" s="365">
        <f t="shared" ref="P162:Q162" si="546">+AB162</f>
        <v>0</v>
      </c>
      <c r="Q162" s="365">
        <f t="shared" si="546"/>
        <v>0</v>
      </c>
      <c r="R162" s="365"/>
      <c r="S162" s="418">
        <f>SUM(T162:AC162)</f>
        <v>32</v>
      </c>
      <c r="T162" s="365">
        <f t="shared" ref="T162:AC162" si="547">ROUND(AF162,ARRONDI_QT)</f>
        <v>0</v>
      </c>
      <c r="U162" s="365">
        <f t="shared" si="547"/>
        <v>0</v>
      </c>
      <c r="V162" s="365">
        <f t="shared" si="547"/>
        <v>0</v>
      </c>
      <c r="W162" s="365">
        <f t="shared" si="547"/>
        <v>0</v>
      </c>
      <c r="X162" s="365">
        <f t="shared" si="547"/>
        <v>0</v>
      </c>
      <c r="Y162" s="365">
        <f t="shared" si="547"/>
        <v>0</v>
      </c>
      <c r="Z162" s="365">
        <f t="shared" si="547"/>
        <v>32</v>
      </c>
      <c r="AA162" s="365">
        <f t="shared" si="547"/>
        <v>0</v>
      </c>
      <c r="AB162" s="365">
        <f t="shared" si="547"/>
        <v>0</v>
      </c>
      <c r="AC162" s="365">
        <f t="shared" si="547"/>
        <v>0</v>
      </c>
      <c r="AD162" s="365"/>
      <c r="AE162" s="112">
        <f>ROUND(SUM(AF162:AO162),ARRONDI_QT)</f>
        <v>32</v>
      </c>
      <c r="AF162" s="366">
        <v>0</v>
      </c>
      <c r="AG162" s="366">
        <v>0</v>
      </c>
      <c r="AH162" s="366">
        <v>0</v>
      </c>
      <c r="AI162" s="366">
        <v>0</v>
      </c>
      <c r="AJ162" s="366">
        <v>0</v>
      </c>
      <c r="AK162" s="366">
        <v>0</v>
      </c>
      <c r="AL162" s="366">
        <v>32</v>
      </c>
      <c r="AM162" s="366">
        <v>0</v>
      </c>
      <c r="AN162" s="366">
        <v>0</v>
      </c>
      <c r="AO162" s="366">
        <v>0</v>
      </c>
      <c r="AP162" s="365"/>
      <c r="AQ162" s="439">
        <f>SUM(H162:Q162)</f>
        <v>32</v>
      </c>
      <c r="AR162" s="439">
        <f>ROUND(AU162+BV162,ARRONDI_PU)</f>
        <v>79.697999999999993</v>
      </c>
      <c r="AS162" s="440">
        <f>+AR162*AQ162</f>
        <v>2550.3359999999998</v>
      </c>
      <c r="AT162" s="255"/>
      <c r="AU162" s="130">
        <f>+AX162+BB162+BE162+BH162+BK162+BN162+BQ162+BT162</f>
        <v>71.800000000000011</v>
      </c>
      <c r="AV162" s="285">
        <f>+COEF_MO_INSTALL</f>
        <v>1.3</v>
      </c>
      <c r="AW162" s="286">
        <v>0</v>
      </c>
      <c r="AX162" s="130">
        <f>+AW162*TH_INSTALL</f>
        <v>0</v>
      </c>
      <c r="AY162" s="130">
        <f>+AW162*AE162</f>
        <v>0</v>
      </c>
      <c r="AZ162" s="130">
        <f>IF(AQ162&gt;0,(AX162*AE162),0)</f>
        <v>0</v>
      </c>
      <c r="BA162" s="285">
        <f>+COEF_FOUR1_INSTALL</f>
        <v>1.3</v>
      </c>
      <c r="BB162" s="286">
        <v>0</v>
      </c>
      <c r="BC162" s="130">
        <f>IF(AQ162&gt;0,(BB162*AE162),0)</f>
        <v>0</v>
      </c>
      <c r="BD162" s="285">
        <f>+COEF_FOUR2_INSTALL</f>
        <v>1.3</v>
      </c>
      <c r="BE162" s="286">
        <v>0</v>
      </c>
      <c r="BF162" s="130">
        <f>IF(AQ162&gt;0,(BE162*AE162),0)</f>
        <v>0</v>
      </c>
      <c r="BG162" s="285">
        <f>+COEF_FOUR3_INSTALL</f>
        <v>1.3</v>
      </c>
      <c r="BH162" s="286">
        <v>0</v>
      </c>
      <c r="BI162" s="130">
        <f>IF(AQ162&gt;0,(BH162*AE162),0)</f>
        <v>0</v>
      </c>
      <c r="BJ162" s="287">
        <f>+COEF_MTLLOC_INSTALL</f>
        <v>1.1499999999999999</v>
      </c>
      <c r="BK162" s="286">
        <v>0</v>
      </c>
      <c r="BL162" s="130">
        <f>IF(AQ162&gt;0,(BK162*AE162),0)</f>
        <v>0</v>
      </c>
      <c r="BM162" s="287">
        <f>+COEF_MTLAMR_INSTALL</f>
        <v>1.3</v>
      </c>
      <c r="BN162" s="286">
        <v>0</v>
      </c>
      <c r="BO162" s="130">
        <f>IF(AQ162&gt;0,(BN162*AE162),0)</f>
        <v>0</v>
      </c>
      <c r="BP162" s="287">
        <f>+COEF_ST1_INSTALL</f>
        <v>1.1100000000000001</v>
      </c>
      <c r="BQ162" s="286">
        <f>68.9+2.9</f>
        <v>71.800000000000011</v>
      </c>
      <c r="BR162" s="130">
        <f>IF(AQ162&gt;0,(BQ162*AE162),0)</f>
        <v>2297.6000000000004</v>
      </c>
      <c r="BS162" s="287">
        <f>+COEF_ST2_INSTALL</f>
        <v>1.1100000000000001</v>
      </c>
      <c r="BT162" s="286">
        <v>0</v>
      </c>
      <c r="BU162" s="130">
        <f>IF(AQ162&gt;0,(BT162*AE162),0)</f>
        <v>0</v>
      </c>
      <c r="BV162" s="130">
        <f>+(((AX162)*AV162)+(BB162*BA162)+(BE162*BD162)+(BH162*BG162)+(BK162*BJ162)+(BN162*BM162)+(BQ162*BP162)+(BT162*BS162)+(BT162*BS162))-(AU162)</f>
        <v>7.8980000000000103</v>
      </c>
      <c r="BW162" s="130">
        <f>+BV162*AE162</f>
        <v>252.73600000000033</v>
      </c>
      <c r="BX162" s="130">
        <f>AS162-(BW162+BU162+BR162+BO162+BL162+BI162+BF162+BC162+AZ162)</f>
        <v>0</v>
      </c>
      <c r="BY162" s="329"/>
      <c r="BZ162" s="393"/>
      <c r="CA162" s="393"/>
      <c r="CB162" s="393"/>
    </row>
    <row r="163" spans="1:80" s="426" customFormat="1">
      <c r="B163" s="261"/>
      <c r="C163" s="237"/>
      <c r="D163" s="397"/>
      <c r="E163" s="110"/>
      <c r="F163" s="127"/>
      <c r="G163" s="17"/>
      <c r="H163" s="276"/>
      <c r="I163" s="276"/>
      <c r="J163" s="276"/>
      <c r="K163" s="276"/>
      <c r="L163" s="276"/>
      <c r="M163" s="276"/>
      <c r="N163" s="276"/>
      <c r="O163" s="276"/>
      <c r="P163" s="276"/>
      <c r="Q163" s="276"/>
      <c r="R163" s="276"/>
      <c r="S163" s="418"/>
      <c r="T163" s="112"/>
      <c r="U163" s="112"/>
      <c r="V163" s="112"/>
      <c r="W163" s="112"/>
      <c r="X163" s="112"/>
      <c r="Y163" s="112"/>
      <c r="Z163" s="112"/>
      <c r="AA163" s="112"/>
      <c r="AB163" s="112"/>
      <c r="AC163" s="112"/>
      <c r="AD163" s="276"/>
      <c r="AE163" s="112"/>
      <c r="AF163" s="129"/>
      <c r="AG163" s="129"/>
      <c r="AH163" s="129"/>
      <c r="AI163" s="129"/>
      <c r="AJ163" s="129"/>
      <c r="AK163" s="129"/>
      <c r="AL163" s="129"/>
      <c r="AM163" s="129"/>
      <c r="AN163" s="129"/>
      <c r="AO163" s="129"/>
      <c r="AP163" s="276"/>
      <c r="AQ163" s="441"/>
      <c r="AR163" s="441"/>
      <c r="AS163" s="442"/>
      <c r="AT163" s="255"/>
      <c r="AU163" s="130"/>
      <c r="AV163" s="285"/>
      <c r="AW163" s="286"/>
      <c r="AX163" s="130"/>
      <c r="AY163" s="130"/>
      <c r="AZ163" s="130"/>
      <c r="BA163" s="285"/>
      <c r="BB163" s="286"/>
      <c r="BC163" s="130"/>
      <c r="BD163" s="285"/>
      <c r="BE163" s="286"/>
      <c r="BF163" s="130"/>
      <c r="BG163" s="285"/>
      <c r="BH163" s="286"/>
      <c r="BI163" s="130"/>
      <c r="BJ163" s="287"/>
      <c r="BK163" s="286"/>
      <c r="BL163" s="130"/>
      <c r="BM163" s="287"/>
      <c r="BN163" s="286"/>
      <c r="BO163" s="130"/>
      <c r="BP163" s="287"/>
      <c r="BQ163" s="286"/>
      <c r="BR163" s="130"/>
      <c r="BS163" s="287"/>
      <c r="BT163" s="286"/>
      <c r="BU163" s="130"/>
      <c r="BV163" s="130"/>
      <c r="BW163" s="130"/>
      <c r="BX163" s="130"/>
      <c r="BY163" s="256"/>
    </row>
    <row r="164" spans="1:80" s="393" customFormat="1">
      <c r="B164" s="261"/>
      <c r="C164" s="237"/>
      <c r="D164" s="397"/>
      <c r="E164" s="110"/>
      <c r="F164" s="369" t="s">
        <v>365</v>
      </c>
      <c r="G164" s="17"/>
      <c r="H164" s="365"/>
      <c r="I164" s="365"/>
      <c r="J164" s="365"/>
      <c r="K164" s="365"/>
      <c r="L164" s="365"/>
      <c r="M164" s="365"/>
      <c r="N164" s="365"/>
      <c r="O164" s="365"/>
      <c r="P164" s="365"/>
      <c r="Q164" s="365"/>
      <c r="R164" s="365"/>
      <c r="S164" s="418"/>
      <c r="T164" s="365"/>
      <c r="U164" s="365"/>
      <c r="V164" s="365"/>
      <c r="W164" s="365"/>
      <c r="X164" s="365"/>
      <c r="Y164" s="365"/>
      <c r="Z164" s="365"/>
      <c r="AA164" s="365"/>
      <c r="AB164" s="365"/>
      <c r="AC164" s="365"/>
      <c r="AD164" s="365"/>
      <c r="AE164" s="112"/>
      <c r="AF164" s="366"/>
      <c r="AG164" s="366"/>
      <c r="AH164" s="366"/>
      <c r="AI164" s="366"/>
      <c r="AJ164" s="366"/>
      <c r="AK164" s="366"/>
      <c r="AL164" s="366"/>
      <c r="AM164" s="366"/>
      <c r="AN164" s="366"/>
      <c r="AO164" s="366"/>
      <c r="AP164" s="365"/>
      <c r="AQ164" s="439"/>
      <c r="AR164" s="439"/>
      <c r="AS164" s="440"/>
      <c r="AT164" s="255"/>
      <c r="AU164" s="130"/>
      <c r="AV164" s="285"/>
      <c r="AW164" s="286"/>
      <c r="AX164" s="130"/>
      <c r="AY164" s="130"/>
      <c r="AZ164" s="130"/>
      <c r="BA164" s="285"/>
      <c r="BB164" s="286"/>
      <c r="BC164" s="130"/>
      <c r="BD164" s="285"/>
      <c r="BE164" s="286"/>
      <c r="BF164" s="130"/>
      <c r="BG164" s="285"/>
      <c r="BH164" s="286"/>
      <c r="BI164" s="130"/>
      <c r="BJ164" s="287"/>
      <c r="BK164" s="286"/>
      <c r="BL164" s="130"/>
      <c r="BM164" s="287"/>
      <c r="BN164" s="286"/>
      <c r="BO164" s="130"/>
      <c r="BP164" s="287"/>
      <c r="BQ164" s="286"/>
      <c r="BR164" s="130"/>
      <c r="BS164" s="287"/>
      <c r="BT164" s="286"/>
      <c r="BU164" s="130"/>
      <c r="BV164" s="130"/>
      <c r="BW164" s="130"/>
      <c r="BX164" s="130"/>
      <c r="BY164" s="329"/>
    </row>
    <row r="165" spans="1:80" s="393" customFormat="1">
      <c r="B165" s="261"/>
      <c r="C165" s="237"/>
      <c r="D165" s="397"/>
      <c r="E165" s="110"/>
      <c r="F165" s="369" t="s">
        <v>369</v>
      </c>
      <c r="G165" s="17" t="s">
        <v>107</v>
      </c>
      <c r="H165" s="365">
        <f t="shared" ref="H165:H168" si="548">+T165</f>
        <v>0</v>
      </c>
      <c r="I165" s="365">
        <f t="shared" ref="I165:I168" si="549">+U165</f>
        <v>0</v>
      </c>
      <c r="J165" s="365">
        <f t="shared" ref="J165:J168" si="550">+V165</f>
        <v>0</v>
      </c>
      <c r="K165" s="365">
        <f t="shared" ref="K165:K168" si="551">+W165</f>
        <v>0</v>
      </c>
      <c r="L165" s="365">
        <f t="shared" ref="L165:L168" si="552">+X165</f>
        <v>0</v>
      </c>
      <c r="M165" s="365">
        <f t="shared" ref="M165:M168" si="553">+Y165</f>
        <v>0</v>
      </c>
      <c r="N165" s="365">
        <f t="shared" ref="N165:N168" si="554">+Z165</f>
        <v>33</v>
      </c>
      <c r="O165" s="365">
        <f t="shared" ref="O165:O168" si="555">+AA165</f>
        <v>0</v>
      </c>
      <c r="P165" s="365">
        <f t="shared" ref="P165:P168" si="556">+AB165</f>
        <v>0</v>
      </c>
      <c r="Q165" s="365">
        <f t="shared" ref="Q165:Q168" si="557">+AC165</f>
        <v>0</v>
      </c>
      <c r="R165" s="365"/>
      <c r="S165" s="418">
        <f t="shared" ref="S165:S168" si="558">SUM(T165:AC165)</f>
        <v>33</v>
      </c>
      <c r="T165" s="365">
        <f t="shared" ref="T165:T168" si="559">ROUND(AF165,ARRONDI_QT)</f>
        <v>0</v>
      </c>
      <c r="U165" s="365">
        <f t="shared" ref="U165:U168" si="560">ROUND(AG165,ARRONDI_QT)</f>
        <v>0</v>
      </c>
      <c r="V165" s="365">
        <f t="shared" ref="V165:V168" si="561">ROUND(AH165,ARRONDI_QT)</f>
        <v>0</v>
      </c>
      <c r="W165" s="365">
        <f t="shared" ref="W165:W168" si="562">ROUND(AI165,ARRONDI_QT)</f>
        <v>0</v>
      </c>
      <c r="X165" s="365">
        <f t="shared" ref="X165:X168" si="563">ROUND(AJ165,ARRONDI_QT)</f>
        <v>0</v>
      </c>
      <c r="Y165" s="365">
        <f t="shared" ref="Y165:Y168" si="564">ROUND(AK165,ARRONDI_QT)</f>
        <v>0</v>
      </c>
      <c r="Z165" s="365">
        <f t="shared" ref="Z165:Z168" si="565">ROUND(AL165,ARRONDI_QT)</f>
        <v>33</v>
      </c>
      <c r="AA165" s="365">
        <f t="shared" ref="AA165:AA168" si="566">ROUND(AM165,ARRONDI_QT)</f>
        <v>0</v>
      </c>
      <c r="AB165" s="365">
        <f t="shared" ref="AB165:AB168" si="567">ROUND(AN165,ARRONDI_QT)</f>
        <v>0</v>
      </c>
      <c r="AC165" s="365">
        <f t="shared" ref="AC165:AC168" si="568">ROUND(AO165,ARRONDI_QT)</f>
        <v>0</v>
      </c>
      <c r="AD165" s="365"/>
      <c r="AE165" s="112">
        <f>ROUND(SUM(AF165:AO165),ARRONDI_QT)</f>
        <v>33</v>
      </c>
      <c r="AF165" s="366">
        <v>0</v>
      </c>
      <c r="AG165" s="366">
        <v>0</v>
      </c>
      <c r="AH165" s="366">
        <v>0</v>
      </c>
      <c r="AI165" s="366">
        <v>0</v>
      </c>
      <c r="AJ165" s="366">
        <v>0</v>
      </c>
      <c r="AK165" s="366">
        <v>0</v>
      </c>
      <c r="AL165" s="366">
        <v>33</v>
      </c>
      <c r="AM165" s="366">
        <v>0</v>
      </c>
      <c r="AN165" s="366">
        <v>0</v>
      </c>
      <c r="AO165" s="366">
        <v>0</v>
      </c>
      <c r="AP165" s="365"/>
      <c r="AQ165" s="439">
        <f>SUM(H165:Q165)</f>
        <v>33</v>
      </c>
      <c r="AR165" s="439">
        <f>ROUND(AU165+BV165,ARRONDI_PU)</f>
        <v>32.19</v>
      </c>
      <c r="AS165" s="440">
        <f t="shared" ref="AS165:AS168" si="569">+AR165*AQ165</f>
        <v>1062.27</v>
      </c>
      <c r="AT165" s="255"/>
      <c r="AU165" s="130">
        <f t="shared" ref="AU165:AU168" si="570">+AX165+BB165+BE165+BH165+BK165+BN165+BQ165+BT165</f>
        <v>29</v>
      </c>
      <c r="AV165" s="285">
        <f>+COEF_MO_INSTALL</f>
        <v>1.3</v>
      </c>
      <c r="AW165" s="286">
        <v>0</v>
      </c>
      <c r="AX165" s="130">
        <f>+AW165*TH_INSTALL</f>
        <v>0</v>
      </c>
      <c r="AY165" s="130">
        <f t="shared" ref="AY165:AY168" si="571">+AW165*AE165</f>
        <v>0</v>
      </c>
      <c r="AZ165" s="130">
        <f t="shared" ref="AZ165:AZ168" si="572">IF(AQ165&gt;0,(AX165*AE165),0)</f>
        <v>0</v>
      </c>
      <c r="BA165" s="285">
        <f>+COEF_FOUR1_INSTALL</f>
        <v>1.3</v>
      </c>
      <c r="BB165" s="286">
        <v>0</v>
      </c>
      <c r="BC165" s="130">
        <f t="shared" ref="BC165:BC168" si="573">IF(AQ165&gt;0,(BB165*AE165),0)</f>
        <v>0</v>
      </c>
      <c r="BD165" s="285">
        <f>+COEF_FOUR2_INSTALL</f>
        <v>1.3</v>
      </c>
      <c r="BE165" s="286">
        <v>0</v>
      </c>
      <c r="BF165" s="130">
        <f t="shared" ref="BF165:BF168" si="574">IF(AQ165&gt;0,(BE165*AE165),0)</f>
        <v>0</v>
      </c>
      <c r="BG165" s="285">
        <f>+COEF_FOUR3_INSTALL</f>
        <v>1.3</v>
      </c>
      <c r="BH165" s="286">
        <v>0</v>
      </c>
      <c r="BI165" s="130">
        <f t="shared" ref="BI165:BI168" si="575">IF(AQ165&gt;0,(BH165*AE165),0)</f>
        <v>0</v>
      </c>
      <c r="BJ165" s="287">
        <f>+COEF_MTLLOC_INSTALL</f>
        <v>1.1499999999999999</v>
      </c>
      <c r="BK165" s="286">
        <v>0</v>
      </c>
      <c r="BL165" s="130">
        <f t="shared" ref="BL165:BL168" si="576">IF(AQ165&gt;0,(BK165*AE165),0)</f>
        <v>0</v>
      </c>
      <c r="BM165" s="287">
        <f>+COEF_MTLAMR_INSTALL</f>
        <v>1.3</v>
      </c>
      <c r="BN165" s="286">
        <v>0</v>
      </c>
      <c r="BO165" s="130">
        <f t="shared" ref="BO165:BO168" si="577">IF(AQ165&gt;0,(BN165*AE165),0)</f>
        <v>0</v>
      </c>
      <c r="BP165" s="287">
        <f>+COEF_ST1_INSTALL</f>
        <v>1.1100000000000001</v>
      </c>
      <c r="BQ165" s="286">
        <v>29</v>
      </c>
      <c r="BR165" s="130">
        <f t="shared" ref="BR165:BR168" si="578">IF(AQ165&gt;0,(BQ165*AE165),0)</f>
        <v>957</v>
      </c>
      <c r="BS165" s="287">
        <f>+COEF_ST2_INSTALL</f>
        <v>1.1100000000000001</v>
      </c>
      <c r="BT165" s="286">
        <v>0</v>
      </c>
      <c r="BU165" s="130">
        <f t="shared" ref="BU165:BU168" si="579">IF(AQ165&gt;0,(BT165*AE165),0)</f>
        <v>0</v>
      </c>
      <c r="BV165" s="130">
        <f t="shared" ref="BV165:BV168" si="580">+(((AX165)*AV165)+(BB165*BA165)+(BE165*BD165)+(BH165*BG165)+(BK165*BJ165)+(BN165*BM165)+(BQ165*BP165)+(BT165*BS165)+(BT165*BS165))-(AU165)</f>
        <v>3.1900000000000048</v>
      </c>
      <c r="BW165" s="130">
        <f t="shared" ref="BW165:BW168" si="581">+BV165*AE165</f>
        <v>105.27000000000015</v>
      </c>
      <c r="BX165" s="130">
        <f t="shared" ref="BX165:BX168" si="582">AS165-(BW165+BU165+BR165+BO165+BL165+BI165+BF165+BC165+AZ165)</f>
        <v>0</v>
      </c>
      <c r="BY165" s="329"/>
    </row>
    <row r="166" spans="1:80" s="393" customFormat="1">
      <c r="B166" s="261"/>
      <c r="C166" s="237"/>
      <c r="D166" s="397"/>
      <c r="E166" s="110"/>
      <c r="F166" s="369" t="s">
        <v>368</v>
      </c>
      <c r="G166" s="17" t="s">
        <v>107</v>
      </c>
      <c r="H166" s="365">
        <f t="shared" si="548"/>
        <v>0</v>
      </c>
      <c r="I166" s="365">
        <f t="shared" si="549"/>
        <v>0</v>
      </c>
      <c r="J166" s="365">
        <f t="shared" si="550"/>
        <v>0</v>
      </c>
      <c r="K166" s="365">
        <f t="shared" si="551"/>
        <v>0</v>
      </c>
      <c r="L166" s="365">
        <f t="shared" si="552"/>
        <v>0</v>
      </c>
      <c r="M166" s="365">
        <f t="shared" si="553"/>
        <v>0</v>
      </c>
      <c r="N166" s="365">
        <f t="shared" si="554"/>
        <v>190</v>
      </c>
      <c r="O166" s="365">
        <f t="shared" si="555"/>
        <v>0</v>
      </c>
      <c r="P166" s="365">
        <f t="shared" si="556"/>
        <v>0</v>
      </c>
      <c r="Q166" s="365">
        <f t="shared" si="557"/>
        <v>0</v>
      </c>
      <c r="R166" s="365"/>
      <c r="S166" s="418">
        <f t="shared" si="558"/>
        <v>190</v>
      </c>
      <c r="T166" s="365">
        <f t="shared" si="559"/>
        <v>0</v>
      </c>
      <c r="U166" s="365">
        <f t="shared" si="560"/>
        <v>0</v>
      </c>
      <c r="V166" s="365">
        <f t="shared" si="561"/>
        <v>0</v>
      </c>
      <c r="W166" s="365">
        <f t="shared" si="562"/>
        <v>0</v>
      </c>
      <c r="X166" s="365">
        <f t="shared" si="563"/>
        <v>0</v>
      </c>
      <c r="Y166" s="365">
        <f t="shared" si="564"/>
        <v>0</v>
      </c>
      <c r="Z166" s="365">
        <f t="shared" si="565"/>
        <v>190</v>
      </c>
      <c r="AA166" s="365">
        <f t="shared" si="566"/>
        <v>0</v>
      </c>
      <c r="AB166" s="365">
        <f t="shared" si="567"/>
        <v>0</v>
      </c>
      <c r="AC166" s="365">
        <f t="shared" si="568"/>
        <v>0</v>
      </c>
      <c r="AD166" s="365"/>
      <c r="AE166" s="112">
        <f>ROUND(SUM(AF166:AO166),ARRONDI_QT)</f>
        <v>190</v>
      </c>
      <c r="AF166" s="366">
        <v>0</v>
      </c>
      <c r="AG166" s="366">
        <v>0</v>
      </c>
      <c r="AH166" s="366">
        <v>0</v>
      </c>
      <c r="AI166" s="366">
        <v>0</v>
      </c>
      <c r="AJ166" s="366">
        <v>0</v>
      </c>
      <c r="AK166" s="366">
        <v>0</v>
      </c>
      <c r="AL166" s="366">
        <v>190</v>
      </c>
      <c r="AM166" s="366">
        <v>0</v>
      </c>
      <c r="AN166" s="366">
        <v>0</v>
      </c>
      <c r="AO166" s="366">
        <v>0</v>
      </c>
      <c r="AP166" s="365"/>
      <c r="AQ166" s="439">
        <f>SUM(H166:Q166)</f>
        <v>190</v>
      </c>
      <c r="AR166" s="439">
        <f>ROUND(AU166+BV166,ARRONDI_PU)</f>
        <v>32.19</v>
      </c>
      <c r="AS166" s="440">
        <f t="shared" si="569"/>
        <v>6116.0999999999995</v>
      </c>
      <c r="AT166" s="255"/>
      <c r="AU166" s="130">
        <f t="shared" si="570"/>
        <v>29</v>
      </c>
      <c r="AV166" s="285">
        <f>+COEF_MO_INSTALL</f>
        <v>1.3</v>
      </c>
      <c r="AW166" s="286">
        <v>0</v>
      </c>
      <c r="AX166" s="130">
        <f>+AW166*TH_INSTALL</f>
        <v>0</v>
      </c>
      <c r="AY166" s="130">
        <f t="shared" si="571"/>
        <v>0</v>
      </c>
      <c r="AZ166" s="130">
        <f t="shared" si="572"/>
        <v>0</v>
      </c>
      <c r="BA166" s="285">
        <f>+COEF_FOUR1_INSTALL</f>
        <v>1.3</v>
      </c>
      <c r="BB166" s="286">
        <v>0</v>
      </c>
      <c r="BC166" s="130">
        <f t="shared" si="573"/>
        <v>0</v>
      </c>
      <c r="BD166" s="285">
        <f>+COEF_FOUR2_INSTALL</f>
        <v>1.3</v>
      </c>
      <c r="BE166" s="286">
        <v>0</v>
      </c>
      <c r="BF166" s="130">
        <f t="shared" si="574"/>
        <v>0</v>
      </c>
      <c r="BG166" s="285">
        <f>+COEF_FOUR3_INSTALL</f>
        <v>1.3</v>
      </c>
      <c r="BH166" s="286">
        <v>0</v>
      </c>
      <c r="BI166" s="130">
        <f t="shared" si="575"/>
        <v>0</v>
      </c>
      <c r="BJ166" s="287">
        <f>+COEF_MTLLOC_INSTALL</f>
        <v>1.1499999999999999</v>
      </c>
      <c r="BK166" s="286">
        <v>0</v>
      </c>
      <c r="BL166" s="130">
        <f t="shared" si="576"/>
        <v>0</v>
      </c>
      <c r="BM166" s="287">
        <f>+COEF_MTLAMR_INSTALL</f>
        <v>1.3</v>
      </c>
      <c r="BN166" s="286">
        <v>0</v>
      </c>
      <c r="BO166" s="130">
        <f t="shared" si="577"/>
        <v>0</v>
      </c>
      <c r="BP166" s="287">
        <f>+COEF_ST1_INSTALL</f>
        <v>1.1100000000000001</v>
      </c>
      <c r="BQ166" s="286">
        <v>29</v>
      </c>
      <c r="BR166" s="130">
        <f t="shared" si="578"/>
        <v>5510</v>
      </c>
      <c r="BS166" s="287">
        <f>+COEF_ST2_INSTALL</f>
        <v>1.1100000000000001</v>
      </c>
      <c r="BT166" s="286">
        <v>0</v>
      </c>
      <c r="BU166" s="130">
        <f t="shared" si="579"/>
        <v>0</v>
      </c>
      <c r="BV166" s="130">
        <f t="shared" si="580"/>
        <v>3.1900000000000048</v>
      </c>
      <c r="BW166" s="130">
        <f t="shared" si="581"/>
        <v>606.10000000000093</v>
      </c>
      <c r="BX166" s="130">
        <f t="shared" si="582"/>
        <v>0</v>
      </c>
      <c r="BY166" s="329"/>
    </row>
    <row r="167" spans="1:80" s="393" customFormat="1">
      <c r="B167" s="261"/>
      <c r="C167" s="237"/>
      <c r="D167" s="397"/>
      <c r="E167" s="110"/>
      <c r="F167" s="369" t="s">
        <v>367</v>
      </c>
      <c r="G167" s="17" t="s">
        <v>107</v>
      </c>
      <c r="H167" s="365">
        <f t="shared" si="548"/>
        <v>0</v>
      </c>
      <c r="I167" s="365">
        <f t="shared" si="549"/>
        <v>0</v>
      </c>
      <c r="J167" s="365">
        <f t="shared" si="550"/>
        <v>0</v>
      </c>
      <c r="K167" s="365">
        <f t="shared" si="551"/>
        <v>0</v>
      </c>
      <c r="L167" s="365">
        <f t="shared" si="552"/>
        <v>0</v>
      </c>
      <c r="M167" s="365">
        <f t="shared" si="553"/>
        <v>0</v>
      </c>
      <c r="N167" s="365">
        <f t="shared" si="554"/>
        <v>78</v>
      </c>
      <c r="O167" s="365">
        <f t="shared" si="555"/>
        <v>0</v>
      </c>
      <c r="P167" s="365">
        <f t="shared" si="556"/>
        <v>0</v>
      </c>
      <c r="Q167" s="365">
        <f t="shared" si="557"/>
        <v>0</v>
      </c>
      <c r="R167" s="365"/>
      <c r="S167" s="418">
        <f t="shared" si="558"/>
        <v>78</v>
      </c>
      <c r="T167" s="365">
        <f t="shared" si="559"/>
        <v>0</v>
      </c>
      <c r="U167" s="365">
        <f t="shared" si="560"/>
        <v>0</v>
      </c>
      <c r="V167" s="365">
        <f t="shared" si="561"/>
        <v>0</v>
      </c>
      <c r="W167" s="365">
        <f t="shared" si="562"/>
        <v>0</v>
      </c>
      <c r="X167" s="365">
        <f t="shared" si="563"/>
        <v>0</v>
      </c>
      <c r="Y167" s="365">
        <f t="shared" si="564"/>
        <v>0</v>
      </c>
      <c r="Z167" s="365">
        <f t="shared" si="565"/>
        <v>78</v>
      </c>
      <c r="AA167" s="365">
        <f t="shared" si="566"/>
        <v>0</v>
      </c>
      <c r="AB167" s="365">
        <f t="shared" si="567"/>
        <v>0</v>
      </c>
      <c r="AC167" s="365">
        <f t="shared" si="568"/>
        <v>0</v>
      </c>
      <c r="AD167" s="365"/>
      <c r="AE167" s="112">
        <f>ROUND(SUM(AF167:AO167),ARRONDI_QT)</f>
        <v>78</v>
      </c>
      <c r="AF167" s="366">
        <v>0</v>
      </c>
      <c r="AG167" s="366">
        <v>0</v>
      </c>
      <c r="AH167" s="366">
        <v>0</v>
      </c>
      <c r="AI167" s="366">
        <v>0</v>
      </c>
      <c r="AJ167" s="366">
        <v>0</v>
      </c>
      <c r="AK167" s="366">
        <v>0</v>
      </c>
      <c r="AL167" s="366">
        <v>78</v>
      </c>
      <c r="AM167" s="366">
        <v>0</v>
      </c>
      <c r="AN167" s="366">
        <v>0</v>
      </c>
      <c r="AO167" s="366">
        <v>0</v>
      </c>
      <c r="AP167" s="365"/>
      <c r="AQ167" s="439">
        <f>SUM(H167:Q167)</f>
        <v>78</v>
      </c>
      <c r="AR167" s="439">
        <f>ROUND(AU167+BV167,ARRONDI_PU)</f>
        <v>32.19</v>
      </c>
      <c r="AS167" s="440">
        <f t="shared" si="569"/>
        <v>2510.8199999999997</v>
      </c>
      <c r="AT167" s="255"/>
      <c r="AU167" s="130">
        <f t="shared" si="570"/>
        <v>29</v>
      </c>
      <c r="AV167" s="285">
        <f>+COEF_MO_INSTALL</f>
        <v>1.3</v>
      </c>
      <c r="AW167" s="286">
        <v>0</v>
      </c>
      <c r="AX167" s="130">
        <f>+AW167*TH_INSTALL</f>
        <v>0</v>
      </c>
      <c r="AY167" s="130">
        <f t="shared" si="571"/>
        <v>0</v>
      </c>
      <c r="AZ167" s="130">
        <f t="shared" si="572"/>
        <v>0</v>
      </c>
      <c r="BA167" s="285">
        <f>+COEF_FOUR1_INSTALL</f>
        <v>1.3</v>
      </c>
      <c r="BB167" s="286">
        <v>0</v>
      </c>
      <c r="BC167" s="130">
        <f t="shared" si="573"/>
        <v>0</v>
      </c>
      <c r="BD167" s="285">
        <f>+COEF_FOUR2_INSTALL</f>
        <v>1.3</v>
      </c>
      <c r="BE167" s="286">
        <v>0</v>
      </c>
      <c r="BF167" s="130">
        <f t="shared" si="574"/>
        <v>0</v>
      </c>
      <c r="BG167" s="285">
        <f>+COEF_FOUR3_INSTALL</f>
        <v>1.3</v>
      </c>
      <c r="BH167" s="286">
        <v>0</v>
      </c>
      <c r="BI167" s="130">
        <f t="shared" si="575"/>
        <v>0</v>
      </c>
      <c r="BJ167" s="287">
        <f>+COEF_MTLLOC_INSTALL</f>
        <v>1.1499999999999999</v>
      </c>
      <c r="BK167" s="286">
        <v>0</v>
      </c>
      <c r="BL167" s="130">
        <f t="shared" si="576"/>
        <v>0</v>
      </c>
      <c r="BM167" s="287">
        <f>+COEF_MTLAMR_INSTALL</f>
        <v>1.3</v>
      </c>
      <c r="BN167" s="286">
        <v>0</v>
      </c>
      <c r="BO167" s="130">
        <f t="shared" si="577"/>
        <v>0</v>
      </c>
      <c r="BP167" s="287">
        <f>+COEF_ST1_INSTALL</f>
        <v>1.1100000000000001</v>
      </c>
      <c r="BQ167" s="286">
        <v>29</v>
      </c>
      <c r="BR167" s="130">
        <f t="shared" si="578"/>
        <v>2262</v>
      </c>
      <c r="BS167" s="287">
        <f>+COEF_ST2_INSTALL</f>
        <v>1.1100000000000001</v>
      </c>
      <c r="BT167" s="286">
        <v>0</v>
      </c>
      <c r="BU167" s="130">
        <f t="shared" si="579"/>
        <v>0</v>
      </c>
      <c r="BV167" s="130">
        <f t="shared" si="580"/>
        <v>3.1900000000000048</v>
      </c>
      <c r="BW167" s="130">
        <f t="shared" si="581"/>
        <v>248.82000000000039</v>
      </c>
      <c r="BX167" s="130">
        <f t="shared" si="582"/>
        <v>0</v>
      </c>
      <c r="BY167" s="329"/>
    </row>
    <row r="168" spans="1:80" s="393" customFormat="1">
      <c r="B168" s="261"/>
      <c r="C168" s="237"/>
      <c r="D168" s="397"/>
      <c r="E168" s="110"/>
      <c r="F168" s="369" t="s">
        <v>366</v>
      </c>
      <c r="G168" s="17" t="s">
        <v>107</v>
      </c>
      <c r="H168" s="365">
        <f t="shared" si="548"/>
        <v>0</v>
      </c>
      <c r="I168" s="365">
        <f t="shared" si="549"/>
        <v>0</v>
      </c>
      <c r="J168" s="365">
        <f t="shared" si="550"/>
        <v>0</v>
      </c>
      <c r="K168" s="365">
        <f t="shared" si="551"/>
        <v>0</v>
      </c>
      <c r="L168" s="365">
        <f t="shared" si="552"/>
        <v>0</v>
      </c>
      <c r="M168" s="365">
        <f t="shared" si="553"/>
        <v>0</v>
      </c>
      <c r="N168" s="365">
        <f t="shared" si="554"/>
        <v>41</v>
      </c>
      <c r="O168" s="365">
        <f t="shared" si="555"/>
        <v>0</v>
      </c>
      <c r="P168" s="365">
        <f t="shared" si="556"/>
        <v>0</v>
      </c>
      <c r="Q168" s="365">
        <f t="shared" si="557"/>
        <v>0</v>
      </c>
      <c r="R168" s="365"/>
      <c r="S168" s="418">
        <f t="shared" si="558"/>
        <v>41</v>
      </c>
      <c r="T168" s="365">
        <f t="shared" si="559"/>
        <v>0</v>
      </c>
      <c r="U168" s="365">
        <f t="shared" si="560"/>
        <v>0</v>
      </c>
      <c r="V168" s="365">
        <f t="shared" si="561"/>
        <v>0</v>
      </c>
      <c r="W168" s="365">
        <f t="shared" si="562"/>
        <v>0</v>
      </c>
      <c r="X168" s="365">
        <f t="shared" si="563"/>
        <v>0</v>
      </c>
      <c r="Y168" s="365">
        <f t="shared" si="564"/>
        <v>0</v>
      </c>
      <c r="Z168" s="365">
        <f t="shared" si="565"/>
        <v>41</v>
      </c>
      <c r="AA168" s="365">
        <f t="shared" si="566"/>
        <v>0</v>
      </c>
      <c r="AB168" s="365">
        <f t="shared" si="567"/>
        <v>0</v>
      </c>
      <c r="AC168" s="365">
        <f t="shared" si="568"/>
        <v>0</v>
      </c>
      <c r="AD168" s="365"/>
      <c r="AE168" s="112">
        <f>ROUND(SUM(AF168:AO168),ARRONDI_QT)</f>
        <v>41</v>
      </c>
      <c r="AF168" s="366">
        <v>0</v>
      </c>
      <c r="AG168" s="366">
        <v>0</v>
      </c>
      <c r="AH168" s="366">
        <v>0</v>
      </c>
      <c r="AI168" s="366">
        <v>0</v>
      </c>
      <c r="AJ168" s="366">
        <v>0</v>
      </c>
      <c r="AK168" s="366">
        <v>0</v>
      </c>
      <c r="AL168" s="366">
        <f>16+25</f>
        <v>41</v>
      </c>
      <c r="AM168" s="366">
        <v>0</v>
      </c>
      <c r="AN168" s="366">
        <v>0</v>
      </c>
      <c r="AO168" s="366">
        <v>0</v>
      </c>
      <c r="AP168" s="365"/>
      <c r="AQ168" s="439">
        <f>SUM(H168:Q168)</f>
        <v>41</v>
      </c>
      <c r="AR168" s="439">
        <f>ROUND(AU168+BV168,ARRONDI_PU)</f>
        <v>32.19</v>
      </c>
      <c r="AS168" s="440">
        <f t="shared" si="569"/>
        <v>1319.79</v>
      </c>
      <c r="AT168" s="255"/>
      <c r="AU168" s="130">
        <f t="shared" si="570"/>
        <v>29</v>
      </c>
      <c r="AV168" s="285">
        <f>+COEF_MO_INSTALL</f>
        <v>1.3</v>
      </c>
      <c r="AW168" s="286">
        <v>0</v>
      </c>
      <c r="AX168" s="130">
        <f>+AW168*TH_INSTALL</f>
        <v>0</v>
      </c>
      <c r="AY168" s="130">
        <f t="shared" si="571"/>
        <v>0</v>
      </c>
      <c r="AZ168" s="130">
        <f t="shared" si="572"/>
        <v>0</v>
      </c>
      <c r="BA168" s="285">
        <f>+COEF_FOUR1_INSTALL</f>
        <v>1.3</v>
      </c>
      <c r="BB168" s="286">
        <v>0</v>
      </c>
      <c r="BC168" s="130">
        <f t="shared" si="573"/>
        <v>0</v>
      </c>
      <c r="BD168" s="285">
        <f>+COEF_FOUR2_INSTALL</f>
        <v>1.3</v>
      </c>
      <c r="BE168" s="286">
        <v>0</v>
      </c>
      <c r="BF168" s="130">
        <f t="shared" si="574"/>
        <v>0</v>
      </c>
      <c r="BG168" s="285">
        <f>+COEF_FOUR3_INSTALL</f>
        <v>1.3</v>
      </c>
      <c r="BH168" s="286">
        <v>0</v>
      </c>
      <c r="BI168" s="130">
        <f t="shared" si="575"/>
        <v>0</v>
      </c>
      <c r="BJ168" s="287">
        <f>+COEF_MTLLOC_INSTALL</f>
        <v>1.1499999999999999</v>
      </c>
      <c r="BK168" s="286">
        <v>0</v>
      </c>
      <c r="BL168" s="130">
        <f t="shared" si="576"/>
        <v>0</v>
      </c>
      <c r="BM168" s="287">
        <f>+COEF_MTLAMR_INSTALL</f>
        <v>1.3</v>
      </c>
      <c r="BN168" s="286">
        <v>0</v>
      </c>
      <c r="BO168" s="130">
        <f t="shared" si="577"/>
        <v>0</v>
      </c>
      <c r="BP168" s="287">
        <f>+COEF_ST1_INSTALL</f>
        <v>1.1100000000000001</v>
      </c>
      <c r="BQ168" s="286">
        <v>29</v>
      </c>
      <c r="BR168" s="130">
        <f t="shared" si="578"/>
        <v>1189</v>
      </c>
      <c r="BS168" s="287">
        <f>+COEF_ST2_INSTALL</f>
        <v>1.1100000000000001</v>
      </c>
      <c r="BT168" s="286">
        <v>0</v>
      </c>
      <c r="BU168" s="130">
        <f t="shared" si="579"/>
        <v>0</v>
      </c>
      <c r="BV168" s="130">
        <f t="shared" si="580"/>
        <v>3.1900000000000048</v>
      </c>
      <c r="BW168" s="130">
        <f t="shared" si="581"/>
        <v>130.79000000000019</v>
      </c>
      <c r="BX168" s="130">
        <f t="shared" si="582"/>
        <v>0</v>
      </c>
      <c r="BY168" s="329"/>
    </row>
    <row r="169" spans="1:80" s="327" customFormat="1">
      <c r="A169" s="392"/>
      <c r="B169" s="261"/>
      <c r="C169" s="237"/>
      <c r="D169" s="397"/>
      <c r="E169" s="110"/>
      <c r="F169" s="127"/>
      <c r="G169" s="17"/>
      <c r="H169" s="276"/>
      <c r="I169" s="276"/>
      <c r="J169" s="276"/>
      <c r="K169" s="276"/>
      <c r="L169" s="276"/>
      <c r="M169" s="276"/>
      <c r="N169" s="276"/>
      <c r="O169" s="276"/>
      <c r="P169" s="276"/>
      <c r="Q169" s="276"/>
      <c r="R169" s="276"/>
      <c r="S169" s="418"/>
      <c r="T169" s="112"/>
      <c r="U169" s="112"/>
      <c r="V169" s="112"/>
      <c r="W169" s="112"/>
      <c r="X169" s="112"/>
      <c r="Y169" s="112"/>
      <c r="Z169" s="112"/>
      <c r="AA169" s="112"/>
      <c r="AB169" s="112"/>
      <c r="AC169" s="112"/>
      <c r="AD169" s="276"/>
      <c r="AE169" s="112"/>
      <c r="AF169" s="129"/>
      <c r="AG169" s="129"/>
      <c r="AH169" s="129"/>
      <c r="AI169" s="129"/>
      <c r="AJ169" s="129"/>
      <c r="AK169" s="129"/>
      <c r="AL169" s="129"/>
      <c r="AM169" s="129"/>
      <c r="AN169" s="129"/>
      <c r="AO169" s="129"/>
      <c r="AP169" s="276"/>
      <c r="AQ169" s="439"/>
      <c r="AR169" s="439"/>
      <c r="AS169" s="440"/>
      <c r="AT169" s="255"/>
      <c r="AU169" s="130"/>
      <c r="AV169" s="285"/>
      <c r="AW169" s="286"/>
      <c r="AX169" s="130"/>
      <c r="AY169" s="130"/>
      <c r="AZ169" s="130"/>
      <c r="BA169" s="285"/>
      <c r="BB169" s="286"/>
      <c r="BC169" s="130"/>
      <c r="BD169" s="285"/>
      <c r="BE169" s="286"/>
      <c r="BF169" s="130"/>
      <c r="BG169" s="285"/>
      <c r="BH169" s="286"/>
      <c r="BI169" s="130"/>
      <c r="BJ169" s="287"/>
      <c r="BK169" s="286"/>
      <c r="BL169" s="130"/>
      <c r="BM169" s="287"/>
      <c r="BN169" s="286"/>
      <c r="BO169" s="130"/>
      <c r="BP169" s="287"/>
      <c r="BQ169" s="286"/>
      <c r="BR169" s="130"/>
      <c r="BS169" s="287"/>
      <c r="BT169" s="286"/>
      <c r="BU169" s="130"/>
      <c r="BV169" s="130"/>
      <c r="BW169" s="130"/>
      <c r="BX169" s="130"/>
      <c r="BY169" s="256"/>
    </row>
    <row r="170" spans="1:80" s="327" customFormat="1">
      <c r="A170" s="392"/>
      <c r="B170" s="261"/>
      <c r="C170" s="237"/>
      <c r="D170" s="397"/>
      <c r="E170" s="110" t="s">
        <v>229</v>
      </c>
      <c r="F170" s="127" t="s">
        <v>230</v>
      </c>
      <c r="G170" s="17" t="s">
        <v>107</v>
      </c>
      <c r="H170" s="365">
        <f t="shared" ref="H170:O170" si="583">+T170</f>
        <v>0</v>
      </c>
      <c r="I170" s="365">
        <f t="shared" si="583"/>
        <v>0</v>
      </c>
      <c r="J170" s="365">
        <f t="shared" si="583"/>
        <v>0</v>
      </c>
      <c r="K170" s="365">
        <f t="shared" si="583"/>
        <v>0</v>
      </c>
      <c r="L170" s="365">
        <f t="shared" si="583"/>
        <v>0</v>
      </c>
      <c r="M170" s="365">
        <f t="shared" si="583"/>
        <v>0</v>
      </c>
      <c r="N170" s="365">
        <f t="shared" si="583"/>
        <v>26</v>
      </c>
      <c r="O170" s="365">
        <f t="shared" si="583"/>
        <v>0</v>
      </c>
      <c r="P170" s="365">
        <f t="shared" ref="P170:Q170" si="584">+AB170</f>
        <v>0</v>
      </c>
      <c r="Q170" s="365">
        <f t="shared" si="584"/>
        <v>0</v>
      </c>
      <c r="R170" s="365"/>
      <c r="S170" s="418">
        <f>SUM(T170:AC170)</f>
        <v>26</v>
      </c>
      <c r="T170" s="365">
        <f t="shared" ref="T170:AC170" si="585">ROUND(AF170,ARRONDI_QT)</f>
        <v>0</v>
      </c>
      <c r="U170" s="365">
        <f t="shared" si="585"/>
        <v>0</v>
      </c>
      <c r="V170" s="365">
        <f t="shared" si="585"/>
        <v>0</v>
      </c>
      <c r="W170" s="365">
        <f t="shared" si="585"/>
        <v>0</v>
      </c>
      <c r="X170" s="365">
        <f t="shared" si="585"/>
        <v>0</v>
      </c>
      <c r="Y170" s="365">
        <f t="shared" si="585"/>
        <v>0</v>
      </c>
      <c r="Z170" s="365">
        <f t="shared" si="585"/>
        <v>26</v>
      </c>
      <c r="AA170" s="365">
        <f t="shared" si="585"/>
        <v>0</v>
      </c>
      <c r="AB170" s="365">
        <f t="shared" si="585"/>
        <v>0</v>
      </c>
      <c r="AC170" s="365">
        <f t="shared" si="585"/>
        <v>0</v>
      </c>
      <c r="AD170" s="365"/>
      <c r="AE170" s="112">
        <f>ROUND(SUM(AF170:AO170),ARRONDI_QT)</f>
        <v>26</v>
      </c>
      <c r="AF170" s="366">
        <v>0</v>
      </c>
      <c r="AG170" s="366">
        <v>0</v>
      </c>
      <c r="AH170" s="366">
        <v>0</v>
      </c>
      <c r="AI170" s="366">
        <v>0</v>
      </c>
      <c r="AJ170" s="366">
        <v>0</v>
      </c>
      <c r="AK170" s="366">
        <v>0</v>
      </c>
      <c r="AL170" s="366">
        <v>26</v>
      </c>
      <c r="AM170" s="366">
        <v>0</v>
      </c>
      <c r="AN170" s="366">
        <v>0</v>
      </c>
      <c r="AO170" s="366">
        <v>0</v>
      </c>
      <c r="AP170" s="365"/>
      <c r="AQ170" s="439">
        <f>SUM(H170:Q170)</f>
        <v>26</v>
      </c>
      <c r="AR170" s="439">
        <f>ROUND(AU170+BV170,ARRONDI_PU)</f>
        <v>33.299999999999997</v>
      </c>
      <c r="AS170" s="440">
        <f>+AR170*AQ170</f>
        <v>865.8</v>
      </c>
      <c r="AT170" s="255"/>
      <c r="AU170" s="130">
        <f>+AX170+BB170+BE170+BH170+BK170+BN170+BQ170+BT170</f>
        <v>30</v>
      </c>
      <c r="AV170" s="285">
        <f>+COEF_MO_INSTALL</f>
        <v>1.3</v>
      </c>
      <c r="AW170" s="286">
        <v>0</v>
      </c>
      <c r="AX170" s="130">
        <f>+AW170*TH_INSTALL</f>
        <v>0</v>
      </c>
      <c r="AY170" s="130">
        <f>+AW170*AE170</f>
        <v>0</v>
      </c>
      <c r="AZ170" s="130">
        <f>IF(AQ170&gt;0,(AX170*AE170),0)</f>
        <v>0</v>
      </c>
      <c r="BA170" s="285">
        <f>+COEF_FOUR1_INSTALL</f>
        <v>1.3</v>
      </c>
      <c r="BB170" s="286">
        <v>0</v>
      </c>
      <c r="BC170" s="130">
        <f>IF(AQ170&gt;0,(BB170*AE170),0)</f>
        <v>0</v>
      </c>
      <c r="BD170" s="285">
        <f>+COEF_FOUR2_INSTALL</f>
        <v>1.3</v>
      </c>
      <c r="BE170" s="286">
        <v>0</v>
      </c>
      <c r="BF170" s="130">
        <f>IF(AQ170&gt;0,(BE170*AE170),0)</f>
        <v>0</v>
      </c>
      <c r="BG170" s="285">
        <f>+COEF_FOUR3_INSTALL</f>
        <v>1.3</v>
      </c>
      <c r="BH170" s="286">
        <v>0</v>
      </c>
      <c r="BI170" s="130">
        <f>IF(AQ170&gt;0,(BH170*AE170),0)</f>
        <v>0</v>
      </c>
      <c r="BJ170" s="287">
        <f>+COEF_MTLLOC_INSTALL</f>
        <v>1.1499999999999999</v>
      </c>
      <c r="BK170" s="286">
        <v>0</v>
      </c>
      <c r="BL170" s="130">
        <f>IF(AQ170&gt;0,(BK170*AE170),0)</f>
        <v>0</v>
      </c>
      <c r="BM170" s="287">
        <f>+COEF_MTLAMR_INSTALL</f>
        <v>1.3</v>
      </c>
      <c r="BN170" s="286">
        <v>0</v>
      </c>
      <c r="BO170" s="130">
        <f>IF(AQ170&gt;0,(BN170*AE170),0)</f>
        <v>0</v>
      </c>
      <c r="BP170" s="287">
        <f>+COEF_ST1_INSTALL</f>
        <v>1.1100000000000001</v>
      </c>
      <c r="BQ170" s="286">
        <v>30</v>
      </c>
      <c r="BR170" s="130">
        <f>IF(AQ170&gt;0,(BQ170*AE170),0)</f>
        <v>780</v>
      </c>
      <c r="BS170" s="287">
        <f>+COEF_ST2_INSTALL</f>
        <v>1.1100000000000001</v>
      </c>
      <c r="BT170" s="286">
        <v>0</v>
      </c>
      <c r="BU170" s="130">
        <f>IF(AQ170&gt;0,(BT170*AE170),0)</f>
        <v>0</v>
      </c>
      <c r="BV170" s="130">
        <f>+(((AX170)*AV170)+(BB170*BA170)+(BE170*BD170)+(BH170*BG170)+(BK170*BJ170)+(BN170*BM170)+(BQ170*BP170)+(BT170*BS170)+(BT170*BS170))-(AU170)</f>
        <v>3.3000000000000043</v>
      </c>
      <c r="BW170" s="130">
        <f>+BV170*AE170</f>
        <v>85.800000000000111</v>
      </c>
      <c r="BX170" s="130">
        <f>AS170-(BW170+BU170+BR170+BO170+BL170+BI170+BF170+BC170+AZ170)</f>
        <v>0</v>
      </c>
      <c r="BY170" s="329"/>
    </row>
    <row r="171" spans="1:80" s="327" customFormat="1">
      <c r="A171" s="392"/>
      <c r="B171" s="261"/>
      <c r="C171" s="237"/>
      <c r="D171" s="397"/>
      <c r="E171" s="110" t="s">
        <v>231</v>
      </c>
      <c r="F171" s="127" t="s">
        <v>232</v>
      </c>
      <c r="G171" s="17" t="s">
        <v>105</v>
      </c>
      <c r="H171" s="365">
        <f t="shared" ref="H171:O171" si="586">+T171</f>
        <v>0</v>
      </c>
      <c r="I171" s="365">
        <f t="shared" si="586"/>
        <v>0</v>
      </c>
      <c r="J171" s="365">
        <f t="shared" si="586"/>
        <v>0</v>
      </c>
      <c r="K171" s="365">
        <f t="shared" si="586"/>
        <v>0</v>
      </c>
      <c r="L171" s="365">
        <f t="shared" si="586"/>
        <v>0</v>
      </c>
      <c r="M171" s="365">
        <f t="shared" si="586"/>
        <v>0</v>
      </c>
      <c r="N171" s="365">
        <f t="shared" si="586"/>
        <v>1</v>
      </c>
      <c r="O171" s="365">
        <f t="shared" si="586"/>
        <v>0</v>
      </c>
      <c r="P171" s="365">
        <f t="shared" ref="P171:Q171" si="587">+AB171</f>
        <v>0</v>
      </c>
      <c r="Q171" s="365">
        <f t="shared" si="587"/>
        <v>0</v>
      </c>
      <c r="R171" s="365"/>
      <c r="S171" s="418">
        <f>SUM(T171:AC171)</f>
        <v>1</v>
      </c>
      <c r="T171" s="365">
        <f t="shared" ref="T171:AC171" si="588">ROUND(AF171,ARRONDI_QT)</f>
        <v>0</v>
      </c>
      <c r="U171" s="365">
        <f t="shared" si="588"/>
        <v>0</v>
      </c>
      <c r="V171" s="365">
        <f t="shared" si="588"/>
        <v>0</v>
      </c>
      <c r="W171" s="365">
        <f t="shared" si="588"/>
        <v>0</v>
      </c>
      <c r="X171" s="365">
        <f t="shared" si="588"/>
        <v>0</v>
      </c>
      <c r="Y171" s="365">
        <f t="shared" si="588"/>
        <v>0</v>
      </c>
      <c r="Z171" s="365">
        <f t="shared" si="588"/>
        <v>1</v>
      </c>
      <c r="AA171" s="365">
        <f t="shared" si="588"/>
        <v>0</v>
      </c>
      <c r="AB171" s="365">
        <f t="shared" si="588"/>
        <v>0</v>
      </c>
      <c r="AC171" s="365">
        <f t="shared" si="588"/>
        <v>0</v>
      </c>
      <c r="AD171" s="365"/>
      <c r="AE171" s="112">
        <f>ROUND(SUM(AF171:AO171),ARRONDI_QT)</f>
        <v>1</v>
      </c>
      <c r="AF171" s="366">
        <v>0</v>
      </c>
      <c r="AG171" s="366">
        <v>0</v>
      </c>
      <c r="AH171" s="366">
        <v>0</v>
      </c>
      <c r="AI171" s="366">
        <v>0</v>
      </c>
      <c r="AJ171" s="366">
        <v>0</v>
      </c>
      <c r="AK171" s="366">
        <v>0</v>
      </c>
      <c r="AL171" s="366">
        <v>1</v>
      </c>
      <c r="AM171" s="366">
        <v>0</v>
      </c>
      <c r="AN171" s="366">
        <v>0</v>
      </c>
      <c r="AO171" s="366">
        <v>0</v>
      </c>
      <c r="AP171" s="365"/>
      <c r="AQ171" s="439">
        <f>SUM(H171:Q171)</f>
        <v>1</v>
      </c>
      <c r="AR171" s="439">
        <f>ROUND(AU171+BV171,ARRONDI_PU)</f>
        <v>3108</v>
      </c>
      <c r="AS171" s="440">
        <f>+AR171*AQ171</f>
        <v>3108</v>
      </c>
      <c r="AT171" s="255"/>
      <c r="AU171" s="130">
        <f>+AX171+BB171+BE171+BH171+BK171+BN171+BQ171+BT171</f>
        <v>2800</v>
      </c>
      <c r="AV171" s="285">
        <f>+COEF_MO_INSTALL</f>
        <v>1.3</v>
      </c>
      <c r="AW171" s="286">
        <v>0</v>
      </c>
      <c r="AX171" s="130">
        <f>+AW171*TH_INSTALL</f>
        <v>0</v>
      </c>
      <c r="AY171" s="130">
        <f>+AW171*AE171</f>
        <v>0</v>
      </c>
      <c r="AZ171" s="130">
        <f>IF(AQ171&gt;0,(AX171*AE171),0)</f>
        <v>0</v>
      </c>
      <c r="BA171" s="285">
        <f>+COEF_FOUR1_INSTALL</f>
        <v>1.3</v>
      </c>
      <c r="BB171" s="286">
        <v>0</v>
      </c>
      <c r="BC171" s="130">
        <f>IF(AQ171&gt;0,(BB171*AE171),0)</f>
        <v>0</v>
      </c>
      <c r="BD171" s="285">
        <f>+COEF_FOUR2_INSTALL</f>
        <v>1.3</v>
      </c>
      <c r="BE171" s="286">
        <v>0</v>
      </c>
      <c r="BF171" s="130">
        <f>IF(AQ171&gt;0,(BE171*AE171),0)</f>
        <v>0</v>
      </c>
      <c r="BG171" s="285">
        <f>+COEF_FOUR3_INSTALL</f>
        <v>1.3</v>
      </c>
      <c r="BH171" s="286">
        <v>0</v>
      </c>
      <c r="BI171" s="130">
        <f>IF(AQ171&gt;0,(BH171*AE171),0)</f>
        <v>0</v>
      </c>
      <c r="BJ171" s="287">
        <f>+COEF_MTLLOC_INSTALL</f>
        <v>1.1499999999999999</v>
      </c>
      <c r="BK171" s="286">
        <v>0</v>
      </c>
      <c r="BL171" s="130">
        <f>IF(AQ171&gt;0,(BK171*AE171),0)</f>
        <v>0</v>
      </c>
      <c r="BM171" s="287">
        <f>+COEF_MTLAMR_INSTALL</f>
        <v>1.3</v>
      </c>
      <c r="BN171" s="286">
        <v>0</v>
      </c>
      <c r="BO171" s="130">
        <f>IF(AQ171&gt;0,(BN171*AE171),0)</f>
        <v>0</v>
      </c>
      <c r="BP171" s="287">
        <f>+COEF_ST1_INSTALL</f>
        <v>1.1100000000000001</v>
      </c>
      <c r="BQ171" s="286">
        <v>2800</v>
      </c>
      <c r="BR171" s="130">
        <f>IF(AQ171&gt;0,(BQ171*AE171),0)</f>
        <v>2800</v>
      </c>
      <c r="BS171" s="287">
        <f>+COEF_ST2_INSTALL</f>
        <v>1.1100000000000001</v>
      </c>
      <c r="BT171" s="286">
        <v>0</v>
      </c>
      <c r="BU171" s="130">
        <f>IF(AQ171&gt;0,(BT171*AE171),0)</f>
        <v>0</v>
      </c>
      <c r="BV171" s="130">
        <f>+(((AX171)*AV171)+(BB171*BA171)+(BE171*BD171)+(BH171*BG171)+(BK171*BJ171)+(BN171*BM171)+(BQ171*BP171)+(BT171*BS171)+(BT171*BS171))-(AU171)</f>
        <v>308.00000000000045</v>
      </c>
      <c r="BW171" s="130">
        <f>+BV171*AE171</f>
        <v>308.00000000000045</v>
      </c>
      <c r="BX171" s="130">
        <f>AS171-(BW171+BU171+BR171+BO171+BL171+BI171+BF171+BC171+AZ171)</f>
        <v>0</v>
      </c>
      <c r="BY171" s="329"/>
    </row>
    <row r="172" spans="1:80" s="327" customFormat="1">
      <c r="A172" s="392"/>
      <c r="B172" s="261"/>
      <c r="C172" s="237"/>
      <c r="D172" s="397"/>
      <c r="E172" s="110" t="s">
        <v>233</v>
      </c>
      <c r="F172" s="127" t="s">
        <v>234</v>
      </c>
      <c r="G172" s="17" t="s">
        <v>105</v>
      </c>
      <c r="H172" s="365"/>
      <c r="I172" s="365"/>
      <c r="J172" s="365"/>
      <c r="K172" s="365"/>
      <c r="L172" s="365"/>
      <c r="M172" s="365"/>
      <c r="N172" s="365"/>
      <c r="O172" s="365"/>
      <c r="P172" s="365"/>
      <c r="Q172" s="365"/>
      <c r="R172" s="365"/>
      <c r="S172" s="418"/>
      <c r="T172" s="365"/>
      <c r="U172" s="365"/>
      <c r="V172" s="365"/>
      <c r="W172" s="365"/>
      <c r="X172" s="365"/>
      <c r="Y172" s="365"/>
      <c r="Z172" s="365"/>
      <c r="AA172" s="365"/>
      <c r="AB172" s="365"/>
      <c r="AC172" s="365"/>
      <c r="AD172" s="365"/>
      <c r="AE172" s="112"/>
      <c r="AF172" s="366"/>
      <c r="AG172" s="366"/>
      <c r="AH172" s="366"/>
      <c r="AI172" s="366"/>
      <c r="AJ172" s="366"/>
      <c r="AK172" s="366"/>
      <c r="AL172" s="366"/>
      <c r="AM172" s="366"/>
      <c r="AN172" s="366"/>
      <c r="AO172" s="366"/>
      <c r="AP172" s="365"/>
      <c r="AQ172" s="441" t="s">
        <v>434</v>
      </c>
      <c r="AR172" s="441" t="str">
        <f>+AQ172</f>
        <v>Cis § 2B.15</v>
      </c>
      <c r="AS172" s="442" t="str">
        <f>+AR172</f>
        <v>Cis § 2B.15</v>
      </c>
      <c r="AT172" s="255"/>
      <c r="AU172" s="130"/>
      <c r="AV172" s="285"/>
      <c r="AW172" s="286"/>
      <c r="AX172" s="130"/>
      <c r="AY172" s="130"/>
      <c r="AZ172" s="130"/>
      <c r="BA172" s="285"/>
      <c r="BB172" s="286"/>
      <c r="BC172" s="130"/>
      <c r="BD172" s="285"/>
      <c r="BE172" s="286"/>
      <c r="BF172" s="130"/>
      <c r="BG172" s="285"/>
      <c r="BH172" s="286"/>
      <c r="BI172" s="130"/>
      <c r="BJ172" s="287"/>
      <c r="BK172" s="286"/>
      <c r="BL172" s="130"/>
      <c r="BM172" s="287"/>
      <c r="BN172" s="286"/>
      <c r="BO172" s="130"/>
      <c r="BP172" s="287"/>
      <c r="BQ172" s="286"/>
      <c r="BR172" s="130"/>
      <c r="BS172" s="287"/>
      <c r="BT172" s="286"/>
      <c r="BU172" s="130"/>
      <c r="BV172" s="130"/>
      <c r="BW172" s="130"/>
      <c r="BX172" s="130"/>
      <c r="BY172" s="329"/>
    </row>
    <row r="173" spans="1:80" s="327" customFormat="1">
      <c r="A173" s="392"/>
      <c r="B173" s="261"/>
      <c r="C173" s="237"/>
      <c r="D173" s="397"/>
      <c r="E173" s="110" t="s">
        <v>235</v>
      </c>
      <c r="F173" s="127" t="s">
        <v>435</v>
      </c>
      <c r="G173" s="17" t="s">
        <v>108</v>
      </c>
      <c r="H173" s="365">
        <f t="shared" ref="H173:O173" si="589">+T173</f>
        <v>0</v>
      </c>
      <c r="I173" s="365">
        <f t="shared" si="589"/>
        <v>0</v>
      </c>
      <c r="J173" s="365">
        <f t="shared" si="589"/>
        <v>0</v>
      </c>
      <c r="K173" s="365">
        <f t="shared" si="589"/>
        <v>0</v>
      </c>
      <c r="L173" s="365">
        <f t="shared" si="589"/>
        <v>0</v>
      </c>
      <c r="M173" s="365">
        <f t="shared" si="589"/>
        <v>0</v>
      </c>
      <c r="N173" s="365">
        <f t="shared" si="589"/>
        <v>200</v>
      </c>
      <c r="O173" s="365">
        <f t="shared" si="589"/>
        <v>0</v>
      </c>
      <c r="P173" s="365">
        <f t="shared" ref="P173:Q173" si="590">+AB173</f>
        <v>0</v>
      </c>
      <c r="Q173" s="365">
        <f t="shared" si="590"/>
        <v>0</v>
      </c>
      <c r="R173" s="365"/>
      <c r="S173" s="418">
        <f>SUM(T173:AC173)</f>
        <v>200</v>
      </c>
      <c r="T173" s="365">
        <f t="shared" ref="T173:AC173" si="591">ROUND(AF173,ARRONDI_QT)</f>
        <v>0</v>
      </c>
      <c r="U173" s="365">
        <f t="shared" si="591"/>
        <v>0</v>
      </c>
      <c r="V173" s="365">
        <f t="shared" si="591"/>
        <v>0</v>
      </c>
      <c r="W173" s="365">
        <f t="shared" si="591"/>
        <v>0</v>
      </c>
      <c r="X173" s="365">
        <f t="shared" si="591"/>
        <v>0</v>
      </c>
      <c r="Y173" s="365">
        <f t="shared" si="591"/>
        <v>0</v>
      </c>
      <c r="Z173" s="365">
        <f t="shared" si="591"/>
        <v>200</v>
      </c>
      <c r="AA173" s="365">
        <f t="shared" si="591"/>
        <v>0</v>
      </c>
      <c r="AB173" s="365">
        <f t="shared" si="591"/>
        <v>0</v>
      </c>
      <c r="AC173" s="365">
        <f t="shared" si="591"/>
        <v>0</v>
      </c>
      <c r="AD173" s="365"/>
      <c r="AE173" s="112">
        <f>ROUND(SUM(AF173:AO173),ARRONDI_QT)</f>
        <v>200</v>
      </c>
      <c r="AF173" s="366">
        <v>0</v>
      </c>
      <c r="AG173" s="366">
        <v>0</v>
      </c>
      <c r="AH173" s="366">
        <v>0</v>
      </c>
      <c r="AI173" s="366">
        <v>0</v>
      </c>
      <c r="AJ173" s="366">
        <v>0</v>
      </c>
      <c r="AK173" s="366">
        <v>0</v>
      </c>
      <c r="AL173" s="366">
        <v>200</v>
      </c>
      <c r="AM173" s="366">
        <v>0</v>
      </c>
      <c r="AN173" s="366">
        <v>0</v>
      </c>
      <c r="AO173" s="366">
        <v>0</v>
      </c>
      <c r="AP173" s="365"/>
      <c r="AQ173" s="439">
        <f>SUM(H173:Q173)</f>
        <v>200</v>
      </c>
      <c r="AR173" s="439">
        <f>ROUND(AU173+BV173,ARRONDI_PU)</f>
        <v>31.08</v>
      </c>
      <c r="AS173" s="440">
        <f>+AR173*AQ173</f>
        <v>6216</v>
      </c>
      <c r="AT173" s="255"/>
      <c r="AU173" s="130">
        <f>+AX173+BB173+BE173+BH173+BK173+BN173+BQ173+BT173</f>
        <v>28</v>
      </c>
      <c r="AV173" s="285">
        <f>+COEF_MO_INSTALL</f>
        <v>1.3</v>
      </c>
      <c r="AW173" s="286">
        <v>0</v>
      </c>
      <c r="AX173" s="130">
        <f>+AW173*TH_INSTALL</f>
        <v>0</v>
      </c>
      <c r="AY173" s="130">
        <f>+AW173*AE173</f>
        <v>0</v>
      </c>
      <c r="AZ173" s="130">
        <f>IF(AQ173&gt;0,(AX173*AE173),0)</f>
        <v>0</v>
      </c>
      <c r="BA173" s="285">
        <f>+COEF_FOUR1_INSTALL</f>
        <v>1.3</v>
      </c>
      <c r="BB173" s="286">
        <v>0</v>
      </c>
      <c r="BC173" s="130">
        <f>IF(AQ173&gt;0,(BB173*AE173),0)</f>
        <v>0</v>
      </c>
      <c r="BD173" s="285">
        <f>+COEF_FOUR2_INSTALL</f>
        <v>1.3</v>
      </c>
      <c r="BE173" s="286">
        <v>0</v>
      </c>
      <c r="BF173" s="130">
        <f>IF(AQ173&gt;0,(BE173*AE173),0)</f>
        <v>0</v>
      </c>
      <c r="BG173" s="285">
        <f>+COEF_FOUR3_INSTALL</f>
        <v>1.3</v>
      </c>
      <c r="BH173" s="286">
        <v>0</v>
      </c>
      <c r="BI173" s="130">
        <f>IF(AQ173&gt;0,(BH173*AE173),0)</f>
        <v>0</v>
      </c>
      <c r="BJ173" s="287">
        <f>+COEF_MTLLOC_INSTALL</f>
        <v>1.1499999999999999</v>
      </c>
      <c r="BK173" s="286">
        <v>0</v>
      </c>
      <c r="BL173" s="130">
        <f>IF(AQ173&gt;0,(BK173*AE173),0)</f>
        <v>0</v>
      </c>
      <c r="BM173" s="287">
        <f>+COEF_MTLAMR_INSTALL</f>
        <v>1.3</v>
      </c>
      <c r="BN173" s="286">
        <v>0</v>
      </c>
      <c r="BO173" s="130">
        <f>IF(AQ173&gt;0,(BN173*AE173),0)</f>
        <v>0</v>
      </c>
      <c r="BP173" s="287">
        <f>+COEF_ST1_INSTALL</f>
        <v>1.1100000000000001</v>
      </c>
      <c r="BQ173" s="286">
        <v>28</v>
      </c>
      <c r="BR173" s="130">
        <f>IF(AQ173&gt;0,(BQ173*AE173),0)</f>
        <v>5600</v>
      </c>
      <c r="BS173" s="287">
        <f>+COEF_ST2_INSTALL</f>
        <v>1.1100000000000001</v>
      </c>
      <c r="BT173" s="286">
        <v>0</v>
      </c>
      <c r="BU173" s="130">
        <f>IF(AQ173&gt;0,(BT173*AE173),0)</f>
        <v>0</v>
      </c>
      <c r="BV173" s="130">
        <f>+(((AX173)*AV173)+(BB173*BA173)+(BE173*BD173)+(BH173*BG173)+(BK173*BJ173)+(BN173*BM173)+(BQ173*BP173)+(BT173*BS173)+(BT173*BS173))-(AU173)</f>
        <v>3.0800000000000018</v>
      </c>
      <c r="BW173" s="130">
        <f>+BV173*AE173</f>
        <v>616.00000000000034</v>
      </c>
      <c r="BX173" s="130">
        <f>AS173-(BW173+BU173+BR173+BO173+BL173+BI173+BF173+BC173+AZ173)</f>
        <v>0</v>
      </c>
      <c r="BY173" s="329"/>
    </row>
    <row r="174" spans="1:80" s="327" customFormat="1">
      <c r="A174" s="392"/>
      <c r="B174" s="261"/>
      <c r="C174" s="237"/>
      <c r="D174" s="397"/>
      <c r="E174" s="110"/>
      <c r="F174" s="127"/>
      <c r="G174" s="17"/>
      <c r="H174" s="276"/>
      <c r="I174" s="276"/>
      <c r="J174" s="276"/>
      <c r="K174" s="276"/>
      <c r="L174" s="276"/>
      <c r="M174" s="276"/>
      <c r="N174" s="276"/>
      <c r="O174" s="276"/>
      <c r="P174" s="276"/>
      <c r="Q174" s="276"/>
      <c r="R174" s="276"/>
      <c r="S174" s="418"/>
      <c r="T174" s="112"/>
      <c r="U174" s="112"/>
      <c r="V174" s="112"/>
      <c r="W174" s="112"/>
      <c r="X174" s="112"/>
      <c r="Y174" s="112"/>
      <c r="Z174" s="112"/>
      <c r="AA174" s="112"/>
      <c r="AB174" s="112"/>
      <c r="AC174" s="112"/>
      <c r="AD174" s="276"/>
      <c r="AE174" s="112"/>
      <c r="AF174" s="129"/>
      <c r="AG174" s="129"/>
      <c r="AH174" s="129"/>
      <c r="AI174" s="129"/>
      <c r="AJ174" s="129"/>
      <c r="AK174" s="129"/>
      <c r="AL174" s="129"/>
      <c r="AM174" s="129"/>
      <c r="AN174" s="129"/>
      <c r="AO174" s="129"/>
      <c r="AP174" s="276"/>
      <c r="AQ174" s="439"/>
      <c r="AR174" s="439"/>
      <c r="AS174" s="440"/>
      <c r="AT174" s="255"/>
      <c r="AU174" s="130"/>
      <c r="AV174" s="285"/>
      <c r="AW174" s="286"/>
      <c r="AX174" s="130"/>
      <c r="AY174" s="130"/>
      <c r="AZ174" s="130"/>
      <c r="BA174" s="285"/>
      <c r="BB174" s="286"/>
      <c r="BC174" s="130"/>
      <c r="BD174" s="285"/>
      <c r="BE174" s="286"/>
      <c r="BF174" s="130"/>
      <c r="BG174" s="285"/>
      <c r="BH174" s="286"/>
      <c r="BI174" s="130"/>
      <c r="BJ174" s="287"/>
      <c r="BK174" s="286"/>
      <c r="BL174" s="130"/>
      <c r="BM174" s="287"/>
      <c r="BN174" s="286"/>
      <c r="BO174" s="130"/>
      <c r="BP174" s="287"/>
      <c r="BQ174" s="286"/>
      <c r="BR174" s="130"/>
      <c r="BS174" s="287"/>
      <c r="BT174" s="286"/>
      <c r="BU174" s="130"/>
      <c r="BV174" s="130"/>
      <c r="BW174" s="130"/>
      <c r="BX174" s="130"/>
      <c r="BY174" s="256"/>
    </row>
    <row r="175" spans="1:80" s="327" customFormat="1">
      <c r="A175" s="392"/>
      <c r="B175" s="261"/>
      <c r="C175" s="237"/>
      <c r="D175" s="397"/>
      <c r="E175" s="110" t="s">
        <v>236</v>
      </c>
      <c r="F175" s="127" t="s">
        <v>237</v>
      </c>
      <c r="G175" s="17"/>
      <c r="H175" s="276"/>
      <c r="I175" s="276"/>
      <c r="J175" s="276"/>
      <c r="K175" s="276"/>
      <c r="L175" s="276"/>
      <c r="M175" s="276"/>
      <c r="N175" s="276"/>
      <c r="O175" s="276"/>
      <c r="P175" s="276"/>
      <c r="Q175" s="276"/>
      <c r="R175" s="276"/>
      <c r="S175" s="418"/>
      <c r="T175" s="112"/>
      <c r="U175" s="112"/>
      <c r="V175" s="112"/>
      <c r="W175" s="112"/>
      <c r="X175" s="112"/>
      <c r="Y175" s="112"/>
      <c r="Z175" s="112"/>
      <c r="AA175" s="112"/>
      <c r="AB175" s="112"/>
      <c r="AC175" s="112"/>
      <c r="AD175" s="276"/>
      <c r="AE175" s="112"/>
      <c r="AF175" s="129"/>
      <c r="AG175" s="129"/>
      <c r="AH175" s="129"/>
      <c r="AI175" s="129"/>
      <c r="AJ175" s="129"/>
      <c r="AK175" s="129"/>
      <c r="AL175" s="129"/>
      <c r="AM175" s="129"/>
      <c r="AN175" s="129"/>
      <c r="AO175" s="129"/>
      <c r="AP175" s="276"/>
      <c r="AQ175" s="439"/>
      <c r="AR175" s="439"/>
      <c r="AS175" s="440"/>
      <c r="AT175" s="255"/>
      <c r="AU175" s="130"/>
      <c r="AV175" s="285"/>
      <c r="AW175" s="286"/>
      <c r="AX175" s="130"/>
      <c r="AY175" s="130"/>
      <c r="AZ175" s="130"/>
      <c r="BA175" s="285"/>
      <c r="BB175" s="286"/>
      <c r="BC175" s="130"/>
      <c r="BD175" s="285"/>
      <c r="BE175" s="286"/>
      <c r="BF175" s="130"/>
      <c r="BG175" s="285"/>
      <c r="BH175" s="286"/>
      <c r="BI175" s="130"/>
      <c r="BJ175" s="287"/>
      <c r="BK175" s="286"/>
      <c r="BL175" s="130"/>
      <c r="BM175" s="287"/>
      <c r="BN175" s="286"/>
      <c r="BO175" s="130"/>
      <c r="BP175" s="287"/>
      <c r="BQ175" s="286"/>
      <c r="BR175" s="130"/>
      <c r="BS175" s="287"/>
      <c r="BT175" s="286"/>
      <c r="BU175" s="130"/>
      <c r="BV175" s="130"/>
      <c r="BW175" s="130"/>
      <c r="BX175" s="130"/>
      <c r="BY175" s="256"/>
    </row>
    <row r="176" spans="1:80" s="327" customFormat="1">
      <c r="A176" s="392"/>
      <c r="B176" s="261"/>
      <c r="C176" s="237"/>
      <c r="D176" s="397"/>
      <c r="E176" s="110" t="s">
        <v>38</v>
      </c>
      <c r="F176" s="127" t="s">
        <v>262</v>
      </c>
      <c r="G176" s="17" t="s">
        <v>107</v>
      </c>
      <c r="H176" s="365">
        <f t="shared" ref="H176:O177" si="592">+T176</f>
        <v>0</v>
      </c>
      <c r="I176" s="365">
        <f t="shared" si="592"/>
        <v>0</v>
      </c>
      <c r="J176" s="365">
        <f t="shared" si="592"/>
        <v>0</v>
      </c>
      <c r="K176" s="365">
        <f t="shared" si="592"/>
        <v>0</v>
      </c>
      <c r="L176" s="365">
        <f t="shared" si="592"/>
        <v>0</v>
      </c>
      <c r="M176" s="365">
        <f t="shared" si="592"/>
        <v>0</v>
      </c>
      <c r="N176" s="365">
        <f t="shared" si="592"/>
        <v>115</v>
      </c>
      <c r="O176" s="365">
        <f t="shared" si="592"/>
        <v>0</v>
      </c>
      <c r="P176" s="365">
        <f t="shared" ref="P176:Q177" si="593">+AB176</f>
        <v>0</v>
      </c>
      <c r="Q176" s="365">
        <f t="shared" si="593"/>
        <v>0</v>
      </c>
      <c r="R176" s="365"/>
      <c r="S176" s="418">
        <f>SUM(T176:AC176)</f>
        <v>115</v>
      </c>
      <c r="T176" s="365">
        <f t="shared" ref="T176:AC177" si="594">ROUND(AF176,ARRONDI_QT)</f>
        <v>0</v>
      </c>
      <c r="U176" s="365">
        <f t="shared" si="594"/>
        <v>0</v>
      </c>
      <c r="V176" s="365">
        <f t="shared" si="594"/>
        <v>0</v>
      </c>
      <c r="W176" s="365">
        <f t="shared" si="594"/>
        <v>0</v>
      </c>
      <c r="X176" s="365">
        <f t="shared" si="594"/>
        <v>0</v>
      </c>
      <c r="Y176" s="365">
        <f t="shared" si="594"/>
        <v>0</v>
      </c>
      <c r="Z176" s="365">
        <f t="shared" si="594"/>
        <v>115</v>
      </c>
      <c r="AA176" s="365">
        <f t="shared" si="594"/>
        <v>0</v>
      </c>
      <c r="AB176" s="365">
        <f t="shared" si="594"/>
        <v>0</v>
      </c>
      <c r="AC176" s="365">
        <f t="shared" si="594"/>
        <v>0</v>
      </c>
      <c r="AD176" s="365"/>
      <c r="AE176" s="112">
        <f>ROUND(SUM(AF176:AO176),ARRONDI_QT)</f>
        <v>115</v>
      </c>
      <c r="AF176" s="366">
        <v>0</v>
      </c>
      <c r="AG176" s="366">
        <v>0</v>
      </c>
      <c r="AH176" s="366">
        <v>0</v>
      </c>
      <c r="AI176" s="366">
        <v>0</v>
      </c>
      <c r="AJ176" s="366">
        <v>0</v>
      </c>
      <c r="AK176" s="366">
        <v>0</v>
      </c>
      <c r="AL176" s="366">
        <v>115</v>
      </c>
      <c r="AM176" s="366">
        <v>0</v>
      </c>
      <c r="AN176" s="366">
        <v>0</v>
      </c>
      <c r="AO176" s="366">
        <v>0</v>
      </c>
      <c r="AP176" s="365"/>
      <c r="AQ176" s="439">
        <f>SUM(H176:Q176)</f>
        <v>115</v>
      </c>
      <c r="AR176" s="439">
        <f>ROUND(AU176+BV176,ARRONDI_PU)</f>
        <v>5.55</v>
      </c>
      <c r="AS176" s="440">
        <f>+AR176*AQ176</f>
        <v>638.25</v>
      </c>
      <c r="AT176" s="255"/>
      <c r="AU176" s="130">
        <f>+AX176+BB176+BE176+BH176+BK176+BN176+BQ176+BT176</f>
        <v>5</v>
      </c>
      <c r="AV176" s="285">
        <f>+COEF_MO_INSTALL</f>
        <v>1.3</v>
      </c>
      <c r="AW176" s="286">
        <v>0</v>
      </c>
      <c r="AX176" s="130">
        <f>+AW176*TH_INSTALL</f>
        <v>0</v>
      </c>
      <c r="AY176" s="130">
        <f>+AW176*AE176</f>
        <v>0</v>
      </c>
      <c r="AZ176" s="130">
        <f>IF(AQ176&gt;0,(AX176*AE176),0)</f>
        <v>0</v>
      </c>
      <c r="BA176" s="285">
        <f>+COEF_FOUR1_INSTALL</f>
        <v>1.3</v>
      </c>
      <c r="BB176" s="286">
        <v>0</v>
      </c>
      <c r="BC176" s="130">
        <f>IF(AQ176&gt;0,(BB176*AE176),0)</f>
        <v>0</v>
      </c>
      <c r="BD176" s="285">
        <f>+COEF_FOUR2_INSTALL</f>
        <v>1.3</v>
      </c>
      <c r="BE176" s="286">
        <v>0</v>
      </c>
      <c r="BF176" s="130">
        <f>IF(AQ176&gt;0,(BE176*AE176),0)</f>
        <v>0</v>
      </c>
      <c r="BG176" s="285">
        <f>+COEF_FOUR3_INSTALL</f>
        <v>1.3</v>
      </c>
      <c r="BH176" s="286">
        <v>0</v>
      </c>
      <c r="BI176" s="130">
        <f>IF(AQ176&gt;0,(BH176*AE176),0)</f>
        <v>0</v>
      </c>
      <c r="BJ176" s="287">
        <f>+COEF_MTLLOC_INSTALL</f>
        <v>1.1499999999999999</v>
      </c>
      <c r="BK176" s="286">
        <v>0</v>
      </c>
      <c r="BL176" s="130">
        <f>IF(AQ176&gt;0,(BK176*AE176),0)</f>
        <v>0</v>
      </c>
      <c r="BM176" s="287">
        <f>+COEF_MTLAMR_INSTALL</f>
        <v>1.3</v>
      </c>
      <c r="BN176" s="286">
        <v>0</v>
      </c>
      <c r="BO176" s="130">
        <f>IF(AQ176&gt;0,(BN176*AE176),0)</f>
        <v>0</v>
      </c>
      <c r="BP176" s="287">
        <f>+COEF_ST1_INSTALL</f>
        <v>1.1100000000000001</v>
      </c>
      <c r="BQ176" s="286">
        <v>5</v>
      </c>
      <c r="BR176" s="130">
        <f>IF(AQ176&gt;0,(BQ176*AE176),0)</f>
        <v>575</v>
      </c>
      <c r="BS176" s="287">
        <f>+COEF_ST2_INSTALL</f>
        <v>1.1100000000000001</v>
      </c>
      <c r="BT176" s="286">
        <v>0</v>
      </c>
      <c r="BU176" s="130">
        <f>IF(AQ176&gt;0,(BT176*AE176),0)</f>
        <v>0</v>
      </c>
      <c r="BV176" s="130">
        <f>+(((AX176)*AV176)+(BB176*BA176)+(BE176*BD176)+(BH176*BG176)+(BK176*BJ176)+(BN176*BM176)+(BQ176*BP176)+(BT176*BS176)+(BT176*BS176))-(AU176)</f>
        <v>0.55000000000000071</v>
      </c>
      <c r="BW176" s="130">
        <f>+BV176*AE176</f>
        <v>63.250000000000085</v>
      </c>
      <c r="BX176" s="130">
        <f>AS176-(BW176+BU176+BR176+BO176+BL176+BI176+BF176+BC176+AZ176)</f>
        <v>0</v>
      </c>
      <c r="BY176" s="329"/>
    </row>
    <row r="177" spans="1:78" s="327" customFormat="1">
      <c r="A177" s="392"/>
      <c r="B177" s="261"/>
      <c r="C177" s="237"/>
      <c r="D177" s="397"/>
      <c r="E177" s="110" t="s">
        <v>182</v>
      </c>
      <c r="F177" s="127" t="s">
        <v>371</v>
      </c>
      <c r="G177" s="17" t="s">
        <v>33</v>
      </c>
      <c r="H177" s="365">
        <f t="shared" si="592"/>
        <v>0</v>
      </c>
      <c r="I177" s="365">
        <f t="shared" si="592"/>
        <v>0</v>
      </c>
      <c r="J177" s="365">
        <f t="shared" si="592"/>
        <v>0</v>
      </c>
      <c r="K177" s="365">
        <f t="shared" si="592"/>
        <v>0</v>
      </c>
      <c r="L177" s="365">
        <f t="shared" si="592"/>
        <v>0</v>
      </c>
      <c r="M177" s="365">
        <f t="shared" si="592"/>
        <v>0</v>
      </c>
      <c r="N177" s="365">
        <f t="shared" si="592"/>
        <v>2</v>
      </c>
      <c r="O177" s="365">
        <f t="shared" si="592"/>
        <v>0</v>
      </c>
      <c r="P177" s="365">
        <f t="shared" si="593"/>
        <v>0</v>
      </c>
      <c r="Q177" s="365">
        <f t="shared" si="593"/>
        <v>0</v>
      </c>
      <c r="R177" s="365"/>
      <c r="S177" s="418">
        <f>SUM(T177:AC177)</f>
        <v>2</v>
      </c>
      <c r="T177" s="365">
        <f t="shared" si="594"/>
        <v>0</v>
      </c>
      <c r="U177" s="365">
        <f t="shared" si="594"/>
        <v>0</v>
      </c>
      <c r="V177" s="365">
        <f t="shared" si="594"/>
        <v>0</v>
      </c>
      <c r="W177" s="365">
        <f t="shared" si="594"/>
        <v>0</v>
      </c>
      <c r="X177" s="365">
        <f t="shared" si="594"/>
        <v>0</v>
      </c>
      <c r="Y177" s="365">
        <f t="shared" si="594"/>
        <v>0</v>
      </c>
      <c r="Z177" s="365">
        <f t="shared" si="594"/>
        <v>2</v>
      </c>
      <c r="AA177" s="365">
        <f t="shared" si="594"/>
        <v>0</v>
      </c>
      <c r="AB177" s="365">
        <f t="shared" si="594"/>
        <v>0</v>
      </c>
      <c r="AC177" s="365">
        <f t="shared" si="594"/>
        <v>0</v>
      </c>
      <c r="AD177" s="365"/>
      <c r="AE177" s="112">
        <f>ROUND(SUM(AF177:AO177),ARRONDI_QT)</f>
        <v>2</v>
      </c>
      <c r="AF177" s="366">
        <v>0</v>
      </c>
      <c r="AG177" s="366">
        <v>0</v>
      </c>
      <c r="AH177" s="366">
        <v>0</v>
      </c>
      <c r="AI177" s="366">
        <v>0</v>
      </c>
      <c r="AJ177" s="366">
        <v>0</v>
      </c>
      <c r="AK177" s="366">
        <v>0</v>
      </c>
      <c r="AL177" s="366">
        <v>2</v>
      </c>
      <c r="AM177" s="366">
        <v>0</v>
      </c>
      <c r="AN177" s="366">
        <v>0</v>
      </c>
      <c r="AO177" s="366">
        <v>0</v>
      </c>
      <c r="AP177" s="365"/>
      <c r="AQ177" s="439">
        <f>SUM(H177:Q177)</f>
        <v>2</v>
      </c>
      <c r="AR177" s="439">
        <f>ROUND(AU177+BV177,ARRONDI_PU)</f>
        <v>732.6</v>
      </c>
      <c r="AS177" s="440">
        <f>+AR177*AQ177</f>
        <v>1465.2</v>
      </c>
      <c r="AT177" s="255"/>
      <c r="AU177" s="130">
        <f>+AX177+BB177+BE177+BH177+BK177+BN177+BQ177+BT177</f>
        <v>660</v>
      </c>
      <c r="AV177" s="285">
        <f>+COEF_MO_INSTALL</f>
        <v>1.3</v>
      </c>
      <c r="AW177" s="286">
        <v>0</v>
      </c>
      <c r="AX177" s="130">
        <f>+AW177*TH_INSTALL</f>
        <v>0</v>
      </c>
      <c r="AY177" s="130">
        <f>+AW177*AE177</f>
        <v>0</v>
      </c>
      <c r="AZ177" s="130">
        <f>IF(AQ177&gt;0,(AX177*AE177),0)</f>
        <v>0</v>
      </c>
      <c r="BA177" s="285">
        <f>+COEF_FOUR1_INSTALL</f>
        <v>1.3</v>
      </c>
      <c r="BB177" s="286">
        <v>0</v>
      </c>
      <c r="BC177" s="130">
        <f>IF(AQ177&gt;0,(BB177*AE177),0)</f>
        <v>0</v>
      </c>
      <c r="BD177" s="285">
        <f>+COEF_FOUR2_INSTALL</f>
        <v>1.3</v>
      </c>
      <c r="BE177" s="286">
        <v>0</v>
      </c>
      <c r="BF177" s="130">
        <f>IF(AQ177&gt;0,(BE177*AE177),0)</f>
        <v>0</v>
      </c>
      <c r="BG177" s="285">
        <f>+COEF_FOUR3_INSTALL</f>
        <v>1.3</v>
      </c>
      <c r="BH177" s="286">
        <v>0</v>
      </c>
      <c r="BI177" s="130">
        <f>IF(AQ177&gt;0,(BH177*AE177),0)</f>
        <v>0</v>
      </c>
      <c r="BJ177" s="287">
        <f>+COEF_MTLLOC_INSTALL</f>
        <v>1.1499999999999999</v>
      </c>
      <c r="BK177" s="286">
        <v>0</v>
      </c>
      <c r="BL177" s="130">
        <f>IF(AQ177&gt;0,(BK177*AE177),0)</f>
        <v>0</v>
      </c>
      <c r="BM177" s="287">
        <f>+COEF_MTLAMR_INSTALL</f>
        <v>1.3</v>
      </c>
      <c r="BN177" s="286">
        <v>0</v>
      </c>
      <c r="BO177" s="130">
        <f>IF(AQ177&gt;0,(BN177*AE177),0)</f>
        <v>0</v>
      </c>
      <c r="BP177" s="287">
        <f>+COEF_ST1_INSTALL</f>
        <v>1.1100000000000001</v>
      </c>
      <c r="BQ177" s="286">
        <f>280+380</f>
        <v>660</v>
      </c>
      <c r="BR177" s="130">
        <f>IF(AQ177&gt;0,(BQ177*AE177),0)</f>
        <v>1320</v>
      </c>
      <c r="BS177" s="287">
        <f>+COEF_ST2_INSTALL</f>
        <v>1.1100000000000001</v>
      </c>
      <c r="BT177" s="286">
        <v>0</v>
      </c>
      <c r="BU177" s="130">
        <f>IF(AQ177&gt;0,(BT177*AE177),0)</f>
        <v>0</v>
      </c>
      <c r="BV177" s="130">
        <f>+(((AX177)*AV177)+(BB177*BA177)+(BE177*BD177)+(BH177*BG177)+(BK177*BJ177)+(BN177*BM177)+(BQ177*BP177)+(BT177*BS177)+(BT177*BS177))-(AU177)</f>
        <v>72.600000000000023</v>
      </c>
      <c r="BW177" s="130">
        <f>+BV177*AE177</f>
        <v>145.20000000000005</v>
      </c>
      <c r="BX177" s="130">
        <f>AS177-(BW177+BU177+BR177+BO177+BL177+BI177+BF177+BC177+AZ177)</f>
        <v>0</v>
      </c>
      <c r="BY177" s="329"/>
    </row>
    <row r="178" spans="1:78" s="327" customFormat="1">
      <c r="A178" s="392"/>
      <c r="B178" s="261"/>
      <c r="C178" s="237"/>
      <c r="D178" s="397"/>
      <c r="E178" s="110" t="s">
        <v>238</v>
      </c>
      <c r="F178" s="127" t="s">
        <v>263</v>
      </c>
      <c r="G178" s="17" t="s">
        <v>144</v>
      </c>
      <c r="H178" s="276"/>
      <c r="I178" s="276"/>
      <c r="J178" s="276"/>
      <c r="K178" s="276"/>
      <c r="L178" s="276"/>
      <c r="M178" s="276"/>
      <c r="N178" s="276"/>
      <c r="O178" s="276"/>
      <c r="P178" s="276"/>
      <c r="Q178" s="276"/>
      <c r="R178" s="276"/>
      <c r="S178" s="418"/>
      <c r="T178" s="112"/>
      <c r="U178" s="112"/>
      <c r="V178" s="112"/>
      <c r="W178" s="112"/>
      <c r="X178" s="112"/>
      <c r="Y178" s="112"/>
      <c r="Z178" s="112"/>
      <c r="AA178" s="112"/>
      <c r="AB178" s="112"/>
      <c r="AC178" s="112"/>
      <c r="AD178" s="276"/>
      <c r="AE178" s="112"/>
      <c r="AF178" s="129"/>
      <c r="AG178" s="129"/>
      <c r="AH178" s="129"/>
      <c r="AI178" s="129"/>
      <c r="AJ178" s="129"/>
      <c r="AK178" s="129"/>
      <c r="AL178" s="129"/>
      <c r="AM178" s="129"/>
      <c r="AN178" s="129"/>
      <c r="AO178" s="129"/>
      <c r="AP178" s="276"/>
      <c r="AQ178" s="441" t="s">
        <v>104</v>
      </c>
      <c r="AR178" s="441" t="str">
        <f>+AQ178</f>
        <v>Sans objet</v>
      </c>
      <c r="AS178" s="442" t="str">
        <f>+AR178</f>
        <v>Sans objet</v>
      </c>
      <c r="AT178" s="255"/>
      <c r="AU178" s="130"/>
      <c r="AV178" s="285"/>
      <c r="AW178" s="286"/>
      <c r="AX178" s="130"/>
      <c r="AY178" s="130"/>
      <c r="AZ178" s="130"/>
      <c r="BA178" s="285"/>
      <c r="BB178" s="286"/>
      <c r="BC178" s="130"/>
      <c r="BD178" s="285"/>
      <c r="BE178" s="286"/>
      <c r="BF178" s="130"/>
      <c r="BG178" s="285"/>
      <c r="BH178" s="286"/>
      <c r="BI178" s="130"/>
      <c r="BJ178" s="287"/>
      <c r="BK178" s="286"/>
      <c r="BL178" s="130"/>
      <c r="BM178" s="287"/>
      <c r="BN178" s="286"/>
      <c r="BO178" s="130"/>
      <c r="BP178" s="287"/>
      <c r="BQ178" s="286"/>
      <c r="BR178" s="130"/>
      <c r="BS178" s="287"/>
      <c r="BT178" s="286"/>
      <c r="BU178" s="130"/>
      <c r="BV178" s="130"/>
      <c r="BW178" s="130"/>
      <c r="BX178" s="130"/>
      <c r="BY178" s="256"/>
    </row>
    <row r="179" spans="1:78" s="327" customFormat="1">
      <c r="A179" s="392"/>
      <c r="B179" s="261"/>
      <c r="C179" s="237"/>
      <c r="D179" s="397"/>
      <c r="E179" s="110" t="s">
        <v>215</v>
      </c>
      <c r="F179" s="127" t="s">
        <v>264</v>
      </c>
      <c r="G179" s="17" t="s">
        <v>144</v>
      </c>
      <c r="H179" s="276"/>
      <c r="I179" s="276"/>
      <c r="J179" s="276"/>
      <c r="K179" s="276"/>
      <c r="L179" s="276"/>
      <c r="M179" s="276"/>
      <c r="N179" s="276"/>
      <c r="O179" s="276"/>
      <c r="P179" s="276"/>
      <c r="Q179" s="276"/>
      <c r="R179" s="276"/>
      <c r="S179" s="418"/>
      <c r="T179" s="112"/>
      <c r="U179" s="112"/>
      <c r="V179" s="112"/>
      <c r="W179" s="112"/>
      <c r="X179" s="112"/>
      <c r="Y179" s="112"/>
      <c r="Z179" s="112"/>
      <c r="AA179" s="112"/>
      <c r="AB179" s="112"/>
      <c r="AC179" s="112"/>
      <c r="AD179" s="276"/>
      <c r="AE179" s="112"/>
      <c r="AF179" s="129"/>
      <c r="AG179" s="129"/>
      <c r="AH179" s="129"/>
      <c r="AI179" s="129"/>
      <c r="AJ179" s="129"/>
      <c r="AK179" s="129"/>
      <c r="AL179" s="129"/>
      <c r="AM179" s="129"/>
      <c r="AN179" s="129"/>
      <c r="AO179" s="129"/>
      <c r="AP179" s="276"/>
      <c r="AQ179" s="441" t="s">
        <v>104</v>
      </c>
      <c r="AR179" s="441" t="str">
        <f>+AQ179</f>
        <v>Sans objet</v>
      </c>
      <c r="AS179" s="442" t="str">
        <f>+AR179</f>
        <v>Sans objet</v>
      </c>
      <c r="AT179" s="255"/>
      <c r="AU179" s="130"/>
      <c r="AV179" s="285"/>
      <c r="AW179" s="286"/>
      <c r="AX179" s="130"/>
      <c r="AY179" s="130"/>
      <c r="AZ179" s="130"/>
      <c r="BA179" s="285"/>
      <c r="BB179" s="286"/>
      <c r="BC179" s="130"/>
      <c r="BD179" s="285"/>
      <c r="BE179" s="286"/>
      <c r="BF179" s="130"/>
      <c r="BG179" s="285"/>
      <c r="BH179" s="286"/>
      <c r="BI179" s="130"/>
      <c r="BJ179" s="287"/>
      <c r="BK179" s="286"/>
      <c r="BL179" s="130"/>
      <c r="BM179" s="287"/>
      <c r="BN179" s="286"/>
      <c r="BO179" s="130"/>
      <c r="BP179" s="287"/>
      <c r="BQ179" s="286"/>
      <c r="BR179" s="130"/>
      <c r="BS179" s="287"/>
      <c r="BT179" s="286"/>
      <c r="BU179" s="130"/>
      <c r="BV179" s="130"/>
      <c r="BW179" s="130"/>
      <c r="BX179" s="130"/>
      <c r="BY179" s="256"/>
    </row>
    <row r="180" spans="1:78" s="448" customFormat="1">
      <c r="B180" s="261"/>
      <c r="C180" s="237"/>
      <c r="D180" s="397"/>
      <c r="E180" s="110"/>
      <c r="F180" s="127"/>
      <c r="G180" s="17"/>
      <c r="H180" s="276"/>
      <c r="I180" s="276"/>
      <c r="J180" s="276"/>
      <c r="K180" s="276"/>
      <c r="L180" s="276"/>
      <c r="M180" s="276"/>
      <c r="N180" s="276"/>
      <c r="O180" s="276"/>
      <c r="P180" s="276"/>
      <c r="Q180" s="276"/>
      <c r="R180" s="276"/>
      <c r="S180" s="418"/>
      <c r="T180" s="112"/>
      <c r="U180" s="112"/>
      <c r="V180" s="112"/>
      <c r="W180" s="112"/>
      <c r="X180" s="112"/>
      <c r="Y180" s="112"/>
      <c r="Z180" s="112"/>
      <c r="AA180" s="112"/>
      <c r="AB180" s="112"/>
      <c r="AC180" s="112"/>
      <c r="AD180" s="276"/>
      <c r="AE180" s="112"/>
      <c r="AF180" s="129"/>
      <c r="AG180" s="129"/>
      <c r="AH180" s="129"/>
      <c r="AI180" s="129"/>
      <c r="AJ180" s="129"/>
      <c r="AK180" s="129"/>
      <c r="AL180" s="129"/>
      <c r="AM180" s="129"/>
      <c r="AN180" s="129"/>
      <c r="AO180" s="129"/>
      <c r="AP180" s="276"/>
      <c r="AQ180" s="441"/>
      <c r="AR180" s="441"/>
      <c r="AS180" s="442"/>
      <c r="AT180" s="255"/>
      <c r="AU180" s="130"/>
      <c r="AV180" s="285"/>
      <c r="AW180" s="286"/>
      <c r="AX180" s="130"/>
      <c r="AY180" s="130"/>
      <c r="AZ180" s="130"/>
      <c r="BA180" s="285"/>
      <c r="BB180" s="286"/>
      <c r="BC180" s="130"/>
      <c r="BD180" s="285"/>
      <c r="BE180" s="286"/>
      <c r="BF180" s="130"/>
      <c r="BG180" s="285"/>
      <c r="BH180" s="286"/>
      <c r="BI180" s="130"/>
      <c r="BJ180" s="287"/>
      <c r="BK180" s="286"/>
      <c r="BL180" s="130"/>
      <c r="BM180" s="287"/>
      <c r="BN180" s="286"/>
      <c r="BO180" s="130"/>
      <c r="BP180" s="287"/>
      <c r="BQ180" s="286"/>
      <c r="BR180" s="130"/>
      <c r="BS180" s="287"/>
      <c r="BT180" s="286"/>
      <c r="BU180" s="130"/>
      <c r="BV180" s="130"/>
      <c r="BW180" s="130"/>
      <c r="BX180" s="130"/>
      <c r="BY180" s="256"/>
    </row>
    <row r="181" spans="1:78" s="448" customFormat="1">
      <c r="B181" s="261"/>
      <c r="C181" s="237"/>
      <c r="D181" s="397"/>
      <c r="E181" s="110"/>
      <c r="F181" s="127"/>
      <c r="G181" s="17"/>
      <c r="H181" s="276"/>
      <c r="I181" s="276"/>
      <c r="J181" s="276"/>
      <c r="K181" s="276"/>
      <c r="L181" s="276"/>
      <c r="M181" s="276"/>
      <c r="N181" s="276"/>
      <c r="O181" s="276"/>
      <c r="P181" s="276"/>
      <c r="Q181" s="276"/>
      <c r="R181" s="276"/>
      <c r="S181" s="418"/>
      <c r="T181" s="112"/>
      <c r="U181" s="112"/>
      <c r="V181" s="112"/>
      <c r="W181" s="112"/>
      <c r="X181" s="112"/>
      <c r="Y181" s="112"/>
      <c r="Z181" s="112"/>
      <c r="AA181" s="112"/>
      <c r="AB181" s="112"/>
      <c r="AC181" s="112"/>
      <c r="AD181" s="276"/>
      <c r="AE181" s="112"/>
      <c r="AF181" s="129"/>
      <c r="AG181" s="129"/>
      <c r="AH181" s="129"/>
      <c r="AI181" s="129"/>
      <c r="AJ181" s="129"/>
      <c r="AK181" s="129"/>
      <c r="AL181" s="129"/>
      <c r="AM181" s="129"/>
      <c r="AN181" s="129"/>
      <c r="AO181" s="129"/>
      <c r="AP181" s="276"/>
      <c r="AQ181" s="441"/>
      <c r="AR181" s="441"/>
      <c r="AS181" s="442"/>
      <c r="AT181" s="255"/>
      <c r="AU181" s="130"/>
      <c r="AV181" s="285"/>
      <c r="AW181" s="286"/>
      <c r="AX181" s="130"/>
      <c r="AY181" s="130"/>
      <c r="AZ181" s="130"/>
      <c r="BA181" s="285"/>
      <c r="BB181" s="286"/>
      <c r="BC181" s="130"/>
      <c r="BD181" s="285"/>
      <c r="BE181" s="286"/>
      <c r="BF181" s="130"/>
      <c r="BG181" s="285"/>
      <c r="BH181" s="286"/>
      <c r="BI181" s="130"/>
      <c r="BJ181" s="287"/>
      <c r="BK181" s="286"/>
      <c r="BL181" s="130"/>
      <c r="BM181" s="287"/>
      <c r="BN181" s="286"/>
      <c r="BO181" s="130"/>
      <c r="BP181" s="287"/>
      <c r="BQ181" s="286"/>
      <c r="BR181" s="130"/>
      <c r="BS181" s="287"/>
      <c r="BT181" s="286"/>
      <c r="BU181" s="130"/>
      <c r="BV181" s="130"/>
      <c r="BW181" s="130"/>
      <c r="BX181" s="130"/>
      <c r="BY181" s="256"/>
    </row>
    <row r="182" spans="1:78" s="444" customFormat="1" ht="7.9" customHeight="1">
      <c r="B182" s="261"/>
      <c r="C182" s="237"/>
      <c r="D182" s="397"/>
      <c r="E182" s="110"/>
      <c r="F182" s="127"/>
      <c r="G182" s="17"/>
      <c r="H182" s="276"/>
      <c r="I182" s="276"/>
      <c r="J182" s="276"/>
      <c r="K182" s="276"/>
      <c r="L182" s="276"/>
      <c r="M182" s="276"/>
      <c r="N182" s="276"/>
      <c r="O182" s="276"/>
      <c r="P182" s="276"/>
      <c r="Q182" s="276"/>
      <c r="R182" s="276"/>
      <c r="S182" s="418"/>
      <c r="T182" s="112"/>
      <c r="U182" s="112"/>
      <c r="V182" s="112"/>
      <c r="W182" s="112"/>
      <c r="X182" s="112"/>
      <c r="Y182" s="112"/>
      <c r="Z182" s="112"/>
      <c r="AA182" s="112"/>
      <c r="AB182" s="112"/>
      <c r="AC182" s="112"/>
      <c r="AD182" s="276"/>
      <c r="AE182" s="112"/>
      <c r="AF182" s="129"/>
      <c r="AG182" s="129"/>
      <c r="AH182" s="129"/>
      <c r="AI182" s="129"/>
      <c r="AJ182" s="129"/>
      <c r="AK182" s="129"/>
      <c r="AL182" s="129"/>
      <c r="AM182" s="129"/>
      <c r="AN182" s="129"/>
      <c r="AO182" s="129"/>
      <c r="AP182" s="276"/>
      <c r="AQ182" s="441"/>
      <c r="AR182" s="441"/>
      <c r="AS182" s="442"/>
      <c r="AT182" s="255"/>
      <c r="AU182" s="130"/>
      <c r="AV182" s="285"/>
      <c r="AW182" s="286"/>
      <c r="AX182" s="130"/>
      <c r="AY182" s="130"/>
      <c r="AZ182" s="130"/>
      <c r="BA182" s="285"/>
      <c r="BB182" s="286"/>
      <c r="BC182" s="130"/>
      <c r="BD182" s="285"/>
      <c r="BE182" s="286"/>
      <c r="BF182" s="130"/>
      <c r="BG182" s="285"/>
      <c r="BH182" s="286"/>
      <c r="BI182" s="130"/>
      <c r="BJ182" s="287"/>
      <c r="BK182" s="286"/>
      <c r="BL182" s="130"/>
      <c r="BM182" s="287"/>
      <c r="BN182" s="286"/>
      <c r="BO182" s="130"/>
      <c r="BP182" s="287"/>
      <c r="BQ182" s="286"/>
      <c r="BR182" s="130"/>
      <c r="BS182" s="287"/>
      <c r="BT182" s="286"/>
      <c r="BU182" s="130"/>
      <c r="BV182" s="130"/>
      <c r="BW182" s="130"/>
      <c r="BX182" s="130"/>
      <c r="BY182" s="256"/>
    </row>
    <row r="183" spans="1:78" s="240" customFormat="1">
      <c r="A183" s="392"/>
      <c r="B183" s="261"/>
      <c r="C183" s="237"/>
      <c r="D183" s="397"/>
      <c r="E183" s="132"/>
      <c r="F183" s="133"/>
      <c r="G183" s="436" t="str">
        <f>"ST - "&amp;F77</f>
        <v>ST - VRD</v>
      </c>
      <c r="H183" s="230"/>
      <c r="I183" s="230"/>
      <c r="J183" s="230"/>
      <c r="K183" s="230"/>
      <c r="L183" s="230"/>
      <c r="M183" s="230"/>
      <c r="N183" s="230"/>
      <c r="O183" s="230"/>
      <c r="P183" s="230"/>
      <c r="Q183" s="404"/>
      <c r="R183" s="404"/>
      <c r="S183" s="420"/>
      <c r="T183" s="291"/>
      <c r="U183" s="291"/>
      <c r="V183" s="291"/>
      <c r="W183" s="291"/>
      <c r="X183" s="291"/>
      <c r="Y183" s="291"/>
      <c r="Z183" s="291"/>
      <c r="AA183" s="291"/>
      <c r="AB183" s="291"/>
      <c r="AC183" s="291"/>
      <c r="AD183" s="404"/>
      <c r="AE183" s="291"/>
      <c r="AF183" s="291"/>
      <c r="AG183" s="291"/>
      <c r="AH183" s="291"/>
      <c r="AI183" s="291"/>
      <c r="AJ183" s="291"/>
      <c r="AK183" s="291"/>
      <c r="AL183" s="291"/>
      <c r="AM183" s="291"/>
      <c r="AN183" s="291"/>
      <c r="AO183" s="291"/>
      <c r="AP183" s="404"/>
      <c r="AQ183" s="134"/>
      <c r="AR183" s="135"/>
      <c r="AS183" s="435">
        <f>SUM(AS78:AS182)</f>
        <v>253084.617</v>
      </c>
      <c r="AU183" s="456" t="str">
        <f>"ST - DÉBOURSÉ : "&amp;F77</f>
        <v>ST - DÉBOURSÉ : VRD</v>
      </c>
      <c r="AV183" s="282"/>
      <c r="AW183" s="282"/>
      <c r="AX183" s="289" t="s">
        <v>50</v>
      </c>
      <c r="AY183" s="290">
        <f>SUM(AY78:AY182)</f>
        <v>69.599999999999994</v>
      </c>
      <c r="AZ183" s="290">
        <f>SUM(AZ78:AZ182)</f>
        <v>2053.1999999999998</v>
      </c>
      <c r="BA183" s="291"/>
      <c r="BB183" s="292" t="s">
        <v>42</v>
      </c>
      <c r="BC183" s="290">
        <f>SUM(BC78:BC182)</f>
        <v>4280</v>
      </c>
      <c r="BD183" s="291"/>
      <c r="BE183" s="292" t="s">
        <v>43</v>
      </c>
      <c r="BF183" s="290">
        <f>SUM(BF78:BF182)</f>
        <v>428</v>
      </c>
      <c r="BG183" s="291"/>
      <c r="BH183" s="292" t="s">
        <v>44</v>
      </c>
      <c r="BI183" s="290">
        <f>SUM(BI78:BI182)</f>
        <v>600</v>
      </c>
      <c r="BJ183" s="291"/>
      <c r="BK183" s="292" t="s">
        <v>45</v>
      </c>
      <c r="BL183" s="290">
        <f>SUM(BL78:BL182)</f>
        <v>0</v>
      </c>
      <c r="BM183" s="291"/>
      <c r="BN183" s="292" t="s">
        <v>46</v>
      </c>
      <c r="BO183" s="290">
        <f>SUM(BO78:BO182)</f>
        <v>0</v>
      </c>
      <c r="BP183" s="291"/>
      <c r="BQ183" s="292" t="s">
        <v>47</v>
      </c>
      <c r="BR183" s="290">
        <f>SUM(BR78:BR182)</f>
        <v>219382.93000000002</v>
      </c>
      <c r="BS183" s="291"/>
      <c r="BT183" s="292" t="s">
        <v>48</v>
      </c>
      <c r="BU183" s="290">
        <f>SUM(BU78:BU182)</f>
        <v>0</v>
      </c>
      <c r="BV183" s="292" t="s">
        <v>49</v>
      </c>
      <c r="BW183" s="290">
        <f>SUM(BW78:BW182)</f>
        <v>26340.482300000029</v>
      </c>
      <c r="BX183" s="290">
        <f>SUM(BX78:BX182)</f>
        <v>4.6999999971149009E-3</v>
      </c>
    </row>
    <row r="184" spans="1:78" s="240" customFormat="1" ht="7.15" customHeight="1">
      <c r="A184" s="392"/>
      <c r="B184" s="30"/>
      <c r="C184" s="31"/>
      <c r="D184" s="31"/>
      <c r="E184" s="30"/>
      <c r="F184" s="31"/>
      <c r="G184" s="31"/>
      <c r="H184" s="31"/>
      <c r="I184" s="31"/>
      <c r="J184" s="31"/>
      <c r="K184" s="31"/>
      <c r="L184" s="31"/>
      <c r="M184" s="31"/>
      <c r="N184" s="31"/>
      <c r="O184" s="31"/>
      <c r="P184" s="31"/>
      <c r="Q184" s="405"/>
      <c r="R184" s="405"/>
      <c r="S184" s="415"/>
      <c r="T184" s="281"/>
      <c r="U184" s="281"/>
      <c r="V184" s="281"/>
      <c r="W184" s="281"/>
      <c r="X184" s="281"/>
      <c r="Y184" s="281"/>
      <c r="Z184" s="281"/>
      <c r="AA184" s="281"/>
      <c r="AB184" s="281"/>
      <c r="AC184" s="281"/>
      <c r="AD184" s="405"/>
      <c r="AE184" s="281"/>
      <c r="AF184" s="281"/>
      <c r="AG184" s="281"/>
      <c r="AH184" s="281"/>
      <c r="AI184" s="281"/>
      <c r="AJ184" s="281"/>
      <c r="AK184" s="281"/>
      <c r="AL184" s="281"/>
      <c r="AM184" s="281"/>
      <c r="AN184" s="281"/>
      <c r="AO184" s="281"/>
      <c r="AP184" s="405"/>
      <c r="AQ184" s="32"/>
      <c r="AR184" s="33"/>
      <c r="AS184" s="34"/>
      <c r="AU184" s="277"/>
      <c r="AV184" s="278"/>
      <c r="AW184" s="279"/>
      <c r="AX184" s="279"/>
      <c r="AY184" s="279"/>
      <c r="AZ184" s="279"/>
      <c r="BA184" s="279"/>
      <c r="BB184" s="279"/>
      <c r="BC184" s="279"/>
      <c r="BD184" s="279"/>
      <c r="BE184" s="279"/>
      <c r="BF184" s="279"/>
      <c r="BG184" s="279"/>
      <c r="BH184" s="279"/>
      <c r="BI184" s="279"/>
      <c r="BJ184" s="279"/>
      <c r="BK184" s="279"/>
      <c r="BL184" s="279"/>
      <c r="BM184" s="279"/>
      <c r="BN184" s="279"/>
      <c r="BO184" s="279"/>
      <c r="BP184" s="279"/>
      <c r="BQ184" s="279"/>
      <c r="BR184" s="279"/>
      <c r="BS184" s="279"/>
      <c r="BT184" s="279"/>
      <c r="BU184" s="279"/>
      <c r="BV184" s="279"/>
      <c r="BW184" s="280"/>
      <c r="BX184" s="291"/>
    </row>
    <row r="185" spans="1:78" s="240" customFormat="1">
      <c r="A185" s="392"/>
      <c r="B185" s="328" t="str">
        <f>+E185</f>
        <v>C</v>
      </c>
      <c r="C185" s="41" t="str">
        <f>+F185</f>
        <v>CLOTURES</v>
      </c>
      <c r="D185" s="36"/>
      <c r="E185" s="35" t="s">
        <v>238</v>
      </c>
      <c r="F185" s="41" t="s">
        <v>247</v>
      </c>
      <c r="G185" s="36"/>
      <c r="H185" s="72"/>
      <c r="I185" s="72"/>
      <c r="J185" s="72"/>
      <c r="K185" s="72"/>
      <c r="L185" s="72"/>
      <c r="M185" s="72"/>
      <c r="N185" s="72"/>
      <c r="O185" s="72"/>
      <c r="P185" s="72"/>
      <c r="Q185" s="72"/>
      <c r="R185" s="72"/>
      <c r="S185" s="416"/>
      <c r="T185" s="72"/>
      <c r="U185" s="72"/>
      <c r="V185" s="72"/>
      <c r="W185" s="72"/>
      <c r="X185" s="72"/>
      <c r="Y185" s="72"/>
      <c r="Z185" s="72"/>
      <c r="AA185" s="72"/>
      <c r="AB185" s="72"/>
      <c r="AC185" s="72"/>
      <c r="AD185" s="72"/>
      <c r="AE185" s="72"/>
      <c r="AF185" s="72"/>
      <c r="AG185" s="72"/>
      <c r="AH185" s="72"/>
      <c r="AI185" s="72"/>
      <c r="AJ185" s="72"/>
      <c r="AK185" s="72"/>
      <c r="AL185" s="72"/>
      <c r="AM185" s="72"/>
      <c r="AN185" s="72"/>
      <c r="AO185" s="72"/>
      <c r="AP185" s="72"/>
      <c r="AQ185" s="37"/>
      <c r="AR185" s="38"/>
      <c r="AS185" s="39"/>
      <c r="AU185" s="121" t="str">
        <f>+" Déboursé chapitre : "&amp;F185</f>
        <v xml:space="preserve"> Déboursé chapitre : CLOTURES</v>
      </c>
      <c r="AV185" s="122"/>
      <c r="AW185" s="123"/>
      <c r="AX185" s="123"/>
      <c r="AY185" s="123"/>
      <c r="AZ185" s="123"/>
      <c r="BA185" s="123"/>
      <c r="BB185" s="123"/>
      <c r="BC185" s="123"/>
      <c r="BD185" s="123"/>
      <c r="BE185" s="123"/>
      <c r="BF185" s="123"/>
      <c r="BG185" s="123"/>
      <c r="BH185" s="123"/>
      <c r="BI185" s="123"/>
      <c r="BJ185" s="123"/>
      <c r="BK185" s="123"/>
      <c r="BL185" s="123"/>
      <c r="BM185" s="123"/>
      <c r="BN185" s="123"/>
      <c r="BO185" s="123"/>
      <c r="BP185" s="123"/>
      <c r="BQ185" s="123"/>
      <c r="BR185" s="123"/>
      <c r="BS185" s="123"/>
      <c r="BT185" s="123"/>
      <c r="BU185" s="123"/>
      <c r="BV185" s="123"/>
      <c r="BW185" s="124"/>
      <c r="BX185" s="137"/>
    </row>
    <row r="186" spans="1:78" s="240" customFormat="1">
      <c r="A186" s="392"/>
      <c r="B186" s="258"/>
      <c r="C186" s="238"/>
      <c r="D186" s="396"/>
      <c r="E186" s="110"/>
      <c r="F186" s="127"/>
      <c r="G186" s="17"/>
      <c r="H186" s="114"/>
      <c r="I186" s="114"/>
      <c r="J186" s="114"/>
      <c r="K186" s="114"/>
      <c r="L186" s="114"/>
      <c r="M186" s="114"/>
      <c r="N186" s="114"/>
      <c r="O186" s="114"/>
      <c r="P186" s="114"/>
      <c r="Q186" s="114"/>
      <c r="R186" s="114"/>
      <c r="S186" s="417"/>
      <c r="T186" s="114"/>
      <c r="U186" s="114"/>
      <c r="V186" s="114"/>
      <c r="W186" s="114"/>
      <c r="X186" s="114"/>
      <c r="Y186" s="114"/>
      <c r="Z186" s="114"/>
      <c r="AA186" s="114"/>
      <c r="AB186" s="114"/>
      <c r="AC186" s="114"/>
      <c r="AD186" s="114"/>
      <c r="AE186" s="114"/>
      <c r="AF186" s="114"/>
      <c r="AG186" s="114"/>
      <c r="AH186" s="114"/>
      <c r="AI186" s="114"/>
      <c r="AJ186" s="114"/>
      <c r="AK186" s="114"/>
      <c r="AL186" s="114"/>
      <c r="AM186" s="114"/>
      <c r="AN186" s="114"/>
      <c r="AO186" s="114"/>
      <c r="AP186" s="114"/>
      <c r="AQ186" s="437"/>
      <c r="AR186" s="437"/>
      <c r="AS186" s="438"/>
      <c r="AU186" s="454"/>
      <c r="AV186" s="284"/>
      <c r="AW186" s="128"/>
      <c r="AX186" s="128"/>
      <c r="AY186" s="128"/>
      <c r="AZ186" s="128"/>
      <c r="BA186" s="284"/>
      <c r="BB186" s="128"/>
      <c r="BC186" s="128"/>
      <c r="BD186" s="284"/>
      <c r="BE186" s="128"/>
      <c r="BF186" s="128"/>
      <c r="BG186" s="284"/>
      <c r="BH186" s="128"/>
      <c r="BI186" s="128"/>
      <c r="BJ186" s="284"/>
      <c r="BK186" s="128"/>
      <c r="BL186" s="128"/>
      <c r="BM186" s="284"/>
      <c r="BN186" s="128"/>
      <c r="BO186" s="128"/>
      <c r="BP186" s="284"/>
      <c r="BQ186" s="128"/>
      <c r="BR186" s="128"/>
      <c r="BS186" s="284"/>
      <c r="BT186" s="128"/>
      <c r="BU186" s="128"/>
      <c r="BV186" s="128"/>
      <c r="BW186" s="128"/>
      <c r="BX186" s="331"/>
    </row>
    <row r="187" spans="1:78" s="327" customFormat="1">
      <c r="A187" s="392"/>
      <c r="B187" s="261"/>
      <c r="C187" s="237"/>
      <c r="D187" s="397"/>
      <c r="E187" s="110" t="s">
        <v>248</v>
      </c>
      <c r="F187" s="127" t="s">
        <v>249</v>
      </c>
      <c r="G187" s="17"/>
      <c r="H187" s="276"/>
      <c r="I187" s="276"/>
      <c r="J187" s="276"/>
      <c r="K187" s="276"/>
      <c r="L187" s="276"/>
      <c r="M187" s="276"/>
      <c r="N187" s="276"/>
      <c r="O187" s="276"/>
      <c r="P187" s="276"/>
      <c r="Q187" s="276"/>
      <c r="R187" s="276"/>
      <c r="S187" s="418"/>
      <c r="T187" s="112"/>
      <c r="U187" s="112"/>
      <c r="V187" s="112"/>
      <c r="W187" s="112"/>
      <c r="X187" s="112"/>
      <c r="Y187" s="112"/>
      <c r="Z187" s="112"/>
      <c r="AA187" s="112"/>
      <c r="AB187" s="112"/>
      <c r="AC187" s="112"/>
      <c r="AD187" s="276"/>
      <c r="AE187" s="112"/>
      <c r="AF187" s="129"/>
      <c r="AG187" s="129"/>
      <c r="AH187" s="129"/>
      <c r="AI187" s="129"/>
      <c r="AJ187" s="129"/>
      <c r="AK187" s="129"/>
      <c r="AL187" s="129"/>
      <c r="AM187" s="129"/>
      <c r="AN187" s="129"/>
      <c r="AO187" s="129"/>
      <c r="AP187" s="276"/>
      <c r="AQ187" s="439"/>
      <c r="AR187" s="439"/>
      <c r="AS187" s="440"/>
      <c r="AT187" s="255"/>
      <c r="AU187" s="130"/>
      <c r="AV187" s="285"/>
      <c r="AW187" s="286"/>
      <c r="AX187" s="130"/>
      <c r="AY187" s="130"/>
      <c r="AZ187" s="130"/>
      <c r="BA187" s="285"/>
      <c r="BB187" s="286"/>
      <c r="BC187" s="130"/>
      <c r="BD187" s="285"/>
      <c r="BE187" s="286"/>
      <c r="BF187" s="130"/>
      <c r="BG187" s="285"/>
      <c r="BH187" s="286"/>
      <c r="BI187" s="130"/>
      <c r="BJ187" s="287"/>
      <c r="BK187" s="286"/>
      <c r="BL187" s="130"/>
      <c r="BM187" s="287"/>
      <c r="BN187" s="286"/>
      <c r="BO187" s="130"/>
      <c r="BP187" s="287"/>
      <c r="BQ187" s="286"/>
      <c r="BR187" s="130"/>
      <c r="BS187" s="287"/>
      <c r="BT187" s="286"/>
      <c r="BU187" s="130"/>
      <c r="BV187" s="130"/>
      <c r="BW187" s="130"/>
      <c r="BX187" s="130"/>
      <c r="BY187" s="256"/>
    </row>
    <row r="188" spans="1:78" s="327" customFormat="1">
      <c r="A188" s="392"/>
      <c r="B188" s="261"/>
      <c r="C188" s="237"/>
      <c r="D188" s="397"/>
      <c r="E188" s="110" t="s">
        <v>250</v>
      </c>
      <c r="F188" s="127" t="s">
        <v>375</v>
      </c>
      <c r="G188" s="431" t="s">
        <v>107</v>
      </c>
      <c r="H188" s="365">
        <f t="shared" ref="H188:O191" si="595">+T188</f>
        <v>0</v>
      </c>
      <c r="I188" s="365">
        <f t="shared" si="595"/>
        <v>0</v>
      </c>
      <c r="J188" s="365">
        <f t="shared" si="595"/>
        <v>0</v>
      </c>
      <c r="K188" s="365">
        <f t="shared" si="595"/>
        <v>0</v>
      </c>
      <c r="L188" s="365">
        <f t="shared" si="595"/>
        <v>0</v>
      </c>
      <c r="M188" s="365">
        <f t="shared" si="595"/>
        <v>0</v>
      </c>
      <c r="N188" s="365">
        <f t="shared" si="595"/>
        <v>28</v>
      </c>
      <c r="O188" s="365">
        <f t="shared" si="595"/>
        <v>0</v>
      </c>
      <c r="P188" s="365">
        <f t="shared" ref="P188:Q191" si="596">+AB188</f>
        <v>0</v>
      </c>
      <c r="Q188" s="365">
        <f t="shared" si="596"/>
        <v>0</v>
      </c>
      <c r="R188" s="365"/>
      <c r="S188" s="418">
        <f>SUM(T188:AC188)</f>
        <v>28</v>
      </c>
      <c r="T188" s="365">
        <f t="shared" ref="T188:AC191" si="597">ROUND(AF188,ARRONDI_QT)</f>
        <v>0</v>
      </c>
      <c r="U188" s="365">
        <f t="shared" si="597"/>
        <v>0</v>
      </c>
      <c r="V188" s="365">
        <f t="shared" si="597"/>
        <v>0</v>
      </c>
      <c r="W188" s="365">
        <f t="shared" si="597"/>
        <v>0</v>
      </c>
      <c r="X188" s="365">
        <f t="shared" si="597"/>
        <v>0</v>
      </c>
      <c r="Y188" s="365">
        <f t="shared" si="597"/>
        <v>0</v>
      </c>
      <c r="Z188" s="365">
        <f t="shared" si="597"/>
        <v>28</v>
      </c>
      <c r="AA188" s="365">
        <f t="shared" si="597"/>
        <v>0</v>
      </c>
      <c r="AB188" s="365">
        <f t="shared" si="597"/>
        <v>0</v>
      </c>
      <c r="AC188" s="365">
        <f t="shared" si="597"/>
        <v>0</v>
      </c>
      <c r="AD188" s="365"/>
      <c r="AE188" s="112">
        <f>ROUND(SUM(AF188:AO188),ARRONDI_QT)</f>
        <v>28</v>
      </c>
      <c r="AF188" s="366">
        <v>0</v>
      </c>
      <c r="AG188" s="366">
        <v>0</v>
      </c>
      <c r="AH188" s="366">
        <v>0</v>
      </c>
      <c r="AI188" s="366">
        <v>0</v>
      </c>
      <c r="AJ188" s="366">
        <v>0</v>
      </c>
      <c r="AK188" s="366">
        <v>0</v>
      </c>
      <c r="AL188" s="366">
        <v>28</v>
      </c>
      <c r="AM188" s="366">
        <v>0</v>
      </c>
      <c r="AN188" s="366">
        <v>0</v>
      </c>
      <c r="AO188" s="366">
        <v>0</v>
      </c>
      <c r="AP188" s="365"/>
      <c r="AQ188" s="439">
        <f>SUM(H188:Q188)</f>
        <v>28</v>
      </c>
      <c r="AR188" s="439">
        <f>ROUND(AU188+BV188,ARRONDI_PU)</f>
        <v>66.045000000000002</v>
      </c>
      <c r="AS188" s="440">
        <f>+AR188*AQ188</f>
        <v>1849.26</v>
      </c>
      <c r="AT188" s="255"/>
      <c r="AU188" s="130">
        <f>+AX188+BB188+BE188+BH188+BK188+BN188+BQ188+BT188</f>
        <v>59.499999999999993</v>
      </c>
      <c r="AV188" s="285">
        <f>+COEF_MO_INSTALL</f>
        <v>1.3</v>
      </c>
      <c r="AW188" s="286">
        <v>0</v>
      </c>
      <c r="AX188" s="130">
        <f>+AW188*TH_INSTALL</f>
        <v>0</v>
      </c>
      <c r="AY188" s="130">
        <f>+AW188*AE188</f>
        <v>0</v>
      </c>
      <c r="AZ188" s="130">
        <f>IF(AQ188&gt;0,(AX188*AE188),0)</f>
        <v>0</v>
      </c>
      <c r="BA188" s="285">
        <f>+COEF_FOUR1_INSTALL</f>
        <v>1.3</v>
      </c>
      <c r="BB188" s="286">
        <v>0</v>
      </c>
      <c r="BC188" s="130">
        <f>IF(AQ188&gt;0,(BB188*AE188),0)</f>
        <v>0</v>
      </c>
      <c r="BD188" s="285">
        <f>+COEF_FOUR2_INSTALL</f>
        <v>1.3</v>
      </c>
      <c r="BE188" s="286">
        <v>0</v>
      </c>
      <c r="BF188" s="130">
        <f>IF(AQ188&gt;0,(BE188*AE188),0)</f>
        <v>0</v>
      </c>
      <c r="BG188" s="285">
        <f>+COEF_FOUR3_INSTALL</f>
        <v>1.3</v>
      </c>
      <c r="BH188" s="286">
        <v>0</v>
      </c>
      <c r="BI188" s="130">
        <f>IF(AQ188&gt;0,(BH188*AE188),0)</f>
        <v>0</v>
      </c>
      <c r="BJ188" s="287">
        <f>+COEF_MTLLOC_INSTALL</f>
        <v>1.1499999999999999</v>
      </c>
      <c r="BK188" s="286">
        <v>0</v>
      </c>
      <c r="BL188" s="130">
        <f>IF(AQ188&gt;0,(BK188*AE188),0)</f>
        <v>0</v>
      </c>
      <c r="BM188" s="287">
        <f>+COEF_MTLAMR_INSTALL</f>
        <v>1.3</v>
      </c>
      <c r="BN188" s="286">
        <v>0</v>
      </c>
      <c r="BO188" s="130">
        <f>IF(AQ188&gt;0,(BN188*AE188),0)</f>
        <v>0</v>
      </c>
      <c r="BP188" s="287">
        <f>+COEF_ST1_INSTALL</f>
        <v>1.1100000000000001</v>
      </c>
      <c r="BQ188" s="286">
        <f>42.5*1.4</f>
        <v>59.499999999999993</v>
      </c>
      <c r="BR188" s="130">
        <f>IF(AQ188&gt;0,(BQ188*AE188),0)</f>
        <v>1665.9999999999998</v>
      </c>
      <c r="BS188" s="287">
        <f>+COEF_ST2_INSTALL</f>
        <v>1.1100000000000001</v>
      </c>
      <c r="BT188" s="286">
        <v>0</v>
      </c>
      <c r="BU188" s="130">
        <f>IF(AQ188&gt;0,(BT188*AE188),0)</f>
        <v>0</v>
      </c>
      <c r="BV188" s="130">
        <f>+(((AX188)*AV188)+(BB188*BA188)+(BE188*BD188)+(BH188*BG188)+(BK188*BJ188)+(BN188*BM188)+(BQ188*BP188)+(BT188*BS188)+(BT188*BS188))-(AU188)</f>
        <v>6.5450000000000088</v>
      </c>
      <c r="BW188" s="130">
        <f>+BV188*AE188</f>
        <v>183.26000000000025</v>
      </c>
      <c r="BX188" s="130">
        <f>AS188-(BW188+BU188+BR188+BO188+BL188+BI188+BF188+BC188+AZ188)</f>
        <v>0</v>
      </c>
      <c r="BY188" s="329"/>
    </row>
    <row r="189" spans="1:78" s="327" customFormat="1" ht="64.5">
      <c r="A189" s="392"/>
      <c r="B189" s="261"/>
      <c r="C189" s="237"/>
      <c r="D189" s="397"/>
      <c r="E189" s="430" t="s">
        <v>251</v>
      </c>
      <c r="F189" s="368" t="s">
        <v>376</v>
      </c>
      <c r="G189" s="431" t="s">
        <v>107</v>
      </c>
      <c r="H189" s="365">
        <f t="shared" si="595"/>
        <v>0</v>
      </c>
      <c r="I189" s="365">
        <f t="shared" si="595"/>
        <v>0</v>
      </c>
      <c r="J189" s="365">
        <f t="shared" si="595"/>
        <v>0</v>
      </c>
      <c r="K189" s="365">
        <f t="shared" si="595"/>
        <v>0</v>
      </c>
      <c r="L189" s="365">
        <f t="shared" si="595"/>
        <v>0</v>
      </c>
      <c r="M189" s="365">
        <f t="shared" si="595"/>
        <v>0</v>
      </c>
      <c r="N189" s="365">
        <f t="shared" si="595"/>
        <v>20</v>
      </c>
      <c r="O189" s="365">
        <f t="shared" si="595"/>
        <v>0</v>
      </c>
      <c r="P189" s="365">
        <f t="shared" si="596"/>
        <v>0</v>
      </c>
      <c r="Q189" s="365">
        <f t="shared" si="596"/>
        <v>0</v>
      </c>
      <c r="R189" s="365"/>
      <c r="S189" s="418">
        <f>SUM(T189:AC189)</f>
        <v>20</v>
      </c>
      <c r="T189" s="365">
        <f t="shared" si="597"/>
        <v>0</v>
      </c>
      <c r="U189" s="365">
        <f t="shared" si="597"/>
        <v>0</v>
      </c>
      <c r="V189" s="365">
        <f t="shared" si="597"/>
        <v>0</v>
      </c>
      <c r="W189" s="365">
        <f t="shared" si="597"/>
        <v>0</v>
      </c>
      <c r="X189" s="365">
        <f t="shared" si="597"/>
        <v>0</v>
      </c>
      <c r="Y189" s="365">
        <f t="shared" si="597"/>
        <v>0</v>
      </c>
      <c r="Z189" s="365">
        <f t="shared" si="597"/>
        <v>20</v>
      </c>
      <c r="AA189" s="365">
        <f t="shared" si="597"/>
        <v>0</v>
      </c>
      <c r="AB189" s="365">
        <f t="shared" si="597"/>
        <v>0</v>
      </c>
      <c r="AC189" s="365">
        <f t="shared" si="597"/>
        <v>0</v>
      </c>
      <c r="AD189" s="365"/>
      <c r="AE189" s="112">
        <f>ROUND(SUM(AF189:AO189),ARRONDI_QT)</f>
        <v>20</v>
      </c>
      <c r="AF189" s="366">
        <v>0</v>
      </c>
      <c r="AG189" s="366">
        <v>0</v>
      </c>
      <c r="AH189" s="366">
        <v>0</v>
      </c>
      <c r="AI189" s="366">
        <v>0</v>
      </c>
      <c r="AJ189" s="366">
        <v>0</v>
      </c>
      <c r="AK189" s="366">
        <v>0</v>
      </c>
      <c r="AL189" s="366">
        <v>20</v>
      </c>
      <c r="AM189" s="366">
        <v>0</v>
      </c>
      <c r="AN189" s="366">
        <v>0</v>
      </c>
      <c r="AO189" s="366">
        <v>0</v>
      </c>
      <c r="AP189" s="365"/>
      <c r="AQ189" s="439">
        <f>SUM(H189:Q189)</f>
        <v>20</v>
      </c>
      <c r="AR189" s="439">
        <f>ROUND(AU189+BV189,ARRONDI_PU)</f>
        <v>437.89499999999998</v>
      </c>
      <c r="AS189" s="440">
        <f>+AR189*AQ189</f>
        <v>8757.9</v>
      </c>
      <c r="AT189" s="255"/>
      <c r="AU189" s="130">
        <f>+AX189+BB189+BE189+BH189+BK189+BN189+BQ189+BT189</f>
        <v>394.5</v>
      </c>
      <c r="AV189" s="285">
        <f>+COEF_MO_INSTALL</f>
        <v>1.3</v>
      </c>
      <c r="AW189" s="286">
        <v>0</v>
      </c>
      <c r="AX189" s="130">
        <f>+AW189*TH_INSTALL</f>
        <v>0</v>
      </c>
      <c r="AY189" s="130">
        <f>+AW189*AE189</f>
        <v>0</v>
      </c>
      <c r="AZ189" s="130">
        <f>IF(AQ189&gt;0,(AX189*AE189),0)</f>
        <v>0</v>
      </c>
      <c r="BA189" s="285">
        <f>+COEF_FOUR1_INSTALL</f>
        <v>1.3</v>
      </c>
      <c r="BB189" s="286">
        <v>0</v>
      </c>
      <c r="BC189" s="130">
        <f>IF(AQ189&gt;0,(BB189*AE189),0)</f>
        <v>0</v>
      </c>
      <c r="BD189" s="285">
        <f>+COEF_FOUR2_INSTALL</f>
        <v>1.3</v>
      </c>
      <c r="BE189" s="286">
        <v>0</v>
      </c>
      <c r="BF189" s="130">
        <f>IF(AQ189&gt;0,(BE189*AE189),0)</f>
        <v>0</v>
      </c>
      <c r="BG189" s="285">
        <f>+COEF_FOUR3_INSTALL</f>
        <v>1.3</v>
      </c>
      <c r="BH189" s="286">
        <v>0</v>
      </c>
      <c r="BI189" s="130">
        <f>IF(AQ189&gt;0,(BH189*AE189),0)</f>
        <v>0</v>
      </c>
      <c r="BJ189" s="287">
        <f>+COEF_MTLLOC_INSTALL</f>
        <v>1.1499999999999999</v>
      </c>
      <c r="BK189" s="286">
        <v>0</v>
      </c>
      <c r="BL189" s="130">
        <f>IF(AQ189&gt;0,(BK189*AE189),0)</f>
        <v>0</v>
      </c>
      <c r="BM189" s="287">
        <f>+COEF_MTLAMR_INSTALL</f>
        <v>1.3</v>
      </c>
      <c r="BN189" s="286">
        <v>0</v>
      </c>
      <c r="BO189" s="130">
        <f>IF(AQ189&gt;0,(BN189*AE189),0)</f>
        <v>0</v>
      </c>
      <c r="BP189" s="287">
        <f>+COEF_ST1_INSTALL</f>
        <v>1.1100000000000001</v>
      </c>
      <c r="BQ189" s="286">
        <f>(59.5+210+45+80)</f>
        <v>394.5</v>
      </c>
      <c r="BR189" s="130">
        <f>IF(AQ189&gt;0,(BQ189*AE189),0)</f>
        <v>7890</v>
      </c>
      <c r="BS189" s="287">
        <f>+COEF_ST2_INSTALL</f>
        <v>1.1100000000000001</v>
      </c>
      <c r="BT189" s="286">
        <v>0</v>
      </c>
      <c r="BU189" s="130">
        <f>IF(AQ189&gt;0,(BT189*AE189),0)</f>
        <v>0</v>
      </c>
      <c r="BV189" s="130">
        <f>+(((AX189)*AV189)+(BB189*BA189)+(BE189*BD189)+(BH189*BG189)+(BK189*BJ189)+(BN189*BM189)+(BQ189*BP189)+(BT189*BS189)+(BT189*BS189))-(AU189)</f>
        <v>43.395000000000039</v>
      </c>
      <c r="BW189" s="130">
        <f>+BV189*AE189</f>
        <v>867.90000000000077</v>
      </c>
      <c r="BX189" s="130">
        <f>AS189-(BW189+BU189+BR189+BO189+BL189+BI189+BF189+BC189+AZ189)</f>
        <v>0</v>
      </c>
      <c r="BY189" s="329"/>
    </row>
    <row r="190" spans="1:78" s="327" customFormat="1" ht="77.25">
      <c r="A190" s="392"/>
      <c r="B190" s="261"/>
      <c r="C190" s="237"/>
      <c r="D190" s="397"/>
      <c r="E190" s="430" t="s">
        <v>252</v>
      </c>
      <c r="F190" s="368" t="s">
        <v>377</v>
      </c>
      <c r="G190" s="431" t="s">
        <v>33</v>
      </c>
      <c r="H190" s="365">
        <f t="shared" si="595"/>
        <v>0</v>
      </c>
      <c r="I190" s="365">
        <f t="shared" si="595"/>
        <v>0</v>
      </c>
      <c r="J190" s="365">
        <f t="shared" si="595"/>
        <v>0</v>
      </c>
      <c r="K190" s="365">
        <f t="shared" si="595"/>
        <v>0</v>
      </c>
      <c r="L190" s="365">
        <f t="shared" si="595"/>
        <v>0</v>
      </c>
      <c r="M190" s="365">
        <f t="shared" si="595"/>
        <v>0</v>
      </c>
      <c r="N190" s="365">
        <f t="shared" si="595"/>
        <v>2</v>
      </c>
      <c r="O190" s="365">
        <f t="shared" si="595"/>
        <v>0</v>
      </c>
      <c r="P190" s="365">
        <f t="shared" si="596"/>
        <v>0</v>
      </c>
      <c r="Q190" s="365">
        <f t="shared" si="596"/>
        <v>0</v>
      </c>
      <c r="R190" s="365"/>
      <c r="S190" s="418">
        <f>SUM(T190:AC190)</f>
        <v>2</v>
      </c>
      <c r="T190" s="365">
        <f t="shared" si="597"/>
        <v>0</v>
      </c>
      <c r="U190" s="365">
        <f t="shared" si="597"/>
        <v>0</v>
      </c>
      <c r="V190" s="365">
        <f t="shared" si="597"/>
        <v>0</v>
      </c>
      <c r="W190" s="365">
        <f t="shared" si="597"/>
        <v>0</v>
      </c>
      <c r="X190" s="365">
        <f t="shared" si="597"/>
        <v>0</v>
      </c>
      <c r="Y190" s="365">
        <f t="shared" si="597"/>
        <v>0</v>
      </c>
      <c r="Z190" s="365">
        <f t="shared" si="597"/>
        <v>2</v>
      </c>
      <c r="AA190" s="365">
        <f t="shared" si="597"/>
        <v>0</v>
      </c>
      <c r="AB190" s="365">
        <f t="shared" si="597"/>
        <v>0</v>
      </c>
      <c r="AC190" s="365">
        <f t="shared" si="597"/>
        <v>0</v>
      </c>
      <c r="AD190" s="365"/>
      <c r="AE190" s="112">
        <f>ROUND(SUM(AF190:AO190),ARRONDI_QT)</f>
        <v>2</v>
      </c>
      <c r="AF190" s="366">
        <v>0</v>
      </c>
      <c r="AG190" s="366">
        <v>0</v>
      </c>
      <c r="AH190" s="366">
        <v>0</v>
      </c>
      <c r="AI190" s="366">
        <v>0</v>
      </c>
      <c r="AJ190" s="366">
        <v>0</v>
      </c>
      <c r="AK190" s="366">
        <v>0</v>
      </c>
      <c r="AL190" s="366">
        <v>2</v>
      </c>
      <c r="AM190" s="366">
        <v>0</v>
      </c>
      <c r="AN190" s="366">
        <v>0</v>
      </c>
      <c r="AO190" s="366">
        <v>0</v>
      </c>
      <c r="AP190" s="365"/>
      <c r="AQ190" s="439">
        <f>SUM(H190:Q190)</f>
        <v>2</v>
      </c>
      <c r="AR190" s="439">
        <f>ROUND(AU190+BV190,ARRONDI_PU)</f>
        <v>1076.7</v>
      </c>
      <c r="AS190" s="440">
        <f>+AR190*AQ190</f>
        <v>2153.4</v>
      </c>
      <c r="AT190" s="255"/>
      <c r="AU190" s="130">
        <f>+AX190+BB190+BE190+BH190+BK190+BN190+BQ190+BT190</f>
        <v>970</v>
      </c>
      <c r="AV190" s="285">
        <f>+COEF_MO_INSTALL</f>
        <v>1.3</v>
      </c>
      <c r="AW190" s="286">
        <v>0</v>
      </c>
      <c r="AX190" s="130">
        <f>+AW190*TH_INSTALL</f>
        <v>0</v>
      </c>
      <c r="AY190" s="130">
        <f>+AW190*AE190</f>
        <v>0</v>
      </c>
      <c r="AZ190" s="130">
        <f>IF(AQ190&gt;0,(AX190*AE190),0)</f>
        <v>0</v>
      </c>
      <c r="BA190" s="285">
        <f>+COEF_FOUR1_INSTALL</f>
        <v>1.3</v>
      </c>
      <c r="BB190" s="286">
        <v>0</v>
      </c>
      <c r="BC190" s="130">
        <f>IF(AQ190&gt;0,(BB190*AE190),0)</f>
        <v>0</v>
      </c>
      <c r="BD190" s="285">
        <f>+COEF_FOUR2_INSTALL</f>
        <v>1.3</v>
      </c>
      <c r="BE190" s="286">
        <v>0</v>
      </c>
      <c r="BF190" s="130">
        <f>IF(AQ190&gt;0,(BE190*AE190),0)</f>
        <v>0</v>
      </c>
      <c r="BG190" s="285">
        <f>+COEF_FOUR3_INSTALL</f>
        <v>1.3</v>
      </c>
      <c r="BH190" s="286">
        <v>0</v>
      </c>
      <c r="BI190" s="130">
        <f>IF(AQ190&gt;0,(BH190*AE190),0)</f>
        <v>0</v>
      </c>
      <c r="BJ190" s="287">
        <f>+COEF_MTLLOC_INSTALL</f>
        <v>1.1499999999999999</v>
      </c>
      <c r="BK190" s="286">
        <v>0</v>
      </c>
      <c r="BL190" s="130">
        <f>IF(AQ190&gt;0,(BK190*AE190),0)</f>
        <v>0</v>
      </c>
      <c r="BM190" s="287">
        <f>+COEF_MTLAMR_INSTALL</f>
        <v>1.3</v>
      </c>
      <c r="BN190" s="286">
        <v>0</v>
      </c>
      <c r="BO190" s="130">
        <f>IF(AQ190&gt;0,(BN190*AE190),0)</f>
        <v>0</v>
      </c>
      <c r="BP190" s="287">
        <f>+COEF_ST1_INSTALL</f>
        <v>1.1100000000000001</v>
      </c>
      <c r="BQ190" s="286">
        <f>740+230</f>
        <v>970</v>
      </c>
      <c r="BR190" s="130">
        <f>IF(AQ190&gt;0,(BQ190*AE190),0)</f>
        <v>1940</v>
      </c>
      <c r="BS190" s="287">
        <f>+COEF_ST2_INSTALL</f>
        <v>1.1100000000000001</v>
      </c>
      <c r="BT190" s="286">
        <v>0</v>
      </c>
      <c r="BU190" s="130">
        <f>IF(AQ190&gt;0,(BT190*AE190),0)</f>
        <v>0</v>
      </c>
      <c r="BV190" s="130">
        <f>+(((AX190)*AV190)+(BB190*BA190)+(BE190*BD190)+(BH190*BG190)+(BK190*BJ190)+(BN190*BM190)+(BQ190*BP190)+(BT190*BS190)+(BT190*BS190))-(AU190)</f>
        <v>106.70000000000005</v>
      </c>
      <c r="BW190" s="130">
        <f>+BV190*AE190</f>
        <v>213.40000000000009</v>
      </c>
      <c r="BX190" s="130">
        <f>AS190-(BW190+BU190+BR190+BO190+BL190+BI190+BF190+BC190+AZ190)</f>
        <v>0</v>
      </c>
      <c r="BY190" s="329"/>
    </row>
    <row r="191" spans="1:78" s="327" customFormat="1">
      <c r="A191" s="392"/>
      <c r="B191" s="261"/>
      <c r="C191" s="237"/>
      <c r="D191" s="397"/>
      <c r="E191" s="110" t="s">
        <v>253</v>
      </c>
      <c r="F191" s="127" t="s">
        <v>265</v>
      </c>
      <c r="G191" s="431" t="s">
        <v>107</v>
      </c>
      <c r="H191" s="365">
        <f t="shared" si="595"/>
        <v>0</v>
      </c>
      <c r="I191" s="365">
        <f t="shared" si="595"/>
        <v>0</v>
      </c>
      <c r="J191" s="365">
        <f t="shared" si="595"/>
        <v>0</v>
      </c>
      <c r="K191" s="365">
        <f t="shared" si="595"/>
        <v>0</v>
      </c>
      <c r="L191" s="365">
        <f t="shared" si="595"/>
        <v>0</v>
      </c>
      <c r="M191" s="365">
        <f t="shared" si="595"/>
        <v>0</v>
      </c>
      <c r="N191" s="365">
        <f t="shared" si="595"/>
        <v>90</v>
      </c>
      <c r="O191" s="365">
        <f t="shared" si="595"/>
        <v>0</v>
      </c>
      <c r="P191" s="365">
        <f t="shared" si="596"/>
        <v>0</v>
      </c>
      <c r="Q191" s="365">
        <f t="shared" si="596"/>
        <v>0</v>
      </c>
      <c r="R191" s="365"/>
      <c r="S191" s="418">
        <f>SUM(T191:AC191)</f>
        <v>90</v>
      </c>
      <c r="T191" s="365">
        <f t="shared" si="597"/>
        <v>0</v>
      </c>
      <c r="U191" s="365">
        <f t="shared" si="597"/>
        <v>0</v>
      </c>
      <c r="V191" s="365">
        <f t="shared" si="597"/>
        <v>0</v>
      </c>
      <c r="W191" s="365">
        <f t="shared" si="597"/>
        <v>0</v>
      </c>
      <c r="X191" s="365">
        <f t="shared" si="597"/>
        <v>0</v>
      </c>
      <c r="Y191" s="365">
        <f t="shared" si="597"/>
        <v>0</v>
      </c>
      <c r="Z191" s="365">
        <f t="shared" si="597"/>
        <v>90</v>
      </c>
      <c r="AA191" s="365">
        <f t="shared" si="597"/>
        <v>0</v>
      </c>
      <c r="AB191" s="365">
        <f t="shared" si="597"/>
        <v>0</v>
      </c>
      <c r="AC191" s="365">
        <f t="shared" si="597"/>
        <v>0</v>
      </c>
      <c r="AD191" s="365"/>
      <c r="AE191" s="112">
        <f>ROUND(SUM(AF191:AO191),ARRONDI_QT)</f>
        <v>90</v>
      </c>
      <c r="AF191" s="366">
        <v>0</v>
      </c>
      <c r="AG191" s="366">
        <v>0</v>
      </c>
      <c r="AH191" s="366">
        <v>0</v>
      </c>
      <c r="AI191" s="366">
        <v>0</v>
      </c>
      <c r="AJ191" s="366">
        <v>0</v>
      </c>
      <c r="AK191" s="366">
        <v>0</v>
      </c>
      <c r="AL191" s="366">
        <v>90</v>
      </c>
      <c r="AM191" s="366">
        <v>0</v>
      </c>
      <c r="AN191" s="366">
        <v>0</v>
      </c>
      <c r="AO191" s="366">
        <v>0</v>
      </c>
      <c r="AP191" s="365"/>
      <c r="AQ191" s="439">
        <f>SUM(H191:Q191)</f>
        <v>90</v>
      </c>
      <c r="AR191" s="439">
        <f>ROUND(AU191+BV191,ARRONDI_PU)</f>
        <v>19.98</v>
      </c>
      <c r="AS191" s="440">
        <f>+AR191*AQ191</f>
        <v>1798.2</v>
      </c>
      <c r="AT191" s="255"/>
      <c r="AU191" s="130">
        <f>+AX191+BB191+BE191+BH191+BK191+BN191+BQ191+BT191</f>
        <v>18</v>
      </c>
      <c r="AV191" s="285">
        <f>+COEF_MO_INSTALL</f>
        <v>1.3</v>
      </c>
      <c r="AW191" s="286">
        <v>0</v>
      </c>
      <c r="AX191" s="130">
        <f>+AW191*TH_INSTALL</f>
        <v>0</v>
      </c>
      <c r="AY191" s="130">
        <f>+AW191*AE191</f>
        <v>0</v>
      </c>
      <c r="AZ191" s="130">
        <f>IF(AQ191&gt;0,(AX191*AE191),0)</f>
        <v>0</v>
      </c>
      <c r="BA191" s="285">
        <f>+COEF_FOUR1_INSTALL</f>
        <v>1.3</v>
      </c>
      <c r="BB191" s="286">
        <v>0</v>
      </c>
      <c r="BC191" s="130">
        <f>IF(AQ191&gt;0,(BB191*AE191),0)</f>
        <v>0</v>
      </c>
      <c r="BD191" s="285">
        <f>+COEF_FOUR2_INSTALL</f>
        <v>1.3</v>
      </c>
      <c r="BE191" s="286">
        <v>0</v>
      </c>
      <c r="BF191" s="130">
        <f>IF(AQ191&gt;0,(BE191*AE191),0)</f>
        <v>0</v>
      </c>
      <c r="BG191" s="285">
        <f>+COEF_FOUR3_INSTALL</f>
        <v>1.3</v>
      </c>
      <c r="BH191" s="286">
        <v>0</v>
      </c>
      <c r="BI191" s="130">
        <f>IF(AQ191&gt;0,(BH191*AE191),0)</f>
        <v>0</v>
      </c>
      <c r="BJ191" s="287">
        <f>+COEF_MTLLOC_INSTALL</f>
        <v>1.1499999999999999</v>
      </c>
      <c r="BK191" s="286">
        <v>0</v>
      </c>
      <c r="BL191" s="130">
        <f>IF(AQ191&gt;0,(BK191*AE191),0)</f>
        <v>0</v>
      </c>
      <c r="BM191" s="287">
        <f>+COEF_MTLAMR_INSTALL</f>
        <v>1.3</v>
      </c>
      <c r="BN191" s="286">
        <v>0</v>
      </c>
      <c r="BO191" s="130">
        <f>IF(AQ191&gt;0,(BN191*AE191),0)</f>
        <v>0</v>
      </c>
      <c r="BP191" s="287">
        <f>+COEF_ST1_INSTALL</f>
        <v>1.1100000000000001</v>
      </c>
      <c r="BQ191" s="286">
        <v>18</v>
      </c>
      <c r="BR191" s="130">
        <f>IF(AQ191&gt;0,(BQ191*AE191),0)</f>
        <v>1620</v>
      </c>
      <c r="BS191" s="287">
        <f>+COEF_ST2_INSTALL</f>
        <v>1.1100000000000001</v>
      </c>
      <c r="BT191" s="286">
        <v>0</v>
      </c>
      <c r="BU191" s="130">
        <f>IF(AQ191&gt;0,(BT191*AE191),0)</f>
        <v>0</v>
      </c>
      <c r="BV191" s="130">
        <f>+(((AX191)*AV191)+(BB191*BA191)+(BE191*BD191)+(BH191*BG191)+(BK191*BJ191)+(BN191*BM191)+(BQ191*BP191)+(BT191*BS191)+(BT191*BS191))-(AU191)</f>
        <v>1.9800000000000004</v>
      </c>
      <c r="BW191" s="130">
        <f>+BV191*AE191</f>
        <v>178.20000000000005</v>
      </c>
      <c r="BX191" s="130">
        <f>AS191-(BW191+BU191+BR191+BO191+BL191+BI191+BF191+BC191+AZ191)</f>
        <v>0</v>
      </c>
      <c r="BY191" s="329"/>
      <c r="BZ191" s="393"/>
    </row>
    <row r="192" spans="1:78" s="393" customFormat="1">
      <c r="B192" s="261"/>
      <c r="C192" s="237"/>
      <c r="D192" s="397"/>
      <c r="E192" s="110"/>
      <c r="F192" s="127"/>
      <c r="G192" s="431"/>
      <c r="H192" s="365"/>
      <c r="I192" s="365"/>
      <c r="J192" s="365"/>
      <c r="K192" s="365"/>
      <c r="L192" s="365"/>
      <c r="M192" s="365"/>
      <c r="N192" s="365"/>
      <c r="O192" s="365"/>
      <c r="P192" s="365"/>
      <c r="Q192" s="365"/>
      <c r="R192" s="365"/>
      <c r="S192" s="418"/>
      <c r="T192" s="365"/>
      <c r="U192" s="365"/>
      <c r="V192" s="365"/>
      <c r="W192" s="365"/>
      <c r="X192" s="365"/>
      <c r="Y192" s="365"/>
      <c r="Z192" s="365"/>
      <c r="AA192" s="365"/>
      <c r="AB192" s="365"/>
      <c r="AC192" s="365"/>
      <c r="AD192" s="365"/>
      <c r="AE192" s="112"/>
      <c r="AF192" s="366"/>
      <c r="AG192" s="366"/>
      <c r="AH192" s="366"/>
      <c r="AI192" s="366"/>
      <c r="AJ192" s="366"/>
      <c r="AK192" s="366"/>
      <c r="AL192" s="366"/>
      <c r="AM192" s="366"/>
      <c r="AN192" s="366"/>
      <c r="AO192" s="366"/>
      <c r="AP192" s="365"/>
      <c r="AQ192" s="439"/>
      <c r="AR192" s="439"/>
      <c r="AS192" s="440"/>
      <c r="AT192" s="255"/>
      <c r="AU192" s="130"/>
      <c r="AV192" s="285"/>
      <c r="AW192" s="286"/>
      <c r="AX192" s="130"/>
      <c r="AY192" s="130"/>
      <c r="AZ192" s="130"/>
      <c r="BA192" s="285"/>
      <c r="BB192" s="286"/>
      <c r="BC192" s="130"/>
      <c r="BD192" s="285"/>
      <c r="BE192" s="286"/>
      <c r="BF192" s="130"/>
      <c r="BG192" s="285"/>
      <c r="BH192" s="286"/>
      <c r="BI192" s="130"/>
      <c r="BJ192" s="287"/>
      <c r="BK192" s="286"/>
      <c r="BL192" s="130"/>
      <c r="BM192" s="287"/>
      <c r="BN192" s="286"/>
      <c r="BO192" s="130"/>
      <c r="BP192" s="287"/>
      <c r="BQ192" s="286"/>
      <c r="BR192" s="130"/>
      <c r="BS192" s="287"/>
      <c r="BT192" s="286"/>
      <c r="BU192" s="130"/>
      <c r="BV192" s="130"/>
      <c r="BW192" s="130"/>
      <c r="BX192" s="130"/>
      <c r="BY192" s="329"/>
    </row>
    <row r="193" spans="1:80" s="327" customFormat="1" ht="25.5">
      <c r="A193" s="392"/>
      <c r="B193" s="261"/>
      <c r="C193" s="237"/>
      <c r="D193" s="397"/>
      <c r="E193" s="433" t="s">
        <v>254</v>
      </c>
      <c r="F193" s="369" t="s">
        <v>379</v>
      </c>
      <c r="G193" s="431"/>
      <c r="H193" s="365"/>
      <c r="I193" s="365"/>
      <c r="J193" s="365"/>
      <c r="K193" s="365"/>
      <c r="L193" s="365"/>
      <c r="M193" s="365"/>
      <c r="N193" s="365"/>
      <c r="O193" s="365"/>
      <c r="P193" s="365"/>
      <c r="Q193" s="365"/>
      <c r="R193" s="365"/>
      <c r="S193" s="418"/>
      <c r="T193" s="365"/>
      <c r="U193" s="365"/>
      <c r="V193" s="365"/>
      <c r="W193" s="365"/>
      <c r="X193" s="365"/>
      <c r="Y193" s="365"/>
      <c r="Z193" s="365"/>
      <c r="AA193" s="365"/>
      <c r="AB193" s="365"/>
      <c r="AC193" s="365"/>
      <c r="AD193" s="365"/>
      <c r="AE193" s="112"/>
      <c r="AF193" s="366"/>
      <c r="AG193" s="366"/>
      <c r="AH193" s="366"/>
      <c r="AI193" s="366"/>
      <c r="AJ193" s="366"/>
      <c r="AK193" s="366"/>
      <c r="AL193" s="366"/>
      <c r="AM193" s="366"/>
      <c r="AN193" s="366"/>
      <c r="AO193" s="366"/>
      <c r="AP193" s="365"/>
      <c r="AQ193" s="439"/>
      <c r="AR193" s="439"/>
      <c r="AS193" s="440"/>
      <c r="AT193" s="255"/>
      <c r="AU193" s="130"/>
      <c r="AV193" s="285"/>
      <c r="AW193" s="286"/>
      <c r="AX193" s="130"/>
      <c r="AY193" s="130"/>
      <c r="AZ193" s="130"/>
      <c r="BA193" s="285"/>
      <c r="BB193" s="286"/>
      <c r="BC193" s="130"/>
      <c r="BD193" s="285"/>
      <c r="BE193" s="286"/>
      <c r="BF193" s="130"/>
      <c r="BG193" s="285"/>
      <c r="BH193" s="286"/>
      <c r="BI193" s="130"/>
      <c r="BJ193" s="287"/>
      <c r="BK193" s="286"/>
      <c r="BL193" s="130"/>
      <c r="BM193" s="287"/>
      <c r="BN193" s="286"/>
      <c r="BO193" s="130"/>
      <c r="BP193" s="287"/>
      <c r="BQ193" s="286"/>
      <c r="BR193" s="130"/>
      <c r="BS193" s="287"/>
      <c r="BT193" s="286"/>
      <c r="BU193" s="130"/>
      <c r="BV193" s="130"/>
      <c r="BW193" s="130"/>
      <c r="BX193" s="130"/>
      <c r="BY193" s="329"/>
      <c r="BZ193" s="393"/>
      <c r="CA193" s="393"/>
      <c r="CB193" s="393"/>
    </row>
    <row r="194" spans="1:80" s="393" customFormat="1">
      <c r="B194" s="261"/>
      <c r="C194" s="237"/>
      <c r="D194" s="397"/>
      <c r="E194" s="433"/>
      <c r="F194" s="369" t="s">
        <v>380</v>
      </c>
      <c r="G194" s="431" t="s">
        <v>107</v>
      </c>
      <c r="H194" s="365">
        <f t="shared" ref="H194" si="598">+T194</f>
        <v>0</v>
      </c>
      <c r="I194" s="365">
        <f t="shared" ref="I194" si="599">+U194</f>
        <v>0</v>
      </c>
      <c r="J194" s="365">
        <f t="shared" ref="J194" si="600">+V194</f>
        <v>0</v>
      </c>
      <c r="K194" s="365">
        <f t="shared" ref="K194" si="601">+W194</f>
        <v>0</v>
      </c>
      <c r="L194" s="365">
        <f t="shared" ref="L194" si="602">+X194</f>
        <v>0</v>
      </c>
      <c r="M194" s="365">
        <f t="shared" ref="M194" si="603">+Y194</f>
        <v>0</v>
      </c>
      <c r="N194" s="365">
        <f t="shared" ref="N194" si="604">+Z194</f>
        <v>90</v>
      </c>
      <c r="O194" s="365">
        <f t="shared" ref="O194" si="605">+AA194</f>
        <v>0</v>
      </c>
      <c r="P194" s="365">
        <f t="shared" ref="P194" si="606">+AB194</f>
        <v>0</v>
      </c>
      <c r="Q194" s="365">
        <f t="shared" ref="Q194" si="607">+AC194</f>
        <v>0</v>
      </c>
      <c r="R194" s="365"/>
      <c r="S194" s="418">
        <f>SUM(T194:AC194)</f>
        <v>90</v>
      </c>
      <c r="T194" s="365">
        <f t="shared" ref="T194" si="608">ROUND(AF194,ARRONDI_QT)</f>
        <v>0</v>
      </c>
      <c r="U194" s="365">
        <f t="shared" ref="U194" si="609">ROUND(AG194,ARRONDI_QT)</f>
        <v>0</v>
      </c>
      <c r="V194" s="365">
        <f t="shared" ref="V194" si="610">ROUND(AH194,ARRONDI_QT)</f>
        <v>0</v>
      </c>
      <c r="W194" s="365">
        <f t="shared" ref="W194" si="611">ROUND(AI194,ARRONDI_QT)</f>
        <v>0</v>
      </c>
      <c r="X194" s="365">
        <f t="shared" ref="X194" si="612">ROUND(AJ194,ARRONDI_QT)</f>
        <v>0</v>
      </c>
      <c r="Y194" s="365">
        <f t="shared" ref="Y194" si="613">ROUND(AK194,ARRONDI_QT)</f>
        <v>0</v>
      </c>
      <c r="Z194" s="365">
        <f t="shared" ref="Z194" si="614">ROUND(AL194,ARRONDI_QT)</f>
        <v>90</v>
      </c>
      <c r="AA194" s="365">
        <f t="shared" ref="AA194" si="615">ROUND(AM194,ARRONDI_QT)</f>
        <v>0</v>
      </c>
      <c r="AB194" s="365">
        <f t="shared" ref="AB194" si="616">ROUND(AN194,ARRONDI_QT)</f>
        <v>0</v>
      </c>
      <c r="AC194" s="365">
        <f t="shared" ref="AC194" si="617">ROUND(AO194,ARRONDI_QT)</f>
        <v>0</v>
      </c>
      <c r="AD194" s="365"/>
      <c r="AE194" s="112">
        <f>ROUND(SUM(AF194:AO194),ARRONDI_QT)</f>
        <v>90</v>
      </c>
      <c r="AF194" s="366">
        <v>0</v>
      </c>
      <c r="AG194" s="366">
        <v>0</v>
      </c>
      <c r="AH194" s="366">
        <v>0</v>
      </c>
      <c r="AI194" s="366">
        <v>0</v>
      </c>
      <c r="AJ194" s="366">
        <v>0</v>
      </c>
      <c r="AK194" s="366">
        <v>0</v>
      </c>
      <c r="AL194" s="366">
        <v>90</v>
      </c>
      <c r="AM194" s="366">
        <v>0</v>
      </c>
      <c r="AN194" s="366">
        <v>0</v>
      </c>
      <c r="AO194" s="366">
        <v>0</v>
      </c>
      <c r="AP194" s="365"/>
      <c r="AQ194" s="439">
        <f>SUM(H194:Q194)</f>
        <v>90</v>
      </c>
      <c r="AR194" s="439">
        <f>ROUND(AU194+BV194,ARRONDI_PU)</f>
        <v>37.628999999999998</v>
      </c>
      <c r="AS194" s="440">
        <f>+AR194*AQ194</f>
        <v>3386.6099999999997</v>
      </c>
      <c r="AT194" s="255"/>
      <c r="AU194" s="130">
        <f>+AX194+BB194+BE194+BH194+BK194+BN194+BQ194+BT194</f>
        <v>33.9</v>
      </c>
      <c r="AV194" s="285">
        <f>+COEF_MO_INSTALL</f>
        <v>1.3</v>
      </c>
      <c r="AW194" s="286">
        <v>0</v>
      </c>
      <c r="AX194" s="130">
        <f>+AW194*TH_INSTALL</f>
        <v>0</v>
      </c>
      <c r="AY194" s="130">
        <f>+AW194*AE194</f>
        <v>0</v>
      </c>
      <c r="AZ194" s="130">
        <f>IF(AQ194&gt;0,(AX194*AE194),0)</f>
        <v>0</v>
      </c>
      <c r="BA194" s="285">
        <f>+COEF_FOUR1_INSTALL</f>
        <v>1.3</v>
      </c>
      <c r="BB194" s="286">
        <v>0</v>
      </c>
      <c r="BC194" s="130">
        <f>IF(AQ194&gt;0,(BB194*AE194),0)</f>
        <v>0</v>
      </c>
      <c r="BD194" s="285">
        <f>+COEF_FOUR2_INSTALL</f>
        <v>1.3</v>
      </c>
      <c r="BE194" s="286">
        <v>0</v>
      </c>
      <c r="BF194" s="130">
        <f>IF(AQ194&gt;0,(BE194*AE194),0)</f>
        <v>0</v>
      </c>
      <c r="BG194" s="285">
        <f>+COEF_FOUR3_INSTALL</f>
        <v>1.3</v>
      </c>
      <c r="BH194" s="286">
        <v>0</v>
      </c>
      <c r="BI194" s="130">
        <f>IF(AQ194&gt;0,(BH194*AE194),0)</f>
        <v>0</v>
      </c>
      <c r="BJ194" s="287">
        <f>+COEF_MTLLOC_INSTALL</f>
        <v>1.1499999999999999</v>
      </c>
      <c r="BK194" s="286">
        <v>0</v>
      </c>
      <c r="BL194" s="130">
        <f>IF(AQ194&gt;0,(BK194*AE194),0)</f>
        <v>0</v>
      </c>
      <c r="BM194" s="287">
        <f>+COEF_MTLAMR_INSTALL</f>
        <v>1.3</v>
      </c>
      <c r="BN194" s="286">
        <v>0</v>
      </c>
      <c r="BO194" s="130">
        <f>IF(AQ194&gt;0,(BN194*AE194),0)</f>
        <v>0</v>
      </c>
      <c r="BP194" s="287">
        <f>+COEF_ST1_INSTALL</f>
        <v>1.1100000000000001</v>
      </c>
      <c r="BQ194" s="286">
        <v>33.9</v>
      </c>
      <c r="BR194" s="130">
        <f>IF(AQ194&gt;0,(BQ194*AE194),0)</f>
        <v>3051</v>
      </c>
      <c r="BS194" s="287">
        <f>+COEF_ST2_INSTALL</f>
        <v>1.1100000000000001</v>
      </c>
      <c r="BT194" s="286">
        <v>0</v>
      </c>
      <c r="BU194" s="130">
        <f>IF(AQ194&gt;0,(BT194*AE194),0)</f>
        <v>0</v>
      </c>
      <c r="BV194" s="130">
        <f>+(((AX194)*AV194)+(BB194*BA194)+(BE194*BD194)+(BH194*BG194)+(BK194*BJ194)+(BN194*BM194)+(BQ194*BP194)+(BT194*BS194)+(BT194*BS194))-(AU194)</f>
        <v>3.7290000000000063</v>
      </c>
      <c r="BW194" s="130">
        <f>+BV194*AE194</f>
        <v>335.61000000000058</v>
      </c>
      <c r="BX194" s="130">
        <f>AS194-(BW194+BU194+BR194+BO194+BL194+BI194+BF194+BC194+AZ194)</f>
        <v>0</v>
      </c>
      <c r="BY194" s="329"/>
    </row>
    <row r="195" spans="1:80" s="393" customFormat="1" ht="38.25">
      <c r="B195" s="261"/>
      <c r="C195" s="237"/>
      <c r="D195" s="397"/>
      <c r="E195" s="433"/>
      <c r="F195" s="369" t="s">
        <v>384</v>
      </c>
      <c r="G195" s="431" t="s">
        <v>378</v>
      </c>
      <c r="H195" s="365">
        <f t="shared" ref="H195" si="618">+T195</f>
        <v>0</v>
      </c>
      <c r="I195" s="365">
        <f t="shared" ref="I195" si="619">+U195</f>
        <v>0</v>
      </c>
      <c r="J195" s="365">
        <f t="shared" ref="J195" si="620">+V195</f>
        <v>0</v>
      </c>
      <c r="K195" s="365">
        <f t="shared" ref="K195" si="621">+W195</f>
        <v>0</v>
      </c>
      <c r="L195" s="365">
        <f t="shared" ref="L195" si="622">+X195</f>
        <v>0</v>
      </c>
      <c r="M195" s="365">
        <f t="shared" ref="M195" si="623">+Y195</f>
        <v>0</v>
      </c>
      <c r="N195" s="365">
        <f t="shared" ref="N195" si="624">+Z195</f>
        <v>1</v>
      </c>
      <c r="O195" s="365">
        <f t="shared" ref="O195" si="625">+AA195</f>
        <v>0</v>
      </c>
      <c r="P195" s="365">
        <f t="shared" ref="P195" si="626">+AB195</f>
        <v>0</v>
      </c>
      <c r="Q195" s="365">
        <f t="shared" ref="Q195" si="627">+AC195</f>
        <v>0</v>
      </c>
      <c r="R195" s="365"/>
      <c r="S195" s="418">
        <f>SUM(T195:AC195)</f>
        <v>1</v>
      </c>
      <c r="T195" s="365">
        <f t="shared" ref="T195" si="628">ROUND(AF195,ARRONDI_QT)</f>
        <v>0</v>
      </c>
      <c r="U195" s="365">
        <f t="shared" ref="U195" si="629">ROUND(AG195,ARRONDI_QT)</f>
        <v>0</v>
      </c>
      <c r="V195" s="365">
        <f t="shared" ref="V195" si="630">ROUND(AH195,ARRONDI_QT)</f>
        <v>0</v>
      </c>
      <c r="W195" s="365">
        <f t="shared" ref="W195" si="631">ROUND(AI195,ARRONDI_QT)</f>
        <v>0</v>
      </c>
      <c r="X195" s="365">
        <f t="shared" ref="X195" si="632">ROUND(AJ195,ARRONDI_QT)</f>
        <v>0</v>
      </c>
      <c r="Y195" s="365">
        <f t="shared" ref="Y195" si="633">ROUND(AK195,ARRONDI_QT)</f>
        <v>0</v>
      </c>
      <c r="Z195" s="365">
        <f t="shared" ref="Z195" si="634">ROUND(AL195,ARRONDI_QT)</f>
        <v>1</v>
      </c>
      <c r="AA195" s="365">
        <f t="shared" ref="AA195" si="635">ROUND(AM195,ARRONDI_QT)</f>
        <v>0</v>
      </c>
      <c r="AB195" s="365">
        <f t="shared" ref="AB195" si="636">ROUND(AN195,ARRONDI_QT)</f>
        <v>0</v>
      </c>
      <c r="AC195" s="365">
        <f t="shared" ref="AC195" si="637">ROUND(AO195,ARRONDI_QT)</f>
        <v>0</v>
      </c>
      <c r="AD195" s="365"/>
      <c r="AE195" s="112">
        <f>ROUND(SUM(AF195:AO195),ARRONDI_QT)</f>
        <v>1</v>
      </c>
      <c r="AF195" s="366">
        <v>0</v>
      </c>
      <c r="AG195" s="366">
        <v>0</v>
      </c>
      <c r="AH195" s="366">
        <v>0</v>
      </c>
      <c r="AI195" s="366">
        <v>0</v>
      </c>
      <c r="AJ195" s="366">
        <v>0</v>
      </c>
      <c r="AK195" s="366">
        <v>0</v>
      </c>
      <c r="AL195" s="366">
        <v>1</v>
      </c>
      <c r="AM195" s="366">
        <v>0</v>
      </c>
      <c r="AN195" s="366">
        <v>0</v>
      </c>
      <c r="AO195" s="366">
        <v>0</v>
      </c>
      <c r="AP195" s="365"/>
      <c r="AQ195" s="439">
        <f>SUM(H195:Q195)</f>
        <v>1</v>
      </c>
      <c r="AR195" s="439">
        <f>ROUND(AU195+BV195,ARRONDI_PU)</f>
        <v>244.2</v>
      </c>
      <c r="AS195" s="440">
        <f>+AR195*AQ195</f>
        <v>244.2</v>
      </c>
      <c r="AT195" s="255"/>
      <c r="AU195" s="130">
        <f>+AX195+BB195+BE195+BH195+BK195+BN195+BQ195+BT195</f>
        <v>220</v>
      </c>
      <c r="AV195" s="285">
        <f>+COEF_MO_INSTALL</f>
        <v>1.3</v>
      </c>
      <c r="AW195" s="286">
        <v>0</v>
      </c>
      <c r="AX195" s="130">
        <f>+AW195*TH_INSTALL</f>
        <v>0</v>
      </c>
      <c r="AY195" s="130">
        <f>+AW195*AE195</f>
        <v>0</v>
      </c>
      <c r="AZ195" s="130">
        <f>IF(AQ195&gt;0,(AX195*AE195),0)</f>
        <v>0</v>
      </c>
      <c r="BA195" s="285">
        <f>+COEF_FOUR1_INSTALL</f>
        <v>1.3</v>
      </c>
      <c r="BB195" s="286">
        <v>0</v>
      </c>
      <c r="BC195" s="130">
        <f>IF(AQ195&gt;0,(BB195*AE195),0)</f>
        <v>0</v>
      </c>
      <c r="BD195" s="285">
        <f>+COEF_FOUR2_INSTALL</f>
        <v>1.3</v>
      </c>
      <c r="BE195" s="286">
        <v>0</v>
      </c>
      <c r="BF195" s="130">
        <f>IF(AQ195&gt;0,(BE195*AE195),0)</f>
        <v>0</v>
      </c>
      <c r="BG195" s="285">
        <f>+COEF_FOUR3_INSTALL</f>
        <v>1.3</v>
      </c>
      <c r="BH195" s="286">
        <v>0</v>
      </c>
      <c r="BI195" s="130">
        <f>IF(AQ195&gt;0,(BH195*AE195),0)</f>
        <v>0</v>
      </c>
      <c r="BJ195" s="287">
        <f>+COEF_MTLLOC_INSTALL</f>
        <v>1.1499999999999999</v>
      </c>
      <c r="BK195" s="286">
        <v>0</v>
      </c>
      <c r="BL195" s="130">
        <f>IF(AQ195&gt;0,(BK195*AE195),0)</f>
        <v>0</v>
      </c>
      <c r="BM195" s="287">
        <f>+COEF_MTLAMR_INSTALL</f>
        <v>1.3</v>
      </c>
      <c r="BN195" s="286">
        <v>0</v>
      </c>
      <c r="BO195" s="130">
        <f>IF(AQ195&gt;0,(BN195*AE195),0)</f>
        <v>0</v>
      </c>
      <c r="BP195" s="287">
        <f>+COEF_ST1_INSTALL</f>
        <v>1.1100000000000001</v>
      </c>
      <c r="BQ195" s="286">
        <f>145+75</f>
        <v>220</v>
      </c>
      <c r="BR195" s="130">
        <f>IF(AQ195&gt;0,(BQ195*AE195),0)</f>
        <v>220</v>
      </c>
      <c r="BS195" s="287">
        <f>+COEF_ST2_INSTALL</f>
        <v>1.1100000000000001</v>
      </c>
      <c r="BT195" s="286">
        <v>0</v>
      </c>
      <c r="BU195" s="130">
        <f>IF(AQ195&gt;0,(BT195*AE195),0)</f>
        <v>0</v>
      </c>
      <c r="BV195" s="130">
        <f>+(((AX195)*AV195)+(BB195*BA195)+(BE195*BD195)+(BH195*BG195)+(BK195*BJ195)+(BN195*BM195)+(BQ195*BP195)+(BT195*BS195)+(BT195*BS195))-(AU195)</f>
        <v>24.200000000000017</v>
      </c>
      <c r="BW195" s="130">
        <f>+BV195*AE195</f>
        <v>24.200000000000017</v>
      </c>
      <c r="BX195" s="130">
        <f>AS195-(BW195+BU195+BR195+BO195+BL195+BI195+BF195+BC195+AZ195)</f>
        <v>0</v>
      </c>
      <c r="BY195" s="329"/>
    </row>
    <row r="196" spans="1:80" s="426" customFormat="1">
      <c r="B196" s="261"/>
      <c r="C196" s="237"/>
      <c r="D196" s="397"/>
      <c r="E196" s="433"/>
      <c r="F196" s="369"/>
      <c r="G196" s="431"/>
      <c r="H196" s="365"/>
      <c r="I196" s="365"/>
      <c r="J196" s="365"/>
      <c r="K196" s="365"/>
      <c r="L196" s="365"/>
      <c r="M196" s="365"/>
      <c r="N196" s="365"/>
      <c r="O196" s="365"/>
      <c r="P196" s="365"/>
      <c r="Q196" s="365"/>
      <c r="R196" s="365"/>
      <c r="S196" s="418"/>
      <c r="T196" s="365"/>
      <c r="U196" s="365"/>
      <c r="V196" s="365"/>
      <c r="W196" s="365"/>
      <c r="X196" s="365"/>
      <c r="Y196" s="365"/>
      <c r="Z196" s="365"/>
      <c r="AA196" s="365"/>
      <c r="AB196" s="365"/>
      <c r="AC196" s="365"/>
      <c r="AD196" s="365"/>
      <c r="AE196" s="112"/>
      <c r="AF196" s="366"/>
      <c r="AG196" s="366"/>
      <c r="AH196" s="366"/>
      <c r="AI196" s="366"/>
      <c r="AJ196" s="366"/>
      <c r="AK196" s="366"/>
      <c r="AL196" s="366"/>
      <c r="AM196" s="366"/>
      <c r="AN196" s="366"/>
      <c r="AO196" s="366"/>
      <c r="AP196" s="365"/>
      <c r="AQ196" s="439"/>
      <c r="AR196" s="439"/>
      <c r="AS196" s="440"/>
      <c r="AT196" s="255"/>
      <c r="AU196" s="130"/>
      <c r="AV196" s="285"/>
      <c r="AW196" s="286"/>
      <c r="AX196" s="130"/>
      <c r="AY196" s="130"/>
      <c r="AZ196" s="130"/>
      <c r="BA196" s="285"/>
      <c r="BB196" s="286"/>
      <c r="BC196" s="130"/>
      <c r="BD196" s="285"/>
      <c r="BE196" s="286"/>
      <c r="BF196" s="130"/>
      <c r="BG196" s="285"/>
      <c r="BH196" s="286"/>
      <c r="BI196" s="130"/>
      <c r="BJ196" s="287"/>
      <c r="BK196" s="286"/>
      <c r="BL196" s="130"/>
      <c r="BM196" s="287"/>
      <c r="BN196" s="286"/>
      <c r="BO196" s="130"/>
      <c r="BP196" s="287"/>
      <c r="BQ196" s="286"/>
      <c r="BR196" s="130"/>
      <c r="BS196" s="287"/>
      <c r="BT196" s="286"/>
      <c r="BU196" s="130"/>
      <c r="BV196" s="130"/>
      <c r="BW196" s="130"/>
      <c r="BX196" s="130"/>
      <c r="BY196" s="329"/>
    </row>
    <row r="197" spans="1:80" s="327" customFormat="1" ht="26.25">
      <c r="A197" s="392"/>
      <c r="B197" s="261"/>
      <c r="C197" s="237"/>
      <c r="D197" s="397"/>
      <c r="E197" s="110" t="s">
        <v>255</v>
      </c>
      <c r="F197" s="368" t="s">
        <v>388</v>
      </c>
      <c r="G197" s="431"/>
      <c r="H197" s="276"/>
      <c r="I197" s="276"/>
      <c r="J197" s="276"/>
      <c r="K197" s="276"/>
      <c r="L197" s="276"/>
      <c r="M197" s="276"/>
      <c r="N197" s="276"/>
      <c r="O197" s="276"/>
      <c r="P197" s="276"/>
      <c r="Q197" s="276"/>
      <c r="R197" s="276"/>
      <c r="S197" s="418"/>
      <c r="T197" s="112"/>
      <c r="U197" s="112"/>
      <c r="V197" s="112"/>
      <c r="W197" s="112"/>
      <c r="X197" s="112"/>
      <c r="Y197" s="112"/>
      <c r="Z197" s="112"/>
      <c r="AA197" s="112"/>
      <c r="AB197" s="112"/>
      <c r="AC197" s="112"/>
      <c r="AD197" s="276"/>
      <c r="AE197" s="112"/>
      <c r="AF197" s="129"/>
      <c r="AG197" s="129"/>
      <c r="AH197" s="129"/>
      <c r="AI197" s="129"/>
      <c r="AJ197" s="129"/>
      <c r="AK197" s="129"/>
      <c r="AL197" s="129"/>
      <c r="AM197" s="129"/>
      <c r="AN197" s="129"/>
      <c r="AO197" s="129"/>
      <c r="AP197" s="276"/>
      <c r="AQ197" s="439"/>
      <c r="AR197" s="439"/>
      <c r="AS197" s="440"/>
      <c r="AT197" s="255"/>
      <c r="AU197" s="130"/>
      <c r="AV197" s="285"/>
      <c r="AW197" s="286"/>
      <c r="AX197" s="130"/>
      <c r="AY197" s="130"/>
      <c r="AZ197" s="130"/>
      <c r="BA197" s="285"/>
      <c r="BB197" s="286"/>
      <c r="BC197" s="130"/>
      <c r="BD197" s="285"/>
      <c r="BE197" s="286"/>
      <c r="BF197" s="130"/>
      <c r="BG197" s="285"/>
      <c r="BH197" s="286"/>
      <c r="BI197" s="130"/>
      <c r="BJ197" s="287"/>
      <c r="BK197" s="286"/>
      <c r="BL197" s="130"/>
      <c r="BM197" s="287"/>
      <c r="BN197" s="286"/>
      <c r="BO197" s="130"/>
      <c r="BP197" s="287"/>
      <c r="BQ197" s="286"/>
      <c r="BR197" s="130"/>
      <c r="BS197" s="287"/>
      <c r="BT197" s="286"/>
      <c r="BU197" s="130"/>
      <c r="BV197" s="130"/>
      <c r="BW197" s="130"/>
      <c r="BX197" s="130"/>
      <c r="BY197" s="256"/>
    </row>
    <row r="198" spans="1:80" s="327" customFormat="1" ht="25.5">
      <c r="A198" s="392"/>
      <c r="B198" s="261"/>
      <c r="C198" s="237"/>
      <c r="D198" s="397"/>
      <c r="E198" s="430" t="s">
        <v>256</v>
      </c>
      <c r="F198" s="369" t="s">
        <v>381</v>
      </c>
      <c r="G198" s="431" t="s">
        <v>107</v>
      </c>
      <c r="H198" s="365">
        <f t="shared" ref="H198:O198" si="638">+T198</f>
        <v>0</v>
      </c>
      <c r="I198" s="365">
        <f t="shared" si="638"/>
        <v>0</v>
      </c>
      <c r="J198" s="365">
        <f t="shared" si="638"/>
        <v>0</v>
      </c>
      <c r="K198" s="365">
        <f t="shared" si="638"/>
        <v>0</v>
      </c>
      <c r="L198" s="365">
        <f t="shared" si="638"/>
        <v>0</v>
      </c>
      <c r="M198" s="365">
        <f t="shared" si="638"/>
        <v>0</v>
      </c>
      <c r="N198" s="365">
        <f t="shared" si="638"/>
        <v>16</v>
      </c>
      <c r="O198" s="365">
        <f t="shared" si="638"/>
        <v>0</v>
      </c>
      <c r="P198" s="365">
        <f t="shared" ref="P198:Q205" si="639">+AB198</f>
        <v>0</v>
      </c>
      <c r="Q198" s="365">
        <f t="shared" si="639"/>
        <v>0</v>
      </c>
      <c r="R198" s="365"/>
      <c r="S198" s="418">
        <f>SUM(T198:AC198)</f>
        <v>16</v>
      </c>
      <c r="T198" s="365">
        <f t="shared" ref="T198:AC205" si="640">ROUND(AF198,ARRONDI_QT)</f>
        <v>0</v>
      </c>
      <c r="U198" s="365">
        <f t="shared" si="640"/>
        <v>0</v>
      </c>
      <c r="V198" s="365">
        <f t="shared" si="640"/>
        <v>0</v>
      </c>
      <c r="W198" s="365">
        <f t="shared" si="640"/>
        <v>0</v>
      </c>
      <c r="X198" s="365">
        <f t="shared" si="640"/>
        <v>0</v>
      </c>
      <c r="Y198" s="365">
        <f t="shared" si="640"/>
        <v>0</v>
      </c>
      <c r="Z198" s="365">
        <f t="shared" si="640"/>
        <v>16</v>
      </c>
      <c r="AA198" s="365">
        <f t="shared" si="640"/>
        <v>0</v>
      </c>
      <c r="AB198" s="365">
        <f t="shared" si="640"/>
        <v>0</v>
      </c>
      <c r="AC198" s="365">
        <f t="shared" si="640"/>
        <v>0</v>
      </c>
      <c r="AD198" s="365"/>
      <c r="AE198" s="112">
        <f>ROUND(SUM(AF198:AO198),ARRONDI_QT)</f>
        <v>16</v>
      </c>
      <c r="AF198" s="366">
        <v>0</v>
      </c>
      <c r="AG198" s="366">
        <v>0</v>
      </c>
      <c r="AH198" s="366">
        <v>0</v>
      </c>
      <c r="AI198" s="366">
        <v>0</v>
      </c>
      <c r="AJ198" s="366">
        <v>0</v>
      </c>
      <c r="AK198" s="366">
        <v>0</v>
      </c>
      <c r="AL198" s="366">
        <v>16</v>
      </c>
      <c r="AM198" s="366">
        <v>0</v>
      </c>
      <c r="AN198" s="366">
        <v>0</v>
      </c>
      <c r="AO198" s="366">
        <v>0</v>
      </c>
      <c r="AP198" s="365"/>
      <c r="AQ198" s="439">
        <f>SUM(H198:Q198)</f>
        <v>16</v>
      </c>
      <c r="AR198" s="439">
        <f>ROUND(AU198+BV198,ARRONDI_PU)</f>
        <v>69.664000000000001</v>
      </c>
      <c r="AS198" s="440">
        <f>+AR198*AQ198</f>
        <v>1114.624</v>
      </c>
      <c r="AT198" s="255"/>
      <c r="AU198" s="130">
        <f>+AX198+BB198+BE198+BH198+BK198+BN198+BQ198+BT198</f>
        <v>62.760000000000005</v>
      </c>
      <c r="AV198" s="285">
        <f>+COEF_MO_INSTALL</f>
        <v>1.3</v>
      </c>
      <c r="AW198" s="286">
        <v>0</v>
      </c>
      <c r="AX198" s="130">
        <f>+AW198*TH_INSTALL</f>
        <v>0</v>
      </c>
      <c r="AY198" s="130">
        <f>+AW198*AE198</f>
        <v>0</v>
      </c>
      <c r="AZ198" s="130">
        <f>IF(AQ198&gt;0,(AX198*AE198),0)</f>
        <v>0</v>
      </c>
      <c r="BA198" s="285">
        <f>+COEF_FOUR1_INSTALL</f>
        <v>1.3</v>
      </c>
      <c r="BB198" s="286">
        <v>0</v>
      </c>
      <c r="BC198" s="130">
        <f>IF(AQ198&gt;0,(BB198*AE198),0)</f>
        <v>0</v>
      </c>
      <c r="BD198" s="285">
        <f>+COEF_FOUR2_INSTALL</f>
        <v>1.3</v>
      </c>
      <c r="BE198" s="286">
        <v>0</v>
      </c>
      <c r="BF198" s="130">
        <f>IF(AQ198&gt;0,(BE198*AE198),0)</f>
        <v>0</v>
      </c>
      <c r="BG198" s="285">
        <f>+COEF_FOUR3_INSTALL</f>
        <v>1.3</v>
      </c>
      <c r="BH198" s="286">
        <v>0</v>
      </c>
      <c r="BI198" s="130">
        <f>IF(AQ198&gt;0,(BH198*AE198),0)</f>
        <v>0</v>
      </c>
      <c r="BJ198" s="287">
        <f>+COEF_MTLLOC_INSTALL</f>
        <v>1.1499999999999999</v>
      </c>
      <c r="BK198" s="286">
        <v>0</v>
      </c>
      <c r="BL198" s="130">
        <f>IF(AQ198&gt;0,(BK198*AE198),0)</f>
        <v>0</v>
      </c>
      <c r="BM198" s="287">
        <f>+COEF_MTLAMR_INSTALL</f>
        <v>1.3</v>
      </c>
      <c r="BN198" s="286">
        <v>0</v>
      </c>
      <c r="BO198" s="130">
        <f>IF(AQ198&gt;0,(BN198*AE198),0)</f>
        <v>0</v>
      </c>
      <c r="BP198" s="287">
        <f>+COEF_ST1_INSTALL</f>
        <v>1.1100000000000001</v>
      </c>
      <c r="BQ198" s="286">
        <f>(222/10*0.8)+(25)+(20)</f>
        <v>62.760000000000005</v>
      </c>
      <c r="BR198" s="130">
        <f>IF(AQ198&gt;0,(BQ198*AE198),0)</f>
        <v>1004.1600000000001</v>
      </c>
      <c r="BS198" s="287">
        <f>+COEF_ST2_INSTALL</f>
        <v>1.1100000000000001</v>
      </c>
      <c r="BT198" s="286">
        <v>0</v>
      </c>
      <c r="BU198" s="130">
        <f>IF(AQ198&gt;0,(BT198*AE198),0)</f>
        <v>0</v>
      </c>
      <c r="BV198" s="130">
        <f>+(((AX198)*AV198)+(BB198*BA198)+(BE198*BD198)+(BH198*BG198)+(BK198*BJ198)+(BN198*BM198)+(BQ198*BP198)+(BT198*BS198)+(BT198*BS198))-(AU198)</f>
        <v>6.9036000000000115</v>
      </c>
      <c r="BW198" s="130">
        <f>+BV198*AE198</f>
        <v>110.45760000000018</v>
      </c>
      <c r="BX198" s="130">
        <f>AS198-(BW198+BU198+BR198+BO198+BL198+BI198+BF198+BC198+AZ198)</f>
        <v>6.3999999997577106E-3</v>
      </c>
      <c r="BY198" s="329"/>
    </row>
    <row r="199" spans="1:80" s="426" customFormat="1" ht="25.5">
      <c r="B199" s="261"/>
      <c r="C199" s="237"/>
      <c r="D199" s="397"/>
      <c r="E199" s="430"/>
      <c r="F199" s="369" t="s">
        <v>383</v>
      </c>
      <c r="G199" s="431" t="s">
        <v>107</v>
      </c>
      <c r="H199" s="365">
        <f t="shared" ref="H199" si="641">+T199</f>
        <v>0</v>
      </c>
      <c r="I199" s="365">
        <f t="shared" ref="I199" si="642">+U199</f>
        <v>0</v>
      </c>
      <c r="J199" s="365">
        <f t="shared" ref="J199" si="643">+V199</f>
        <v>0</v>
      </c>
      <c r="K199" s="365">
        <f t="shared" ref="K199" si="644">+W199</f>
        <v>0</v>
      </c>
      <c r="L199" s="365">
        <f t="shared" ref="L199" si="645">+X199</f>
        <v>0</v>
      </c>
      <c r="M199" s="365">
        <f t="shared" ref="M199" si="646">+Y199</f>
        <v>0</v>
      </c>
      <c r="N199" s="365">
        <f t="shared" ref="N199" si="647">+Z199</f>
        <v>11.2</v>
      </c>
      <c r="O199" s="365">
        <f t="shared" ref="O199" si="648">+AA199</f>
        <v>0</v>
      </c>
      <c r="P199" s="365">
        <f t="shared" ref="P199" si="649">+AB199</f>
        <v>0</v>
      </c>
      <c r="Q199" s="365">
        <f t="shared" ref="Q199" si="650">+AC199</f>
        <v>0</v>
      </c>
      <c r="R199" s="365"/>
      <c r="S199" s="418">
        <f>SUM(T199:AC199)</f>
        <v>11.2</v>
      </c>
      <c r="T199" s="365">
        <f t="shared" ref="T199" si="651">ROUND(AF199,ARRONDI_QT)</f>
        <v>0</v>
      </c>
      <c r="U199" s="365">
        <f t="shared" ref="U199" si="652">ROUND(AG199,ARRONDI_QT)</f>
        <v>0</v>
      </c>
      <c r="V199" s="365">
        <f t="shared" ref="V199" si="653">ROUND(AH199,ARRONDI_QT)</f>
        <v>0</v>
      </c>
      <c r="W199" s="365">
        <f t="shared" ref="W199" si="654">ROUND(AI199,ARRONDI_QT)</f>
        <v>0</v>
      </c>
      <c r="X199" s="365">
        <f t="shared" ref="X199" si="655">ROUND(AJ199,ARRONDI_QT)</f>
        <v>0</v>
      </c>
      <c r="Y199" s="365">
        <f t="shared" ref="Y199" si="656">ROUND(AK199,ARRONDI_QT)</f>
        <v>0</v>
      </c>
      <c r="Z199" s="365">
        <f t="shared" ref="Z199" si="657">ROUND(AL199,ARRONDI_QT)</f>
        <v>11.2</v>
      </c>
      <c r="AA199" s="365">
        <f t="shared" ref="AA199" si="658">ROUND(AM199,ARRONDI_QT)</f>
        <v>0</v>
      </c>
      <c r="AB199" s="365">
        <f t="shared" ref="AB199" si="659">ROUND(AN199,ARRONDI_QT)</f>
        <v>0</v>
      </c>
      <c r="AC199" s="365">
        <f t="shared" ref="AC199" si="660">ROUND(AO199,ARRONDI_QT)</f>
        <v>0</v>
      </c>
      <c r="AD199" s="365"/>
      <c r="AE199" s="112">
        <f>ROUND(SUM(AF199:AO199),ARRONDI_QT)</f>
        <v>11.2</v>
      </c>
      <c r="AF199" s="366">
        <v>0</v>
      </c>
      <c r="AG199" s="366">
        <v>0</v>
      </c>
      <c r="AH199" s="366">
        <v>0</v>
      </c>
      <c r="AI199" s="366">
        <v>0</v>
      </c>
      <c r="AJ199" s="366">
        <v>0</v>
      </c>
      <c r="AK199" s="366">
        <v>0</v>
      </c>
      <c r="AL199" s="366">
        <v>11.2</v>
      </c>
      <c r="AM199" s="366">
        <v>0</v>
      </c>
      <c r="AN199" s="366">
        <v>0</v>
      </c>
      <c r="AO199" s="366">
        <v>0</v>
      </c>
      <c r="AP199" s="365"/>
      <c r="AQ199" s="439">
        <f>SUM(H199:Q199)</f>
        <v>11.2</v>
      </c>
      <c r="AR199" s="439">
        <f>ROUND(AU199+BV199,ARRONDI_PU)</f>
        <v>48.085000000000001</v>
      </c>
      <c r="AS199" s="440">
        <f>+AR199*AQ199</f>
        <v>538.55200000000002</v>
      </c>
      <c r="AT199" s="255"/>
      <c r="AU199" s="130">
        <f>+AX199+BB199+BE199+BH199+BK199+BN199+BQ199+BT199</f>
        <v>43.32</v>
      </c>
      <c r="AV199" s="285">
        <f>+COEF_MO_INSTALL</f>
        <v>1.3</v>
      </c>
      <c r="AW199" s="286">
        <v>0</v>
      </c>
      <c r="AX199" s="130">
        <f>+AW199*TH_INSTALL</f>
        <v>0</v>
      </c>
      <c r="AY199" s="130">
        <f>+AW199*AE199</f>
        <v>0</v>
      </c>
      <c r="AZ199" s="130">
        <f>IF(AQ199&gt;0,(AX199*AE199),0)</f>
        <v>0</v>
      </c>
      <c r="BA199" s="285">
        <f>+COEF_FOUR1_INSTALL</f>
        <v>1.3</v>
      </c>
      <c r="BB199" s="286">
        <v>0</v>
      </c>
      <c r="BC199" s="130">
        <f>IF(AQ199&gt;0,(BB199*AE199),0)</f>
        <v>0</v>
      </c>
      <c r="BD199" s="285">
        <f>+COEF_FOUR2_INSTALL</f>
        <v>1.3</v>
      </c>
      <c r="BE199" s="286">
        <v>0</v>
      </c>
      <c r="BF199" s="130">
        <f>IF(AQ199&gt;0,(BE199*AE199),0)</f>
        <v>0</v>
      </c>
      <c r="BG199" s="285">
        <f>+COEF_FOUR3_INSTALL</f>
        <v>1.3</v>
      </c>
      <c r="BH199" s="286">
        <v>0</v>
      </c>
      <c r="BI199" s="130">
        <f>IF(AQ199&gt;0,(BH199*AE199),0)</f>
        <v>0</v>
      </c>
      <c r="BJ199" s="287">
        <f>+COEF_MTLLOC_INSTALL</f>
        <v>1.1499999999999999</v>
      </c>
      <c r="BK199" s="286">
        <v>0</v>
      </c>
      <c r="BL199" s="130">
        <f>IF(AQ199&gt;0,(BK199*AE199),0)</f>
        <v>0</v>
      </c>
      <c r="BM199" s="287">
        <f>+COEF_MTLAMR_INSTALL</f>
        <v>1.3</v>
      </c>
      <c r="BN199" s="286">
        <v>0</v>
      </c>
      <c r="BO199" s="130">
        <f>IF(AQ199&gt;0,(BN199*AE199),0)</f>
        <v>0</v>
      </c>
      <c r="BP199" s="287">
        <f>+COEF_ST1_INSTALL</f>
        <v>1.1100000000000001</v>
      </c>
      <c r="BQ199" s="286">
        <f>(154/10*0.8)+(16)+(15)</f>
        <v>43.32</v>
      </c>
      <c r="BR199" s="130">
        <f>IF(AQ199&gt;0,(BQ199*AE199),0)</f>
        <v>485.18399999999997</v>
      </c>
      <c r="BS199" s="287">
        <f>+COEF_ST2_INSTALL</f>
        <v>1.1100000000000001</v>
      </c>
      <c r="BT199" s="286">
        <v>0</v>
      </c>
      <c r="BU199" s="130">
        <f>IF(AQ199&gt;0,(BT199*AE199),0)</f>
        <v>0</v>
      </c>
      <c r="BV199" s="130">
        <f>+(((AX199)*AV199)+(BB199*BA199)+(BE199*BD199)+(BH199*BG199)+(BK199*BJ199)+(BN199*BM199)+(BQ199*BP199)+(BT199*BS199)+(BT199*BS199))-(AU199)</f>
        <v>4.7652000000000072</v>
      </c>
      <c r="BW199" s="130">
        <f>+BV199*AE199</f>
        <v>53.370240000000081</v>
      </c>
      <c r="BX199" s="130">
        <f>AS199-(BW199+BU199+BR199+BO199+BL199+BI199+BF199+BC199+AZ199)</f>
        <v>-2.2400000000288856E-3</v>
      </c>
      <c r="BY199" s="329"/>
    </row>
    <row r="200" spans="1:80" s="426" customFormat="1" ht="25.5">
      <c r="B200" s="261"/>
      <c r="C200" s="237"/>
      <c r="D200" s="397"/>
      <c r="E200" s="430"/>
      <c r="F200" s="369" t="s">
        <v>389</v>
      </c>
      <c r="G200" s="431" t="s">
        <v>107</v>
      </c>
      <c r="H200" s="365">
        <f t="shared" ref="H200" si="661">+T200</f>
        <v>0</v>
      </c>
      <c r="I200" s="365">
        <f t="shared" ref="I200" si="662">+U200</f>
        <v>0</v>
      </c>
      <c r="J200" s="365">
        <f t="shared" ref="J200" si="663">+V200</f>
        <v>0</v>
      </c>
      <c r="K200" s="365">
        <f t="shared" ref="K200" si="664">+W200</f>
        <v>0</v>
      </c>
      <c r="L200" s="365">
        <f t="shared" ref="L200" si="665">+X200</f>
        <v>0</v>
      </c>
      <c r="M200" s="365">
        <f t="shared" ref="M200" si="666">+Y200</f>
        <v>0</v>
      </c>
      <c r="N200" s="365">
        <f t="shared" ref="N200" si="667">+Z200</f>
        <v>80</v>
      </c>
      <c r="O200" s="365">
        <f t="shared" ref="O200" si="668">+AA200</f>
        <v>0</v>
      </c>
      <c r="P200" s="365">
        <f t="shared" ref="P200" si="669">+AB200</f>
        <v>0</v>
      </c>
      <c r="Q200" s="365">
        <f t="shared" ref="Q200" si="670">+AC200</f>
        <v>0</v>
      </c>
      <c r="R200" s="365"/>
      <c r="S200" s="418">
        <f>SUM(T200:AC200)</f>
        <v>80</v>
      </c>
      <c r="T200" s="365">
        <f t="shared" ref="T200" si="671">ROUND(AF200,ARRONDI_QT)</f>
        <v>0</v>
      </c>
      <c r="U200" s="365">
        <f t="shared" ref="U200" si="672">ROUND(AG200,ARRONDI_QT)</f>
        <v>0</v>
      </c>
      <c r="V200" s="365">
        <f t="shared" ref="V200" si="673">ROUND(AH200,ARRONDI_QT)</f>
        <v>0</v>
      </c>
      <c r="W200" s="365">
        <f t="shared" ref="W200" si="674">ROUND(AI200,ARRONDI_QT)</f>
        <v>0</v>
      </c>
      <c r="X200" s="365">
        <f t="shared" ref="X200" si="675">ROUND(AJ200,ARRONDI_QT)</f>
        <v>0</v>
      </c>
      <c r="Y200" s="365">
        <f t="shared" ref="Y200" si="676">ROUND(AK200,ARRONDI_QT)</f>
        <v>0</v>
      </c>
      <c r="Z200" s="365">
        <f t="shared" ref="Z200" si="677">ROUND(AL200,ARRONDI_QT)</f>
        <v>80</v>
      </c>
      <c r="AA200" s="365">
        <f t="shared" ref="AA200" si="678">ROUND(AM200,ARRONDI_QT)</f>
        <v>0</v>
      </c>
      <c r="AB200" s="365">
        <f t="shared" ref="AB200" si="679">ROUND(AN200,ARRONDI_QT)</f>
        <v>0</v>
      </c>
      <c r="AC200" s="365">
        <f t="shared" ref="AC200" si="680">ROUND(AO200,ARRONDI_QT)</f>
        <v>0</v>
      </c>
      <c r="AD200" s="365"/>
      <c r="AE200" s="112">
        <f>ROUND(SUM(AF200:AO200),ARRONDI_QT)</f>
        <v>80</v>
      </c>
      <c r="AF200" s="366">
        <v>0</v>
      </c>
      <c r="AG200" s="366">
        <v>0</v>
      </c>
      <c r="AH200" s="366">
        <v>0</v>
      </c>
      <c r="AI200" s="366">
        <v>0</v>
      </c>
      <c r="AJ200" s="366">
        <v>0</v>
      </c>
      <c r="AK200" s="366">
        <v>0</v>
      </c>
      <c r="AL200" s="366">
        <v>80</v>
      </c>
      <c r="AM200" s="366">
        <v>0</v>
      </c>
      <c r="AN200" s="366">
        <v>0</v>
      </c>
      <c r="AO200" s="366">
        <v>0</v>
      </c>
      <c r="AP200" s="365"/>
      <c r="AQ200" s="439">
        <f>SUM(H200:Q200)</f>
        <v>80</v>
      </c>
      <c r="AR200" s="439">
        <f>ROUND(AU200+BV200,ARRONDI_PU)</f>
        <v>48.085000000000001</v>
      </c>
      <c r="AS200" s="440">
        <f>+AR200*AQ200</f>
        <v>3846.8</v>
      </c>
      <c r="AT200" s="255"/>
      <c r="AU200" s="130">
        <f>+AX200+BB200+BE200+BH200+BK200+BN200+BQ200+BT200</f>
        <v>43.32</v>
      </c>
      <c r="AV200" s="285">
        <f>+COEF_MO_INSTALL</f>
        <v>1.3</v>
      </c>
      <c r="AW200" s="286">
        <v>0</v>
      </c>
      <c r="AX200" s="130">
        <f>+AW200*TH_INSTALL</f>
        <v>0</v>
      </c>
      <c r="AY200" s="130">
        <f>+AW200*AE200</f>
        <v>0</v>
      </c>
      <c r="AZ200" s="130">
        <f>IF(AQ200&gt;0,(AX200*AE200),0)</f>
        <v>0</v>
      </c>
      <c r="BA200" s="285">
        <f>+COEF_FOUR1_INSTALL</f>
        <v>1.3</v>
      </c>
      <c r="BB200" s="286">
        <v>0</v>
      </c>
      <c r="BC200" s="130">
        <f>IF(AQ200&gt;0,(BB200*AE200),0)</f>
        <v>0</v>
      </c>
      <c r="BD200" s="285">
        <f>+COEF_FOUR2_INSTALL</f>
        <v>1.3</v>
      </c>
      <c r="BE200" s="286">
        <v>0</v>
      </c>
      <c r="BF200" s="130">
        <f>IF(AQ200&gt;0,(BE200*AE200),0)</f>
        <v>0</v>
      </c>
      <c r="BG200" s="285">
        <f>+COEF_FOUR3_INSTALL</f>
        <v>1.3</v>
      </c>
      <c r="BH200" s="286">
        <v>0</v>
      </c>
      <c r="BI200" s="130">
        <f>IF(AQ200&gt;0,(BH200*AE200),0)</f>
        <v>0</v>
      </c>
      <c r="BJ200" s="287">
        <f>+COEF_MTLLOC_INSTALL</f>
        <v>1.1499999999999999</v>
      </c>
      <c r="BK200" s="286">
        <v>0</v>
      </c>
      <c r="BL200" s="130">
        <f>IF(AQ200&gt;0,(BK200*AE200),0)</f>
        <v>0</v>
      </c>
      <c r="BM200" s="287">
        <f>+COEF_MTLAMR_INSTALL</f>
        <v>1.3</v>
      </c>
      <c r="BN200" s="286">
        <v>0</v>
      </c>
      <c r="BO200" s="130">
        <f>IF(AQ200&gt;0,(BN200*AE200),0)</f>
        <v>0</v>
      </c>
      <c r="BP200" s="287">
        <f>+COEF_ST1_INSTALL</f>
        <v>1.1100000000000001</v>
      </c>
      <c r="BQ200" s="286">
        <f>(154/10*0.8)+(16)+(15)</f>
        <v>43.32</v>
      </c>
      <c r="BR200" s="130">
        <f>IF(AQ200&gt;0,(BQ200*AE200),0)</f>
        <v>3465.6</v>
      </c>
      <c r="BS200" s="287">
        <f>+COEF_ST2_INSTALL</f>
        <v>1.1100000000000001</v>
      </c>
      <c r="BT200" s="286">
        <v>0</v>
      </c>
      <c r="BU200" s="130">
        <f>IF(AQ200&gt;0,(BT200*AE200),0)</f>
        <v>0</v>
      </c>
      <c r="BV200" s="130">
        <f>+(((AX200)*AV200)+(BB200*BA200)+(BE200*BD200)+(BH200*BG200)+(BK200*BJ200)+(BN200*BM200)+(BQ200*BP200)+(BT200*BS200)+(BT200*BS200))-(AU200)</f>
        <v>4.7652000000000072</v>
      </c>
      <c r="BW200" s="130">
        <f>+BV200*AE200</f>
        <v>381.21600000000058</v>
      </c>
      <c r="BX200" s="130">
        <f>AS200-(BW200+BU200+BR200+BO200+BL200+BI200+BF200+BC200+AZ200)</f>
        <v>-1.6000000000531145E-2</v>
      </c>
      <c r="BY200" s="329"/>
    </row>
    <row r="201" spans="1:80" s="426" customFormat="1">
      <c r="B201" s="261"/>
      <c r="C201" s="237"/>
      <c r="D201" s="397"/>
      <c r="E201" s="430"/>
      <c r="F201" s="369"/>
      <c r="G201" s="431"/>
      <c r="H201" s="365"/>
      <c r="I201" s="365"/>
      <c r="J201" s="365"/>
      <c r="K201" s="365"/>
      <c r="L201" s="365"/>
      <c r="M201" s="365"/>
      <c r="N201" s="365"/>
      <c r="O201" s="365"/>
      <c r="P201" s="365"/>
      <c r="Q201" s="365"/>
      <c r="R201" s="365"/>
      <c r="S201" s="418"/>
      <c r="T201" s="365"/>
      <c r="U201" s="365"/>
      <c r="V201" s="365"/>
      <c r="W201" s="365"/>
      <c r="X201" s="365"/>
      <c r="Y201" s="365"/>
      <c r="Z201" s="365"/>
      <c r="AA201" s="365"/>
      <c r="AB201" s="365"/>
      <c r="AC201" s="365"/>
      <c r="AD201" s="365"/>
      <c r="AE201" s="112"/>
      <c r="AF201" s="366"/>
      <c r="AG201" s="366"/>
      <c r="AH201" s="366"/>
      <c r="AI201" s="366"/>
      <c r="AJ201" s="366"/>
      <c r="AK201" s="366"/>
      <c r="AL201" s="366"/>
      <c r="AM201" s="366"/>
      <c r="AN201" s="366"/>
      <c r="AO201" s="366"/>
      <c r="AP201" s="365"/>
      <c r="AQ201" s="439"/>
      <c r="AR201" s="439"/>
      <c r="AS201" s="440"/>
      <c r="AT201" s="255"/>
      <c r="AU201" s="130"/>
      <c r="AV201" s="285"/>
      <c r="AW201" s="286"/>
      <c r="AX201" s="130"/>
      <c r="AY201" s="130"/>
      <c r="AZ201" s="130"/>
      <c r="BA201" s="285"/>
      <c r="BB201" s="286"/>
      <c r="BC201" s="130"/>
      <c r="BD201" s="285"/>
      <c r="BE201" s="286"/>
      <c r="BF201" s="130"/>
      <c r="BG201" s="285"/>
      <c r="BH201" s="286"/>
      <c r="BI201" s="130"/>
      <c r="BJ201" s="287"/>
      <c r="BK201" s="286"/>
      <c r="BL201" s="130"/>
      <c r="BM201" s="287"/>
      <c r="BN201" s="286"/>
      <c r="BO201" s="130"/>
      <c r="BP201" s="287"/>
      <c r="BQ201" s="286"/>
      <c r="BR201" s="130"/>
      <c r="BS201" s="287"/>
      <c r="BT201" s="286"/>
      <c r="BU201" s="130"/>
      <c r="BV201" s="130"/>
      <c r="BW201" s="130"/>
      <c r="BX201" s="130"/>
      <c r="BY201" s="329"/>
    </row>
    <row r="202" spans="1:80" s="434" customFormat="1">
      <c r="B202" s="261"/>
      <c r="C202" s="237"/>
      <c r="D202" s="397"/>
      <c r="E202" s="430"/>
      <c r="F202" s="369"/>
      <c r="G202" s="431"/>
      <c r="H202" s="365"/>
      <c r="I202" s="365"/>
      <c r="J202" s="365"/>
      <c r="K202" s="365"/>
      <c r="L202" s="365"/>
      <c r="M202" s="365"/>
      <c r="N202" s="365"/>
      <c r="O202" s="365"/>
      <c r="P202" s="365"/>
      <c r="Q202" s="365"/>
      <c r="R202" s="365"/>
      <c r="S202" s="418"/>
      <c r="T202" s="365"/>
      <c r="U202" s="365"/>
      <c r="V202" s="365"/>
      <c r="W202" s="365"/>
      <c r="X202" s="365"/>
      <c r="Y202" s="365"/>
      <c r="Z202" s="365"/>
      <c r="AA202" s="365"/>
      <c r="AB202" s="365"/>
      <c r="AC202" s="365"/>
      <c r="AD202" s="365"/>
      <c r="AE202" s="112"/>
      <c r="AF202" s="366"/>
      <c r="AG202" s="366"/>
      <c r="AH202" s="366"/>
      <c r="AI202" s="366"/>
      <c r="AJ202" s="366"/>
      <c r="AK202" s="366"/>
      <c r="AL202" s="366"/>
      <c r="AM202" s="366"/>
      <c r="AN202" s="366"/>
      <c r="AO202" s="366"/>
      <c r="AP202" s="365"/>
      <c r="AQ202" s="439"/>
      <c r="AR202" s="439"/>
      <c r="AS202" s="440"/>
      <c r="AT202" s="255"/>
      <c r="AU202" s="130"/>
      <c r="AV202" s="285"/>
      <c r="AW202" s="286"/>
      <c r="AX202" s="130"/>
      <c r="AY202" s="130"/>
      <c r="AZ202" s="130"/>
      <c r="BA202" s="285"/>
      <c r="BB202" s="286"/>
      <c r="BC202" s="130"/>
      <c r="BD202" s="285"/>
      <c r="BE202" s="286"/>
      <c r="BF202" s="130"/>
      <c r="BG202" s="285"/>
      <c r="BH202" s="286"/>
      <c r="BI202" s="130"/>
      <c r="BJ202" s="287"/>
      <c r="BK202" s="286"/>
      <c r="BL202" s="130"/>
      <c r="BM202" s="287"/>
      <c r="BN202" s="286"/>
      <c r="BO202" s="130"/>
      <c r="BP202" s="287"/>
      <c r="BQ202" s="286"/>
      <c r="BR202" s="130"/>
      <c r="BS202" s="287"/>
      <c r="BT202" s="286"/>
      <c r="BU202" s="130"/>
      <c r="BV202" s="130"/>
      <c r="BW202" s="130"/>
      <c r="BX202" s="130"/>
      <c r="BY202" s="329"/>
    </row>
    <row r="203" spans="1:80" s="434" customFormat="1">
      <c r="B203" s="261"/>
      <c r="C203" s="237"/>
      <c r="D203" s="397"/>
      <c r="E203" s="430"/>
      <c r="F203" s="369"/>
      <c r="G203" s="431"/>
      <c r="H203" s="365"/>
      <c r="I203" s="365"/>
      <c r="J203" s="365"/>
      <c r="K203" s="365"/>
      <c r="L203" s="365"/>
      <c r="M203" s="365"/>
      <c r="N203" s="365"/>
      <c r="O203" s="365"/>
      <c r="P203" s="365"/>
      <c r="Q203" s="365"/>
      <c r="R203" s="365"/>
      <c r="S203" s="418"/>
      <c r="T203" s="365"/>
      <c r="U203" s="365"/>
      <c r="V203" s="365"/>
      <c r="W203" s="365"/>
      <c r="X203" s="365"/>
      <c r="Y203" s="365"/>
      <c r="Z203" s="365"/>
      <c r="AA203" s="365"/>
      <c r="AB203" s="365"/>
      <c r="AC203" s="365"/>
      <c r="AD203" s="365"/>
      <c r="AE203" s="112"/>
      <c r="AF203" s="366"/>
      <c r="AG203" s="366"/>
      <c r="AH203" s="366"/>
      <c r="AI203" s="366"/>
      <c r="AJ203" s="366"/>
      <c r="AK203" s="366"/>
      <c r="AL203" s="366"/>
      <c r="AM203" s="366"/>
      <c r="AN203" s="366"/>
      <c r="AO203" s="366"/>
      <c r="AP203" s="365"/>
      <c r="AQ203" s="439"/>
      <c r="AR203" s="439"/>
      <c r="AS203" s="440"/>
      <c r="AT203" s="255"/>
      <c r="AU203" s="130"/>
      <c r="AV203" s="285"/>
      <c r="AW203" s="286"/>
      <c r="AX203" s="130"/>
      <c r="AY203" s="130"/>
      <c r="AZ203" s="130"/>
      <c r="BA203" s="285"/>
      <c r="BB203" s="286"/>
      <c r="BC203" s="130"/>
      <c r="BD203" s="285"/>
      <c r="BE203" s="286"/>
      <c r="BF203" s="130"/>
      <c r="BG203" s="285"/>
      <c r="BH203" s="286"/>
      <c r="BI203" s="130"/>
      <c r="BJ203" s="287"/>
      <c r="BK203" s="286"/>
      <c r="BL203" s="130"/>
      <c r="BM203" s="287"/>
      <c r="BN203" s="286"/>
      <c r="BO203" s="130"/>
      <c r="BP203" s="287"/>
      <c r="BQ203" s="286"/>
      <c r="BR203" s="130"/>
      <c r="BS203" s="287"/>
      <c r="BT203" s="286"/>
      <c r="BU203" s="130"/>
      <c r="BV203" s="130"/>
      <c r="BW203" s="130"/>
      <c r="BX203" s="130"/>
      <c r="BY203" s="329"/>
    </row>
    <row r="204" spans="1:80" s="426" customFormat="1">
      <c r="B204" s="261"/>
      <c r="C204" s="237"/>
      <c r="D204" s="397"/>
      <c r="E204" s="430"/>
      <c r="F204" s="369"/>
      <c r="G204" s="431"/>
      <c r="H204" s="365"/>
      <c r="I204" s="365"/>
      <c r="J204" s="365"/>
      <c r="K204" s="365"/>
      <c r="L204" s="365"/>
      <c r="M204" s="365"/>
      <c r="N204" s="365"/>
      <c r="O204" s="365"/>
      <c r="P204" s="365"/>
      <c r="Q204" s="365"/>
      <c r="R204" s="365"/>
      <c r="S204" s="418"/>
      <c r="T204" s="365"/>
      <c r="U204" s="365"/>
      <c r="V204" s="365"/>
      <c r="W204" s="365"/>
      <c r="X204" s="365"/>
      <c r="Y204" s="365"/>
      <c r="Z204" s="365"/>
      <c r="AA204" s="365"/>
      <c r="AB204" s="365"/>
      <c r="AC204" s="365"/>
      <c r="AD204" s="365"/>
      <c r="AE204" s="112"/>
      <c r="AF204" s="366"/>
      <c r="AG204" s="366"/>
      <c r="AH204" s="366"/>
      <c r="AI204" s="366"/>
      <c r="AJ204" s="366"/>
      <c r="AK204" s="366"/>
      <c r="AL204" s="366"/>
      <c r="AM204" s="366"/>
      <c r="AN204" s="366"/>
      <c r="AO204" s="366"/>
      <c r="AP204" s="365"/>
      <c r="AQ204" s="439"/>
      <c r="AR204" s="439"/>
      <c r="AS204" s="440"/>
      <c r="AT204" s="255"/>
      <c r="AU204" s="130"/>
      <c r="AV204" s="285"/>
      <c r="AW204" s="286"/>
      <c r="AX204" s="130"/>
      <c r="AY204" s="130"/>
      <c r="AZ204" s="130"/>
      <c r="BA204" s="285"/>
      <c r="BB204" s="286"/>
      <c r="BC204" s="130"/>
      <c r="BD204" s="285"/>
      <c r="BE204" s="286"/>
      <c r="BF204" s="130"/>
      <c r="BG204" s="285"/>
      <c r="BH204" s="286"/>
      <c r="BI204" s="130"/>
      <c r="BJ204" s="287"/>
      <c r="BK204" s="286"/>
      <c r="BL204" s="130"/>
      <c r="BM204" s="287"/>
      <c r="BN204" s="286"/>
      <c r="BO204" s="130"/>
      <c r="BP204" s="287"/>
      <c r="BQ204" s="286"/>
      <c r="BR204" s="130"/>
      <c r="BS204" s="287"/>
      <c r="BT204" s="286"/>
      <c r="BU204" s="130"/>
      <c r="BV204" s="130"/>
      <c r="BW204" s="130"/>
      <c r="BX204" s="130"/>
      <c r="BY204" s="329"/>
    </row>
    <row r="205" spans="1:80" s="327" customFormat="1" ht="115.5">
      <c r="A205" s="392"/>
      <c r="B205" s="261"/>
      <c r="C205" s="237"/>
      <c r="D205" s="397"/>
      <c r="E205" s="430" t="s">
        <v>257</v>
      </c>
      <c r="F205" s="368" t="s">
        <v>382</v>
      </c>
      <c r="G205" s="431" t="s">
        <v>33</v>
      </c>
      <c r="H205" s="365">
        <f t="shared" ref="H205:O205" si="681">+T205</f>
        <v>0</v>
      </c>
      <c r="I205" s="365">
        <f t="shared" si="681"/>
        <v>0</v>
      </c>
      <c r="J205" s="365">
        <f t="shared" si="681"/>
        <v>0</v>
      </c>
      <c r="K205" s="365">
        <f t="shared" si="681"/>
        <v>0</v>
      </c>
      <c r="L205" s="365">
        <f t="shared" si="681"/>
        <v>0</v>
      </c>
      <c r="M205" s="365">
        <f t="shared" si="681"/>
        <v>0</v>
      </c>
      <c r="N205" s="365">
        <f t="shared" si="681"/>
        <v>1</v>
      </c>
      <c r="O205" s="365">
        <f t="shared" si="681"/>
        <v>0</v>
      </c>
      <c r="P205" s="365">
        <f t="shared" si="639"/>
        <v>0</v>
      </c>
      <c r="Q205" s="365">
        <f t="shared" si="639"/>
        <v>0</v>
      </c>
      <c r="R205" s="365"/>
      <c r="S205" s="418">
        <f>SUM(T205:AC205)</f>
        <v>1</v>
      </c>
      <c r="T205" s="365">
        <f t="shared" si="640"/>
        <v>0</v>
      </c>
      <c r="U205" s="365">
        <f t="shared" si="640"/>
        <v>0</v>
      </c>
      <c r="V205" s="365">
        <f t="shared" si="640"/>
        <v>0</v>
      </c>
      <c r="W205" s="365">
        <f t="shared" si="640"/>
        <v>0</v>
      </c>
      <c r="X205" s="365">
        <f t="shared" si="640"/>
        <v>0</v>
      </c>
      <c r="Y205" s="365">
        <f t="shared" si="640"/>
        <v>0</v>
      </c>
      <c r="Z205" s="365">
        <f t="shared" si="640"/>
        <v>1</v>
      </c>
      <c r="AA205" s="365">
        <f t="shared" si="640"/>
        <v>0</v>
      </c>
      <c r="AB205" s="365">
        <f t="shared" si="640"/>
        <v>0</v>
      </c>
      <c r="AC205" s="365">
        <f t="shared" si="640"/>
        <v>0</v>
      </c>
      <c r="AD205" s="365"/>
      <c r="AE205" s="112">
        <f>ROUND(SUM(AF205:AO205),ARRONDI_QT)</f>
        <v>1</v>
      </c>
      <c r="AF205" s="366">
        <v>0</v>
      </c>
      <c r="AG205" s="366">
        <v>0</v>
      </c>
      <c r="AH205" s="366">
        <v>0</v>
      </c>
      <c r="AI205" s="366">
        <v>0</v>
      </c>
      <c r="AJ205" s="366">
        <v>0</v>
      </c>
      <c r="AK205" s="366">
        <v>0</v>
      </c>
      <c r="AL205" s="366">
        <v>1</v>
      </c>
      <c r="AM205" s="366">
        <v>0</v>
      </c>
      <c r="AN205" s="366">
        <v>0</v>
      </c>
      <c r="AO205" s="366">
        <v>0</v>
      </c>
      <c r="AP205" s="365"/>
      <c r="AQ205" s="439">
        <f>SUM(H205:Q205)</f>
        <v>1</v>
      </c>
      <c r="AR205" s="439">
        <f>ROUND(AU205+BV205,ARRONDI_PU)</f>
        <v>688.221</v>
      </c>
      <c r="AS205" s="440">
        <f>+AR205*AQ205</f>
        <v>688.221</v>
      </c>
      <c r="AT205" s="255"/>
      <c r="AU205" s="130">
        <f>+AX205+BB205+BE205+BH205+BK205+BN205+BQ205+BT205</f>
        <v>620.01919999999996</v>
      </c>
      <c r="AV205" s="285">
        <f>+COEF_MO_INSTALL</f>
        <v>1.3</v>
      </c>
      <c r="AW205" s="286">
        <v>0</v>
      </c>
      <c r="AX205" s="130">
        <f>+AW205*TH_INSTALL</f>
        <v>0</v>
      </c>
      <c r="AY205" s="130">
        <f>+AW205*AE205</f>
        <v>0</v>
      </c>
      <c r="AZ205" s="130">
        <f>IF(AQ205&gt;0,(AX205*AE205),0)</f>
        <v>0</v>
      </c>
      <c r="BA205" s="285">
        <f>+COEF_FOUR1_INSTALL</f>
        <v>1.3</v>
      </c>
      <c r="BB205" s="286">
        <v>0</v>
      </c>
      <c r="BC205" s="130">
        <f>IF(AQ205&gt;0,(BB205*AE205),0)</f>
        <v>0</v>
      </c>
      <c r="BD205" s="285">
        <f>+COEF_FOUR2_INSTALL</f>
        <v>1.3</v>
      </c>
      <c r="BE205" s="286">
        <v>0</v>
      </c>
      <c r="BF205" s="130">
        <f>IF(AQ205&gt;0,(BE205*AE205),0)</f>
        <v>0</v>
      </c>
      <c r="BG205" s="285">
        <f>+COEF_FOUR3_INSTALL</f>
        <v>1.3</v>
      </c>
      <c r="BH205" s="286">
        <v>0</v>
      </c>
      <c r="BI205" s="130">
        <f>IF(AQ205&gt;0,(BH205*AE205),0)</f>
        <v>0</v>
      </c>
      <c r="BJ205" s="287">
        <f>+COEF_MTLLOC_INSTALL</f>
        <v>1.1499999999999999</v>
      </c>
      <c r="BK205" s="286">
        <v>0</v>
      </c>
      <c r="BL205" s="130">
        <f>IF(AQ205&gt;0,(BK205*AE205),0)</f>
        <v>0</v>
      </c>
      <c r="BM205" s="287">
        <f>+COEF_MTLAMR_INSTALL</f>
        <v>1.3</v>
      </c>
      <c r="BN205" s="286">
        <v>0</v>
      </c>
      <c r="BO205" s="130">
        <f>IF(AQ205&gt;0,(BN205*AE205),0)</f>
        <v>0</v>
      </c>
      <c r="BP205" s="287">
        <f>+COEF_ST1_INSTALL</f>
        <v>1.1100000000000001</v>
      </c>
      <c r="BQ205" s="286">
        <f>(406.28*0.8*0.8)+90+60+210</f>
        <v>620.01919999999996</v>
      </c>
      <c r="BR205" s="130">
        <f>IF(AQ205&gt;0,(BQ205*AE205),0)</f>
        <v>620.01919999999996</v>
      </c>
      <c r="BS205" s="287">
        <f>+COEF_ST2_INSTALL</f>
        <v>1.1100000000000001</v>
      </c>
      <c r="BT205" s="286">
        <v>0</v>
      </c>
      <c r="BU205" s="130">
        <f>IF(AQ205&gt;0,(BT205*AE205),0)</f>
        <v>0</v>
      </c>
      <c r="BV205" s="130">
        <f>+(((AX205)*AV205)+(BB205*BA205)+(BE205*BD205)+(BH205*BG205)+(BK205*BJ205)+(BN205*BM205)+(BQ205*BP205)+(BT205*BS205)+(BT205*BS205))-(AU205)</f>
        <v>68.202112000000056</v>
      </c>
      <c r="BW205" s="130">
        <f>+BV205*AE205</f>
        <v>68.202112000000056</v>
      </c>
      <c r="BX205" s="130">
        <f>AS205-(BW205+BU205+BR205+BO205+BL205+BI205+BF205+BC205+AZ205)</f>
        <v>-3.1200000000808359E-4</v>
      </c>
      <c r="BY205" s="329"/>
    </row>
    <row r="206" spans="1:80" s="327" customFormat="1">
      <c r="A206" s="392"/>
      <c r="B206" s="261"/>
      <c r="C206" s="237"/>
      <c r="D206" s="397"/>
      <c r="E206" s="110"/>
      <c r="F206" s="127"/>
      <c r="G206" s="431"/>
      <c r="H206" s="276"/>
      <c r="I206" s="276"/>
      <c r="J206" s="276"/>
      <c r="K206" s="276"/>
      <c r="L206" s="276"/>
      <c r="M206" s="276"/>
      <c r="N206" s="276"/>
      <c r="O206" s="276"/>
      <c r="P206" s="276"/>
      <c r="Q206" s="276"/>
      <c r="R206" s="276"/>
      <c r="S206" s="418"/>
      <c r="T206" s="112"/>
      <c r="U206" s="112"/>
      <c r="V206" s="112"/>
      <c r="W206" s="112"/>
      <c r="X206" s="112"/>
      <c r="Y206" s="112"/>
      <c r="Z206" s="112"/>
      <c r="AA206" s="112"/>
      <c r="AB206" s="112"/>
      <c r="AC206" s="112"/>
      <c r="AD206" s="276"/>
      <c r="AE206" s="112"/>
      <c r="AF206" s="129"/>
      <c r="AG206" s="129"/>
      <c r="AH206" s="129"/>
      <c r="AI206" s="129"/>
      <c r="AJ206" s="129"/>
      <c r="AK206" s="129"/>
      <c r="AL206" s="129"/>
      <c r="AM206" s="129"/>
      <c r="AN206" s="129"/>
      <c r="AO206" s="129"/>
      <c r="AP206" s="276"/>
      <c r="AQ206" s="439"/>
      <c r="AR206" s="439"/>
      <c r="AS206" s="440"/>
      <c r="AT206" s="255"/>
      <c r="AU206" s="130"/>
      <c r="AV206" s="285"/>
      <c r="AW206" s="286"/>
      <c r="AX206" s="130"/>
      <c r="AY206" s="130"/>
      <c r="AZ206" s="130"/>
      <c r="BA206" s="285"/>
      <c r="BB206" s="286"/>
      <c r="BC206" s="130"/>
      <c r="BD206" s="285"/>
      <c r="BE206" s="286"/>
      <c r="BF206" s="130"/>
      <c r="BG206" s="285"/>
      <c r="BH206" s="286"/>
      <c r="BI206" s="130"/>
      <c r="BJ206" s="287"/>
      <c r="BK206" s="286"/>
      <c r="BL206" s="130"/>
      <c r="BM206" s="287"/>
      <c r="BN206" s="286"/>
      <c r="BO206" s="130"/>
      <c r="BP206" s="287"/>
      <c r="BQ206" s="286"/>
      <c r="BR206" s="130"/>
      <c r="BS206" s="287"/>
      <c r="BT206" s="286"/>
      <c r="BU206" s="130"/>
      <c r="BV206" s="130"/>
      <c r="BW206" s="130"/>
      <c r="BX206" s="130"/>
      <c r="BY206" s="256"/>
    </row>
    <row r="207" spans="1:80" s="327" customFormat="1">
      <c r="A207" s="392"/>
      <c r="B207" s="261"/>
      <c r="C207" s="237"/>
      <c r="D207" s="397"/>
      <c r="E207" s="110" t="s">
        <v>258</v>
      </c>
      <c r="F207" s="127" t="s">
        <v>259</v>
      </c>
      <c r="G207" s="431"/>
      <c r="H207" s="276"/>
      <c r="I207" s="276"/>
      <c r="J207" s="276"/>
      <c r="K207" s="276"/>
      <c r="L207" s="276"/>
      <c r="M207" s="276"/>
      <c r="N207" s="276"/>
      <c r="O207" s="276"/>
      <c r="P207" s="276"/>
      <c r="Q207" s="276"/>
      <c r="R207" s="276"/>
      <c r="S207" s="418"/>
      <c r="T207" s="112"/>
      <c r="U207" s="112"/>
      <c r="V207" s="112"/>
      <c r="W207" s="112"/>
      <c r="X207" s="112"/>
      <c r="Y207" s="112"/>
      <c r="Z207" s="112"/>
      <c r="AA207" s="112"/>
      <c r="AB207" s="112"/>
      <c r="AC207" s="112"/>
      <c r="AD207" s="276"/>
      <c r="AE207" s="112"/>
      <c r="AF207" s="129"/>
      <c r="AG207" s="129"/>
      <c r="AH207" s="129"/>
      <c r="AI207" s="129"/>
      <c r="AJ207" s="129"/>
      <c r="AK207" s="129"/>
      <c r="AL207" s="129"/>
      <c r="AM207" s="129"/>
      <c r="AN207" s="129"/>
      <c r="AO207" s="129"/>
      <c r="AP207" s="276"/>
      <c r="AQ207" s="439"/>
      <c r="AR207" s="439"/>
      <c r="AS207" s="440"/>
      <c r="AT207" s="255"/>
      <c r="AU207" s="130"/>
      <c r="AV207" s="285"/>
      <c r="AW207" s="286"/>
      <c r="AX207" s="130"/>
      <c r="AY207" s="130"/>
      <c r="AZ207" s="130"/>
      <c r="BA207" s="285"/>
      <c r="BB207" s="286"/>
      <c r="BC207" s="130"/>
      <c r="BD207" s="285"/>
      <c r="BE207" s="286"/>
      <c r="BF207" s="130"/>
      <c r="BG207" s="285"/>
      <c r="BH207" s="286"/>
      <c r="BI207" s="130"/>
      <c r="BJ207" s="287"/>
      <c r="BK207" s="286"/>
      <c r="BL207" s="130"/>
      <c r="BM207" s="287"/>
      <c r="BN207" s="286"/>
      <c r="BO207" s="130"/>
      <c r="BP207" s="287"/>
      <c r="BQ207" s="286"/>
      <c r="BR207" s="130"/>
      <c r="BS207" s="287"/>
      <c r="BT207" s="286"/>
      <c r="BU207" s="130"/>
      <c r="BV207" s="130"/>
      <c r="BW207" s="130"/>
      <c r="BX207" s="130"/>
      <c r="BY207" s="256"/>
    </row>
    <row r="208" spans="1:80" s="327" customFormat="1" ht="102.75">
      <c r="A208" s="392"/>
      <c r="B208" s="261"/>
      <c r="C208" s="237"/>
      <c r="D208" s="397"/>
      <c r="E208" s="430" t="s">
        <v>260</v>
      </c>
      <c r="F208" s="368" t="s">
        <v>386</v>
      </c>
      <c r="G208" s="431" t="s">
        <v>105</v>
      </c>
      <c r="H208" s="365">
        <f t="shared" ref="H208:O209" si="682">+T208</f>
        <v>0</v>
      </c>
      <c r="I208" s="365">
        <f t="shared" si="682"/>
        <v>0</v>
      </c>
      <c r="J208" s="365">
        <f t="shared" si="682"/>
        <v>0</v>
      </c>
      <c r="K208" s="365">
        <f t="shared" si="682"/>
        <v>0</v>
      </c>
      <c r="L208" s="365">
        <f t="shared" si="682"/>
        <v>0</v>
      </c>
      <c r="M208" s="365">
        <f t="shared" si="682"/>
        <v>0</v>
      </c>
      <c r="N208" s="365">
        <f t="shared" si="682"/>
        <v>1</v>
      </c>
      <c r="O208" s="365">
        <f t="shared" si="682"/>
        <v>0</v>
      </c>
      <c r="P208" s="365">
        <f t="shared" ref="P208:Q209" si="683">+AB208</f>
        <v>0</v>
      </c>
      <c r="Q208" s="365">
        <f t="shared" si="683"/>
        <v>0</v>
      </c>
      <c r="R208" s="365"/>
      <c r="S208" s="418">
        <f>SUM(T208:AC208)</f>
        <v>1</v>
      </c>
      <c r="T208" s="365">
        <f t="shared" ref="T208:AC209" si="684">ROUND(AF208,ARRONDI_QT)</f>
        <v>0</v>
      </c>
      <c r="U208" s="365">
        <f t="shared" si="684"/>
        <v>0</v>
      </c>
      <c r="V208" s="365">
        <f t="shared" si="684"/>
        <v>0</v>
      </c>
      <c r="W208" s="365">
        <f t="shared" si="684"/>
        <v>0</v>
      </c>
      <c r="X208" s="365">
        <f t="shared" si="684"/>
        <v>0</v>
      </c>
      <c r="Y208" s="365">
        <f t="shared" si="684"/>
        <v>0</v>
      </c>
      <c r="Z208" s="365">
        <f t="shared" si="684"/>
        <v>1</v>
      </c>
      <c r="AA208" s="365">
        <f t="shared" si="684"/>
        <v>0</v>
      </c>
      <c r="AB208" s="365">
        <f t="shared" si="684"/>
        <v>0</v>
      </c>
      <c r="AC208" s="365">
        <f t="shared" si="684"/>
        <v>0</v>
      </c>
      <c r="AD208" s="365"/>
      <c r="AE208" s="112">
        <f>ROUND(SUM(AF208:AO208),ARRONDI_QT)</f>
        <v>1</v>
      </c>
      <c r="AF208" s="366">
        <v>0</v>
      </c>
      <c r="AG208" s="366">
        <v>0</v>
      </c>
      <c r="AH208" s="366">
        <v>0</v>
      </c>
      <c r="AI208" s="366">
        <v>0</v>
      </c>
      <c r="AJ208" s="366">
        <v>0</v>
      </c>
      <c r="AK208" s="366">
        <v>0</v>
      </c>
      <c r="AL208" s="366">
        <v>1</v>
      </c>
      <c r="AM208" s="366">
        <v>0</v>
      </c>
      <c r="AN208" s="366">
        <v>0</v>
      </c>
      <c r="AO208" s="366">
        <v>0</v>
      </c>
      <c r="AP208" s="365"/>
      <c r="AQ208" s="439">
        <f>SUM(H208:Q208)</f>
        <v>1</v>
      </c>
      <c r="AR208" s="439">
        <f>ROUND(AU208+BV208,ARRONDI_PU)</f>
        <v>2697.3</v>
      </c>
      <c r="AS208" s="440">
        <f>+AR208*AQ208</f>
        <v>2697.3</v>
      </c>
      <c r="AT208" s="255"/>
      <c r="AU208" s="130">
        <f>+AX208+BB208+BE208+BH208+BK208+BN208+BQ208+BT208</f>
        <v>2430</v>
      </c>
      <c r="AV208" s="285">
        <f>+COEF_MO_INSTALL</f>
        <v>1.3</v>
      </c>
      <c r="AW208" s="286">
        <v>0</v>
      </c>
      <c r="AX208" s="130">
        <f>+AW208*TH_INSTALL</f>
        <v>0</v>
      </c>
      <c r="AY208" s="130">
        <f>+AW208*AE208</f>
        <v>0</v>
      </c>
      <c r="AZ208" s="130">
        <f>IF(AQ208&gt;0,(AX208*AE208),0)</f>
        <v>0</v>
      </c>
      <c r="BA208" s="285">
        <f>+COEF_FOUR1_INSTALL</f>
        <v>1.3</v>
      </c>
      <c r="BB208" s="286">
        <v>0</v>
      </c>
      <c r="BC208" s="130">
        <f>IF(AQ208&gt;0,(BB208*AE208),0)</f>
        <v>0</v>
      </c>
      <c r="BD208" s="285">
        <f>+COEF_FOUR2_INSTALL</f>
        <v>1.3</v>
      </c>
      <c r="BE208" s="286">
        <v>0</v>
      </c>
      <c r="BF208" s="130">
        <f>IF(AQ208&gt;0,(BE208*AE208),0)</f>
        <v>0</v>
      </c>
      <c r="BG208" s="285">
        <f>+COEF_FOUR3_INSTALL</f>
        <v>1.3</v>
      </c>
      <c r="BH208" s="286">
        <v>0</v>
      </c>
      <c r="BI208" s="130">
        <f>IF(AQ208&gt;0,(BH208*AE208),0)</f>
        <v>0</v>
      </c>
      <c r="BJ208" s="287">
        <f>+COEF_MTLLOC_INSTALL</f>
        <v>1.1499999999999999</v>
      </c>
      <c r="BK208" s="286">
        <v>0</v>
      </c>
      <c r="BL208" s="130">
        <f>IF(AQ208&gt;0,(BK208*AE208),0)</f>
        <v>0</v>
      </c>
      <c r="BM208" s="287">
        <f>+COEF_MTLAMR_INSTALL</f>
        <v>1.3</v>
      </c>
      <c r="BN208" s="286">
        <v>0</v>
      </c>
      <c r="BO208" s="130">
        <f>IF(AQ208&gt;0,(BN208*AE208),0)</f>
        <v>0</v>
      </c>
      <c r="BP208" s="287">
        <f>+COEF_ST1_INSTALL</f>
        <v>1.1100000000000001</v>
      </c>
      <c r="BQ208" s="286">
        <f>((20-2)*135)</f>
        <v>2430</v>
      </c>
      <c r="BR208" s="130">
        <f>IF(AQ208&gt;0,(BQ208*AE208),0)</f>
        <v>2430</v>
      </c>
      <c r="BS208" s="287">
        <f>+COEF_ST2_INSTALL</f>
        <v>1.1100000000000001</v>
      </c>
      <c r="BT208" s="286">
        <v>0</v>
      </c>
      <c r="BU208" s="130">
        <f>IF(AQ208&gt;0,(BT208*AE208),0)</f>
        <v>0</v>
      </c>
      <c r="BV208" s="130">
        <f>+(((AX208)*AV208)+(BB208*BA208)+(BE208*BD208)+(BH208*BG208)+(BK208*BJ208)+(BN208*BM208)+(BQ208*BP208)+(BT208*BS208)+(BT208*BS208))-(AU208)</f>
        <v>267.30000000000018</v>
      </c>
      <c r="BW208" s="130">
        <f>+BV208*AE208</f>
        <v>267.30000000000018</v>
      </c>
      <c r="BX208" s="130">
        <f>AS208-(BW208+BU208+BR208+BO208+BL208+BI208+BF208+BC208+AZ208)</f>
        <v>0</v>
      </c>
      <c r="BY208" s="329"/>
    </row>
    <row r="209" spans="1:79" s="327" customFormat="1">
      <c r="A209" s="392"/>
      <c r="B209" s="261"/>
      <c r="C209" s="237"/>
      <c r="D209" s="397"/>
      <c r="E209" s="110"/>
      <c r="F209" s="127" t="s">
        <v>266</v>
      </c>
      <c r="G209" s="431" t="s">
        <v>33</v>
      </c>
      <c r="H209" s="365">
        <f t="shared" si="682"/>
        <v>0</v>
      </c>
      <c r="I209" s="365">
        <f t="shared" si="682"/>
        <v>0</v>
      </c>
      <c r="J209" s="365">
        <f t="shared" si="682"/>
        <v>0</v>
      </c>
      <c r="K209" s="365">
        <f t="shared" si="682"/>
        <v>0</v>
      </c>
      <c r="L209" s="365">
        <f t="shared" si="682"/>
        <v>0</v>
      </c>
      <c r="M209" s="365">
        <f t="shared" si="682"/>
        <v>0</v>
      </c>
      <c r="N209" s="365">
        <f t="shared" si="682"/>
        <v>2</v>
      </c>
      <c r="O209" s="365">
        <f t="shared" si="682"/>
        <v>0</v>
      </c>
      <c r="P209" s="365">
        <f t="shared" si="683"/>
        <v>0</v>
      </c>
      <c r="Q209" s="365">
        <f t="shared" si="683"/>
        <v>0</v>
      </c>
      <c r="R209" s="365"/>
      <c r="S209" s="418">
        <f>SUM(T209:AC209)</f>
        <v>2</v>
      </c>
      <c r="T209" s="365">
        <f t="shared" si="684"/>
        <v>0</v>
      </c>
      <c r="U209" s="365">
        <f t="shared" si="684"/>
        <v>0</v>
      </c>
      <c r="V209" s="365">
        <f t="shared" si="684"/>
        <v>0</v>
      </c>
      <c r="W209" s="365">
        <f t="shared" si="684"/>
        <v>0</v>
      </c>
      <c r="X209" s="365">
        <f t="shared" si="684"/>
        <v>0</v>
      </c>
      <c r="Y209" s="365">
        <f t="shared" si="684"/>
        <v>0</v>
      </c>
      <c r="Z209" s="365">
        <f t="shared" si="684"/>
        <v>2</v>
      </c>
      <c r="AA209" s="365">
        <f t="shared" si="684"/>
        <v>0</v>
      </c>
      <c r="AB209" s="365">
        <f t="shared" si="684"/>
        <v>0</v>
      </c>
      <c r="AC209" s="365">
        <f t="shared" si="684"/>
        <v>0</v>
      </c>
      <c r="AD209" s="365"/>
      <c r="AE209" s="112">
        <f>ROUND(SUM(AF209:AO209),ARRONDI_QT)</f>
        <v>2</v>
      </c>
      <c r="AF209" s="366">
        <v>0</v>
      </c>
      <c r="AG209" s="366">
        <v>0</v>
      </c>
      <c r="AH209" s="366">
        <v>0</v>
      </c>
      <c r="AI209" s="366">
        <v>0</v>
      </c>
      <c r="AJ209" s="366">
        <v>0</v>
      </c>
      <c r="AK209" s="366">
        <v>0</v>
      </c>
      <c r="AL209" s="366">
        <v>2</v>
      </c>
      <c r="AM209" s="366">
        <v>0</v>
      </c>
      <c r="AN209" s="366">
        <v>0</v>
      </c>
      <c r="AO209" s="366">
        <v>0</v>
      </c>
      <c r="AP209" s="365"/>
      <c r="AQ209" s="439">
        <f>SUM(H209:Q209)</f>
        <v>2</v>
      </c>
      <c r="AR209" s="439">
        <f>ROUND(AU209+BV209,ARRONDI_PU)</f>
        <v>271.95</v>
      </c>
      <c r="AS209" s="440">
        <f>+AR209*AQ209</f>
        <v>543.9</v>
      </c>
      <c r="AT209" s="255"/>
      <c r="AU209" s="130">
        <f>+AX209+BB209+BE209+BH209+BK209+BN209+BQ209+BT209</f>
        <v>245</v>
      </c>
      <c r="AV209" s="285">
        <f>+COEF_MO_INSTALL</f>
        <v>1.3</v>
      </c>
      <c r="AW209" s="286">
        <v>0</v>
      </c>
      <c r="AX209" s="130">
        <f>+AW209*TH_INSTALL</f>
        <v>0</v>
      </c>
      <c r="AY209" s="130">
        <f>+AW209*AE209</f>
        <v>0</v>
      </c>
      <c r="AZ209" s="130">
        <f>IF(AQ209&gt;0,(AX209*AE209),0)</f>
        <v>0</v>
      </c>
      <c r="BA209" s="285">
        <f>+COEF_FOUR1_INSTALL</f>
        <v>1.3</v>
      </c>
      <c r="BB209" s="286">
        <v>0</v>
      </c>
      <c r="BC209" s="130">
        <f>IF(AQ209&gt;0,(BB209*AE209),0)</f>
        <v>0</v>
      </c>
      <c r="BD209" s="285">
        <f>+COEF_FOUR2_INSTALL</f>
        <v>1.3</v>
      </c>
      <c r="BE209" s="286">
        <v>0</v>
      </c>
      <c r="BF209" s="130">
        <f>IF(AQ209&gt;0,(BE209*AE209),0)</f>
        <v>0</v>
      </c>
      <c r="BG209" s="285">
        <f>+COEF_FOUR3_INSTALL</f>
        <v>1.3</v>
      </c>
      <c r="BH209" s="286">
        <v>0</v>
      </c>
      <c r="BI209" s="130">
        <f>IF(AQ209&gt;0,(BH209*AE209),0)</f>
        <v>0</v>
      </c>
      <c r="BJ209" s="287">
        <f>+COEF_MTLLOC_INSTALL</f>
        <v>1.1499999999999999</v>
      </c>
      <c r="BK209" s="286">
        <v>0</v>
      </c>
      <c r="BL209" s="130">
        <f>IF(AQ209&gt;0,(BK209*AE209),0)</f>
        <v>0</v>
      </c>
      <c r="BM209" s="287">
        <f>+COEF_MTLAMR_INSTALL</f>
        <v>1.3</v>
      </c>
      <c r="BN209" s="286">
        <v>0</v>
      </c>
      <c r="BO209" s="130">
        <f>IF(AQ209&gt;0,(BN209*AE209),0)</f>
        <v>0</v>
      </c>
      <c r="BP209" s="287">
        <f>+COEF_ST1_INSTALL</f>
        <v>1.1100000000000001</v>
      </c>
      <c r="BQ209" s="286">
        <v>245</v>
      </c>
      <c r="BR209" s="130">
        <f>IF(AQ209&gt;0,(BQ209*AE209),0)</f>
        <v>490</v>
      </c>
      <c r="BS209" s="287">
        <f>+COEF_ST2_INSTALL</f>
        <v>1.1100000000000001</v>
      </c>
      <c r="BT209" s="286">
        <v>0</v>
      </c>
      <c r="BU209" s="130">
        <f>IF(AQ209&gt;0,(BT209*AE209),0)</f>
        <v>0</v>
      </c>
      <c r="BV209" s="130">
        <f>+(((AX209)*AV209)+(BB209*BA209)+(BE209*BD209)+(BH209*BG209)+(BK209*BJ209)+(BN209*BM209)+(BQ209*BP209)+(BT209*BS209)+(BT209*BS209))-(AU209)</f>
        <v>26.950000000000045</v>
      </c>
      <c r="BW209" s="130">
        <f>+BV209*AE209</f>
        <v>53.900000000000091</v>
      </c>
      <c r="BX209" s="130">
        <f>AS209-(BW209+BU209+BR209+BO209+BL209+BI209+BF209+BC209+AZ209)</f>
        <v>0</v>
      </c>
      <c r="BY209" s="329"/>
    </row>
    <row r="210" spans="1:79" s="426" customFormat="1">
      <c r="B210" s="261"/>
      <c r="C210" s="237"/>
      <c r="D210" s="397"/>
      <c r="E210" s="110"/>
      <c r="F210" s="127"/>
      <c r="G210" s="431"/>
      <c r="H210" s="276"/>
      <c r="I210" s="276"/>
      <c r="J210" s="276"/>
      <c r="K210" s="276"/>
      <c r="L210" s="276"/>
      <c r="M210" s="276"/>
      <c r="N210" s="276"/>
      <c r="O210" s="276"/>
      <c r="P210" s="276"/>
      <c r="Q210" s="276"/>
      <c r="R210" s="276"/>
      <c r="S210" s="418"/>
      <c r="T210" s="112"/>
      <c r="U210" s="112"/>
      <c r="V210" s="112"/>
      <c r="W210" s="112"/>
      <c r="X210" s="112"/>
      <c r="Y210" s="112"/>
      <c r="Z210" s="112"/>
      <c r="AA210" s="112"/>
      <c r="AB210" s="112"/>
      <c r="AC210" s="112"/>
      <c r="AD210" s="276"/>
      <c r="AE210" s="112"/>
      <c r="AF210" s="129"/>
      <c r="AG210" s="129"/>
      <c r="AH210" s="129"/>
      <c r="AI210" s="129"/>
      <c r="AJ210" s="129"/>
      <c r="AK210" s="129"/>
      <c r="AL210" s="366"/>
      <c r="AM210" s="366"/>
      <c r="AN210" s="366"/>
      <c r="AO210" s="366"/>
      <c r="AP210" s="365"/>
      <c r="AQ210" s="439"/>
      <c r="AR210" s="439"/>
      <c r="AS210" s="440"/>
      <c r="AT210" s="255"/>
      <c r="AU210" s="130"/>
      <c r="AV210" s="285"/>
      <c r="AW210" s="286"/>
      <c r="AX210" s="130"/>
      <c r="AY210" s="130"/>
      <c r="AZ210" s="130"/>
      <c r="BA210" s="285"/>
      <c r="BB210" s="286"/>
      <c r="BC210" s="130"/>
      <c r="BD210" s="285"/>
      <c r="BE210" s="286"/>
      <c r="BF210" s="130"/>
      <c r="BG210" s="285"/>
      <c r="BH210" s="286"/>
      <c r="BI210" s="130"/>
      <c r="BJ210" s="287"/>
      <c r="BK210" s="286"/>
      <c r="BL210" s="130"/>
      <c r="BM210" s="287"/>
      <c r="BN210" s="286"/>
      <c r="BO210" s="130"/>
      <c r="BP210" s="287"/>
      <c r="BQ210" s="286"/>
      <c r="BR210" s="130"/>
      <c r="BS210" s="287"/>
      <c r="BT210" s="286"/>
      <c r="BU210" s="130"/>
      <c r="BV210" s="130"/>
      <c r="BW210" s="130"/>
      <c r="BX210" s="130"/>
      <c r="BY210" s="329"/>
    </row>
    <row r="211" spans="1:79" s="327" customFormat="1">
      <c r="A211" s="392"/>
      <c r="B211" s="261"/>
      <c r="C211" s="237"/>
      <c r="D211" s="397"/>
      <c r="E211" s="110" t="s">
        <v>261</v>
      </c>
      <c r="F211" s="127" t="s">
        <v>387</v>
      </c>
      <c r="G211" s="431"/>
      <c r="H211" s="276"/>
      <c r="I211" s="276"/>
      <c r="J211" s="276"/>
      <c r="K211" s="276"/>
      <c r="L211" s="276"/>
      <c r="M211" s="276"/>
      <c r="N211" s="276"/>
      <c r="O211" s="276"/>
      <c r="P211" s="276"/>
      <c r="Q211" s="276"/>
      <c r="R211" s="276"/>
      <c r="S211" s="418"/>
      <c r="T211" s="112"/>
      <c r="U211" s="112"/>
      <c r="V211" s="112"/>
      <c r="W211" s="112"/>
      <c r="X211" s="112"/>
      <c r="Y211" s="112"/>
      <c r="Z211" s="112"/>
      <c r="AA211" s="112"/>
      <c r="AB211" s="112"/>
      <c r="AC211" s="112"/>
      <c r="AD211" s="276"/>
      <c r="AE211" s="112"/>
      <c r="AF211" s="129"/>
      <c r="AG211" s="129"/>
      <c r="AH211" s="129"/>
      <c r="AI211" s="129"/>
      <c r="AJ211" s="129"/>
      <c r="AK211" s="129"/>
      <c r="AL211" s="366"/>
      <c r="AM211" s="366"/>
      <c r="AN211" s="366"/>
      <c r="AO211" s="366"/>
      <c r="AP211" s="365"/>
      <c r="AQ211" s="439"/>
      <c r="AR211" s="439"/>
      <c r="AS211" s="440"/>
      <c r="AT211" s="255"/>
      <c r="AU211" s="130"/>
      <c r="AV211" s="285"/>
      <c r="AW211" s="286"/>
      <c r="AX211" s="130"/>
      <c r="AY211" s="130"/>
      <c r="AZ211" s="130"/>
      <c r="BA211" s="285"/>
      <c r="BB211" s="286"/>
      <c r="BC211" s="130"/>
      <c r="BD211" s="285"/>
      <c r="BE211" s="286"/>
      <c r="BF211" s="130"/>
      <c r="BG211" s="285"/>
      <c r="BH211" s="286"/>
      <c r="BI211" s="130"/>
      <c r="BJ211" s="287"/>
      <c r="BK211" s="286"/>
      <c r="BL211" s="130"/>
      <c r="BM211" s="287"/>
      <c r="BN211" s="286"/>
      <c r="BO211" s="130"/>
      <c r="BP211" s="287"/>
      <c r="BQ211" s="286"/>
      <c r="BR211" s="130"/>
      <c r="BS211" s="287"/>
      <c r="BT211" s="286"/>
      <c r="BU211" s="130"/>
      <c r="BV211" s="130"/>
      <c r="BW211" s="130"/>
      <c r="BX211" s="130"/>
      <c r="BY211" s="329"/>
    </row>
    <row r="212" spans="1:79" s="327" customFormat="1" ht="64.5">
      <c r="A212" s="392"/>
      <c r="B212" s="261"/>
      <c r="C212" s="237"/>
      <c r="D212" s="397"/>
      <c r="E212" s="110"/>
      <c r="F212" s="368" t="s">
        <v>390</v>
      </c>
      <c r="G212" s="431" t="s">
        <v>105</v>
      </c>
      <c r="H212" s="365">
        <f t="shared" ref="H212:O212" si="685">+T212</f>
        <v>0</v>
      </c>
      <c r="I212" s="365">
        <f t="shared" si="685"/>
        <v>0</v>
      </c>
      <c r="J212" s="365">
        <f t="shared" si="685"/>
        <v>0</v>
      </c>
      <c r="K212" s="365">
        <f t="shared" si="685"/>
        <v>0</v>
      </c>
      <c r="L212" s="365">
        <f t="shared" si="685"/>
        <v>0</v>
      </c>
      <c r="M212" s="365">
        <f t="shared" si="685"/>
        <v>0</v>
      </c>
      <c r="N212" s="365">
        <f t="shared" si="685"/>
        <v>1</v>
      </c>
      <c r="O212" s="365">
        <f t="shared" si="685"/>
        <v>0</v>
      </c>
      <c r="P212" s="365">
        <f t="shared" ref="P212:Q212" si="686">+AB212</f>
        <v>0</v>
      </c>
      <c r="Q212" s="365">
        <f t="shared" si="686"/>
        <v>0</v>
      </c>
      <c r="R212" s="365"/>
      <c r="S212" s="418">
        <f>SUM(T212:AC212)</f>
        <v>1</v>
      </c>
      <c r="T212" s="365">
        <f t="shared" ref="T212:AC212" si="687">ROUND(AF212,ARRONDI_QT)</f>
        <v>0</v>
      </c>
      <c r="U212" s="365">
        <f t="shared" si="687"/>
        <v>0</v>
      </c>
      <c r="V212" s="365">
        <f t="shared" si="687"/>
        <v>0</v>
      </c>
      <c r="W212" s="365">
        <f t="shared" si="687"/>
        <v>0</v>
      </c>
      <c r="X212" s="365">
        <f t="shared" si="687"/>
        <v>0</v>
      </c>
      <c r="Y212" s="365">
        <f t="shared" si="687"/>
        <v>0</v>
      </c>
      <c r="Z212" s="365">
        <f t="shared" si="687"/>
        <v>1</v>
      </c>
      <c r="AA212" s="365">
        <f t="shared" si="687"/>
        <v>0</v>
      </c>
      <c r="AB212" s="365">
        <f t="shared" si="687"/>
        <v>0</v>
      </c>
      <c r="AC212" s="365">
        <f t="shared" si="687"/>
        <v>0</v>
      </c>
      <c r="AD212" s="365"/>
      <c r="AE212" s="112">
        <f>ROUND(SUM(AF212:AO212),ARRONDI_QT)</f>
        <v>1</v>
      </c>
      <c r="AF212" s="366">
        <v>0</v>
      </c>
      <c r="AG212" s="366">
        <v>0</v>
      </c>
      <c r="AH212" s="366">
        <v>0</v>
      </c>
      <c r="AI212" s="366">
        <v>0</v>
      </c>
      <c r="AJ212" s="366">
        <v>0</v>
      </c>
      <c r="AK212" s="366">
        <v>0</v>
      </c>
      <c r="AL212" s="366">
        <v>1</v>
      </c>
      <c r="AM212" s="366">
        <v>0</v>
      </c>
      <c r="AN212" s="366">
        <v>0</v>
      </c>
      <c r="AO212" s="366">
        <v>0</v>
      </c>
      <c r="AP212" s="365"/>
      <c r="AQ212" s="439">
        <f>SUM(H212:Q212)</f>
        <v>1</v>
      </c>
      <c r="AR212" s="439">
        <f>ROUND(AU212+BV212,ARRONDI_PU)</f>
        <v>6282.6</v>
      </c>
      <c r="AS212" s="440">
        <f>+AR212*AQ212</f>
        <v>6282.6</v>
      </c>
      <c r="AT212" s="255"/>
      <c r="AU212" s="130">
        <f>+AX212+BB212+BE212+BH212+BK212+BN212+BQ212+BT212</f>
        <v>5660</v>
      </c>
      <c r="AV212" s="285">
        <f>+COEF_MO_INSTALL</f>
        <v>1.3</v>
      </c>
      <c r="AW212" s="286">
        <v>0</v>
      </c>
      <c r="AX212" s="130">
        <f>+AW212*TH_INSTALL</f>
        <v>0</v>
      </c>
      <c r="AY212" s="130">
        <f>+AW212*AE212</f>
        <v>0</v>
      </c>
      <c r="AZ212" s="130">
        <f>IF(AQ212&gt;0,(AX212*AE212),0)</f>
        <v>0</v>
      </c>
      <c r="BA212" s="285">
        <f>+COEF_FOUR1_INSTALL</f>
        <v>1.3</v>
      </c>
      <c r="BB212" s="286">
        <v>0</v>
      </c>
      <c r="BC212" s="130">
        <f>IF(AQ212&gt;0,(BB212*AE212),0)</f>
        <v>0</v>
      </c>
      <c r="BD212" s="285">
        <f>+COEF_FOUR2_INSTALL</f>
        <v>1.3</v>
      </c>
      <c r="BE212" s="286">
        <v>0</v>
      </c>
      <c r="BF212" s="130">
        <f>IF(AQ212&gt;0,(BE212*AE212),0)</f>
        <v>0</v>
      </c>
      <c r="BG212" s="285">
        <f>+COEF_FOUR3_INSTALL</f>
        <v>1.3</v>
      </c>
      <c r="BH212" s="286">
        <v>0</v>
      </c>
      <c r="BI212" s="130">
        <f>IF(AQ212&gt;0,(BH212*AE212),0)</f>
        <v>0</v>
      </c>
      <c r="BJ212" s="287">
        <f>+COEF_MTLLOC_INSTALL</f>
        <v>1.1499999999999999</v>
      </c>
      <c r="BK212" s="286">
        <v>0</v>
      </c>
      <c r="BL212" s="130">
        <f>IF(AQ212&gt;0,(BK212*AE212),0)</f>
        <v>0</v>
      </c>
      <c r="BM212" s="287">
        <f>+COEF_MTLAMR_INSTALL</f>
        <v>1.3</v>
      </c>
      <c r="BN212" s="286">
        <v>0</v>
      </c>
      <c r="BO212" s="130">
        <f>IF(AQ212&gt;0,(BN212*AE212),0)</f>
        <v>0</v>
      </c>
      <c r="BP212" s="287">
        <f>+COEF_ST1_INSTALL</f>
        <v>1.1100000000000001</v>
      </c>
      <c r="BQ212" s="286">
        <f>5460+200</f>
        <v>5660</v>
      </c>
      <c r="BR212" s="130">
        <f>IF(AQ212&gt;0,(BQ212*AE212),0)</f>
        <v>5660</v>
      </c>
      <c r="BS212" s="287">
        <f>+COEF_ST2_INSTALL</f>
        <v>1.1100000000000001</v>
      </c>
      <c r="BT212" s="286">
        <v>0</v>
      </c>
      <c r="BU212" s="130">
        <f>IF(AQ212&gt;0,(BT212*AE212),0)</f>
        <v>0</v>
      </c>
      <c r="BV212" s="130">
        <f>+(((AX212)*AV212)+(BB212*BA212)+(BE212*BD212)+(BH212*BG212)+(BK212*BJ212)+(BN212*BM212)+(BQ212*BP212)+(BT212*BS212)+(BT212*BS212))-(AU212)</f>
        <v>622.60000000000036</v>
      </c>
      <c r="BW212" s="130">
        <f>+BV212*AE212</f>
        <v>622.60000000000036</v>
      </c>
      <c r="BX212" s="130">
        <f>AS212-(BW212+BU212+BR212+BO212+BL212+BI212+BF212+BC212+AZ212)</f>
        <v>0</v>
      </c>
      <c r="BY212" s="329"/>
    </row>
    <row r="213" spans="1:79" s="426" customFormat="1">
      <c r="B213" s="261"/>
      <c r="C213" s="237"/>
      <c r="D213" s="397"/>
      <c r="E213" s="110"/>
      <c r="F213" s="368"/>
      <c r="G213" s="431"/>
      <c r="H213" s="365"/>
      <c r="I213" s="365"/>
      <c r="J213" s="365"/>
      <c r="K213" s="365"/>
      <c r="L213" s="365"/>
      <c r="M213" s="365"/>
      <c r="N213" s="365"/>
      <c r="O213" s="365"/>
      <c r="P213" s="365"/>
      <c r="Q213" s="365"/>
      <c r="R213" s="365"/>
      <c r="S213" s="418"/>
      <c r="T213" s="365"/>
      <c r="U213" s="365"/>
      <c r="V213" s="365"/>
      <c r="W213" s="365"/>
      <c r="X213" s="365"/>
      <c r="Y213" s="365"/>
      <c r="Z213" s="365"/>
      <c r="AA213" s="365"/>
      <c r="AB213" s="365"/>
      <c r="AC213" s="365"/>
      <c r="AD213" s="365"/>
      <c r="AE213" s="112"/>
      <c r="AF213" s="366"/>
      <c r="AG213" s="366"/>
      <c r="AH213" s="366"/>
      <c r="AI213" s="366"/>
      <c r="AJ213" s="366"/>
      <c r="AK213" s="366"/>
      <c r="AL213" s="366"/>
      <c r="AM213" s="366"/>
      <c r="AN213" s="366"/>
      <c r="AO213" s="366"/>
      <c r="AP213" s="365"/>
      <c r="AQ213" s="439"/>
      <c r="AR213" s="439"/>
      <c r="AS213" s="440"/>
      <c r="AT213" s="255"/>
      <c r="AU213" s="130"/>
      <c r="AV213" s="285"/>
      <c r="AW213" s="286"/>
      <c r="AX213" s="130"/>
      <c r="AY213" s="130"/>
      <c r="AZ213" s="130"/>
      <c r="BA213" s="285"/>
      <c r="BB213" s="286"/>
      <c r="BC213" s="130"/>
      <c r="BD213" s="285"/>
      <c r="BE213" s="286"/>
      <c r="BF213" s="130"/>
      <c r="BG213" s="285"/>
      <c r="BH213" s="286"/>
      <c r="BI213" s="130"/>
      <c r="BJ213" s="287"/>
      <c r="BK213" s="286"/>
      <c r="BL213" s="130"/>
      <c r="BM213" s="287"/>
      <c r="BN213" s="286"/>
      <c r="BO213" s="130"/>
      <c r="BP213" s="287"/>
      <c r="BQ213" s="286"/>
      <c r="BR213" s="130"/>
      <c r="BS213" s="287"/>
      <c r="BT213" s="286"/>
      <c r="BU213" s="130"/>
      <c r="BV213" s="130"/>
      <c r="BW213" s="130"/>
      <c r="BX213" s="130"/>
      <c r="BY213" s="329"/>
    </row>
    <row r="214" spans="1:79" s="426" customFormat="1">
      <c r="B214" s="261"/>
      <c r="C214" s="237"/>
      <c r="D214" s="397"/>
      <c r="E214" s="110"/>
      <c r="F214" s="127" t="s">
        <v>391</v>
      </c>
      <c r="G214" s="431"/>
      <c r="H214" s="276"/>
      <c r="I214" s="276"/>
      <c r="J214" s="276"/>
      <c r="K214" s="276"/>
      <c r="L214" s="276"/>
      <c r="M214" s="276"/>
      <c r="N214" s="276"/>
      <c r="O214" s="276"/>
      <c r="P214" s="276"/>
      <c r="Q214" s="276"/>
      <c r="R214" s="276"/>
      <c r="S214" s="418"/>
      <c r="T214" s="112"/>
      <c r="U214" s="112"/>
      <c r="V214" s="112"/>
      <c r="W214" s="112"/>
      <c r="X214" s="112"/>
      <c r="Y214" s="112"/>
      <c r="Z214" s="112"/>
      <c r="AA214" s="112"/>
      <c r="AB214" s="112"/>
      <c r="AC214" s="112"/>
      <c r="AD214" s="276"/>
      <c r="AE214" s="112"/>
      <c r="AF214" s="129"/>
      <c r="AG214" s="129"/>
      <c r="AH214" s="129"/>
      <c r="AI214" s="129"/>
      <c r="AJ214" s="129"/>
      <c r="AK214" s="129"/>
      <c r="AL214" s="366"/>
      <c r="AM214" s="366"/>
      <c r="AN214" s="366"/>
      <c r="AO214" s="366"/>
      <c r="AP214" s="365"/>
      <c r="AQ214" s="439"/>
      <c r="AR214" s="439"/>
      <c r="AS214" s="440"/>
      <c r="AT214" s="255"/>
      <c r="AU214" s="130"/>
      <c r="AV214" s="285"/>
      <c r="AW214" s="286"/>
      <c r="AX214" s="130"/>
      <c r="AY214" s="130"/>
      <c r="AZ214" s="130"/>
      <c r="BA214" s="285"/>
      <c r="BB214" s="286"/>
      <c r="BC214" s="130"/>
      <c r="BD214" s="285"/>
      <c r="BE214" s="286"/>
      <c r="BF214" s="130"/>
      <c r="BG214" s="285"/>
      <c r="BH214" s="286"/>
      <c r="BI214" s="130"/>
      <c r="BJ214" s="287"/>
      <c r="BK214" s="286"/>
      <c r="BL214" s="130"/>
      <c r="BM214" s="287"/>
      <c r="BN214" s="286"/>
      <c r="BO214" s="130"/>
      <c r="BP214" s="287"/>
      <c r="BQ214" s="286"/>
      <c r="BR214" s="130"/>
      <c r="BS214" s="287"/>
      <c r="BT214" s="286"/>
      <c r="BU214" s="130"/>
      <c r="BV214" s="130"/>
      <c r="BW214" s="130"/>
      <c r="BX214" s="130"/>
      <c r="BY214" s="329"/>
    </row>
    <row r="215" spans="1:79" s="327" customFormat="1" ht="26.25">
      <c r="A215" s="392"/>
      <c r="B215" s="261"/>
      <c r="C215" s="237"/>
      <c r="D215" s="397"/>
      <c r="E215" s="110"/>
      <c r="F215" s="368" t="s">
        <v>392</v>
      </c>
      <c r="G215" s="431" t="s">
        <v>105</v>
      </c>
      <c r="H215" s="365">
        <f t="shared" ref="H215:O215" si="688">+T215</f>
        <v>0</v>
      </c>
      <c r="I215" s="365">
        <f t="shared" si="688"/>
        <v>0</v>
      </c>
      <c r="J215" s="365">
        <f t="shared" si="688"/>
        <v>0</v>
      </c>
      <c r="K215" s="365">
        <f t="shared" si="688"/>
        <v>0</v>
      </c>
      <c r="L215" s="365">
        <f t="shared" si="688"/>
        <v>0</v>
      </c>
      <c r="M215" s="365">
        <f t="shared" si="688"/>
        <v>0</v>
      </c>
      <c r="N215" s="365">
        <f t="shared" si="688"/>
        <v>1</v>
      </c>
      <c r="O215" s="365">
        <f t="shared" si="688"/>
        <v>0</v>
      </c>
      <c r="P215" s="365">
        <f t="shared" ref="P215:Q215" si="689">+AB215</f>
        <v>0</v>
      </c>
      <c r="Q215" s="365">
        <f t="shared" si="689"/>
        <v>0</v>
      </c>
      <c r="R215" s="365"/>
      <c r="S215" s="418">
        <f>SUM(T215:AC215)</f>
        <v>1</v>
      </c>
      <c r="T215" s="365">
        <f t="shared" ref="T215:AC215" si="690">ROUND(AF215,ARRONDI_QT)</f>
        <v>0</v>
      </c>
      <c r="U215" s="365">
        <f t="shared" si="690"/>
        <v>0</v>
      </c>
      <c r="V215" s="365">
        <f t="shared" si="690"/>
        <v>0</v>
      </c>
      <c r="W215" s="365">
        <f t="shared" si="690"/>
        <v>0</v>
      </c>
      <c r="X215" s="365">
        <f t="shared" si="690"/>
        <v>0</v>
      </c>
      <c r="Y215" s="365">
        <f t="shared" si="690"/>
        <v>0</v>
      </c>
      <c r="Z215" s="365">
        <f t="shared" si="690"/>
        <v>1</v>
      </c>
      <c r="AA215" s="365">
        <f t="shared" si="690"/>
        <v>0</v>
      </c>
      <c r="AB215" s="365">
        <f t="shared" si="690"/>
        <v>0</v>
      </c>
      <c r="AC215" s="365">
        <f t="shared" si="690"/>
        <v>0</v>
      </c>
      <c r="AD215" s="365"/>
      <c r="AE215" s="112">
        <f>ROUND(SUM(AF215:AO215),ARRONDI_QT)</f>
        <v>1</v>
      </c>
      <c r="AF215" s="366">
        <v>0</v>
      </c>
      <c r="AG215" s="366">
        <v>0</v>
      </c>
      <c r="AH215" s="366">
        <v>0</v>
      </c>
      <c r="AI215" s="366">
        <v>0</v>
      </c>
      <c r="AJ215" s="366">
        <v>0</v>
      </c>
      <c r="AK215" s="366">
        <v>0</v>
      </c>
      <c r="AL215" s="366">
        <v>1</v>
      </c>
      <c r="AM215" s="366">
        <v>0</v>
      </c>
      <c r="AN215" s="366">
        <v>0</v>
      </c>
      <c r="AO215" s="366">
        <v>0</v>
      </c>
      <c r="AP215" s="365"/>
      <c r="AQ215" s="439">
        <f>SUM(H215:Q215)</f>
        <v>1</v>
      </c>
      <c r="AR215" s="439">
        <f>ROUND(AU215+BV215,ARRONDI_PU)</f>
        <v>1376.4</v>
      </c>
      <c r="AS215" s="440">
        <f>+AR215*AQ215</f>
        <v>1376.4</v>
      </c>
      <c r="AT215" s="255"/>
      <c r="AU215" s="130">
        <f>+AX215+BB215+BE215+BH215+BK215+BN215+BQ215+BT215</f>
        <v>1240</v>
      </c>
      <c r="AV215" s="285">
        <f>+COEF_MO_INSTALL</f>
        <v>1.3</v>
      </c>
      <c r="AW215" s="286">
        <v>0</v>
      </c>
      <c r="AX215" s="130">
        <f>+AW215*TH_INSTALL</f>
        <v>0</v>
      </c>
      <c r="AY215" s="130">
        <f>+AW215*AE215</f>
        <v>0</v>
      </c>
      <c r="AZ215" s="130">
        <f>IF(AQ215&gt;0,(AX215*AE215),0)</f>
        <v>0</v>
      </c>
      <c r="BA215" s="285">
        <f>+COEF_FOUR1_INSTALL</f>
        <v>1.3</v>
      </c>
      <c r="BB215" s="286">
        <v>0</v>
      </c>
      <c r="BC215" s="130">
        <f>IF(AQ215&gt;0,(BB215*AE215),0)</f>
        <v>0</v>
      </c>
      <c r="BD215" s="285">
        <f>+COEF_FOUR2_INSTALL</f>
        <v>1.3</v>
      </c>
      <c r="BE215" s="286">
        <v>0</v>
      </c>
      <c r="BF215" s="130">
        <f>IF(AQ215&gt;0,(BE215*AE215),0)</f>
        <v>0</v>
      </c>
      <c r="BG215" s="285">
        <f>+COEF_FOUR3_INSTALL</f>
        <v>1.3</v>
      </c>
      <c r="BH215" s="286">
        <v>0</v>
      </c>
      <c r="BI215" s="130">
        <f>IF(AQ215&gt;0,(BH215*AE215),0)</f>
        <v>0</v>
      </c>
      <c r="BJ215" s="287">
        <f>+COEF_MTLLOC_INSTALL</f>
        <v>1.1499999999999999</v>
      </c>
      <c r="BK215" s="286">
        <v>0</v>
      </c>
      <c r="BL215" s="130">
        <f>IF(AQ215&gt;0,(BK215*AE215),0)</f>
        <v>0</v>
      </c>
      <c r="BM215" s="287">
        <f>+COEF_MTLAMR_INSTALL</f>
        <v>1.3</v>
      </c>
      <c r="BN215" s="286">
        <v>0</v>
      </c>
      <c r="BO215" s="130">
        <f>IF(AQ215&gt;0,(BN215*AE215),0)</f>
        <v>0</v>
      </c>
      <c r="BP215" s="287">
        <f>+COEF_ST1_INSTALL</f>
        <v>1.1100000000000001</v>
      </c>
      <c r="BQ215" s="286">
        <f>(3*130)+(310)+430+110</f>
        <v>1240</v>
      </c>
      <c r="BR215" s="130">
        <f>IF(AQ215&gt;0,(BQ215*AE215),0)</f>
        <v>1240</v>
      </c>
      <c r="BS215" s="287">
        <f>+COEF_ST2_INSTALL</f>
        <v>1.1100000000000001</v>
      </c>
      <c r="BT215" s="286">
        <v>0</v>
      </c>
      <c r="BU215" s="130">
        <f>IF(AQ215&gt;0,(BT215*AE215),0)</f>
        <v>0</v>
      </c>
      <c r="BV215" s="130">
        <f>+(((AX215)*AV215)+(BB215*BA215)+(BE215*BD215)+(BH215*BG215)+(BK215*BJ215)+(BN215*BM215)+(BQ215*BP215)+(BT215*BS215)+(BT215*BS215))-(AU215)</f>
        <v>136.40000000000009</v>
      </c>
      <c r="BW215" s="130">
        <f>+BV215*AE215</f>
        <v>136.40000000000009</v>
      </c>
      <c r="BX215" s="130">
        <f>AS215-(BW215+BU215+BR215+BO215+BL215+BI215+BF215+BC215+AZ215)</f>
        <v>0</v>
      </c>
      <c r="BY215" s="329"/>
    </row>
    <row r="216" spans="1:79" s="434" customFormat="1">
      <c r="B216" s="261"/>
      <c r="C216" s="237"/>
      <c r="D216" s="397"/>
      <c r="E216" s="110"/>
      <c r="F216" s="368"/>
      <c r="G216" s="431"/>
      <c r="H216" s="365"/>
      <c r="I216" s="365"/>
      <c r="J216" s="365"/>
      <c r="K216" s="365"/>
      <c r="L216" s="365"/>
      <c r="M216" s="365"/>
      <c r="N216" s="365"/>
      <c r="O216" s="365"/>
      <c r="P216" s="365"/>
      <c r="Q216" s="365"/>
      <c r="R216" s="365"/>
      <c r="S216" s="418"/>
      <c r="T216" s="365"/>
      <c r="U216" s="365"/>
      <c r="V216" s="365"/>
      <c r="W216" s="365"/>
      <c r="X216" s="365"/>
      <c r="Y216" s="365"/>
      <c r="Z216" s="365"/>
      <c r="AA216" s="365"/>
      <c r="AB216" s="365"/>
      <c r="AC216" s="365"/>
      <c r="AD216" s="365"/>
      <c r="AE216" s="112"/>
      <c r="AF216" s="366"/>
      <c r="AG216" s="366"/>
      <c r="AH216" s="366"/>
      <c r="AI216" s="366"/>
      <c r="AJ216" s="366"/>
      <c r="AK216" s="366"/>
      <c r="AL216" s="366"/>
      <c r="AM216" s="366"/>
      <c r="AN216" s="366"/>
      <c r="AO216" s="366"/>
      <c r="AP216" s="365"/>
      <c r="AQ216" s="439"/>
      <c r="AR216" s="439"/>
      <c r="AS216" s="440"/>
      <c r="AT216" s="255"/>
      <c r="AU216" s="130"/>
      <c r="AV216" s="285"/>
      <c r="AW216" s="286"/>
      <c r="AX216" s="130"/>
      <c r="AY216" s="130"/>
      <c r="AZ216" s="130"/>
      <c r="BA216" s="285"/>
      <c r="BB216" s="286"/>
      <c r="BC216" s="130"/>
      <c r="BD216" s="285"/>
      <c r="BE216" s="286"/>
      <c r="BF216" s="130"/>
      <c r="BG216" s="285"/>
      <c r="BH216" s="286"/>
      <c r="BI216" s="130"/>
      <c r="BJ216" s="287"/>
      <c r="BK216" s="286"/>
      <c r="BL216" s="130"/>
      <c r="BM216" s="287"/>
      <c r="BN216" s="286"/>
      <c r="BO216" s="130"/>
      <c r="BP216" s="287"/>
      <c r="BQ216" s="286"/>
      <c r="BR216" s="130"/>
      <c r="BS216" s="287"/>
      <c r="BT216" s="286"/>
      <c r="BU216" s="130"/>
      <c r="BV216" s="130"/>
      <c r="BW216" s="130"/>
      <c r="BX216" s="130"/>
      <c r="BY216" s="329"/>
    </row>
    <row r="217" spans="1:79" s="240" customFormat="1" ht="20.45" customHeight="1">
      <c r="A217" s="392"/>
      <c r="B217" s="261"/>
      <c r="C217" s="237"/>
      <c r="D217" s="397"/>
      <c r="E217" s="125"/>
      <c r="F217" s="131"/>
      <c r="G217" s="17"/>
      <c r="H217" s="232"/>
      <c r="I217" s="232"/>
      <c r="J217" s="232"/>
      <c r="K217" s="232"/>
      <c r="L217" s="232"/>
      <c r="M217" s="232"/>
      <c r="N217" s="232"/>
      <c r="O217" s="232"/>
      <c r="P217" s="232"/>
      <c r="Q217" s="232"/>
      <c r="R217" s="232"/>
      <c r="S217" s="419"/>
      <c r="T217" s="112"/>
      <c r="U217" s="112"/>
      <c r="V217" s="112"/>
      <c r="W217" s="112"/>
      <c r="X217" s="112"/>
      <c r="Y217" s="112"/>
      <c r="Z217" s="112"/>
      <c r="AA217" s="112"/>
      <c r="AB217" s="112"/>
      <c r="AC217" s="112"/>
      <c r="AD217" s="232"/>
      <c r="AE217" s="112"/>
      <c r="AF217" s="112"/>
      <c r="AG217" s="112"/>
      <c r="AH217" s="112"/>
      <c r="AI217" s="112"/>
      <c r="AJ217" s="112"/>
      <c r="AK217" s="112"/>
      <c r="AL217" s="112"/>
      <c r="AM217" s="112"/>
      <c r="AN217" s="112"/>
      <c r="AO217" s="112"/>
      <c r="AP217" s="232"/>
      <c r="AQ217" s="439"/>
      <c r="AR217" s="439"/>
      <c r="AS217" s="440"/>
      <c r="AU217" s="455"/>
      <c r="AV217" s="284"/>
      <c r="AW217" s="128"/>
      <c r="AX217" s="128"/>
      <c r="AY217" s="128"/>
      <c r="AZ217" s="128"/>
      <c r="BA217" s="284"/>
      <c r="BB217" s="128"/>
      <c r="BC217" s="128"/>
      <c r="BD217" s="284"/>
      <c r="BE217" s="128"/>
      <c r="BF217" s="128"/>
      <c r="BG217" s="284"/>
      <c r="BH217" s="128"/>
      <c r="BI217" s="128"/>
      <c r="BJ217" s="284"/>
      <c r="BK217" s="128"/>
      <c r="BL217" s="128"/>
      <c r="BM217" s="284"/>
      <c r="BN217" s="128"/>
      <c r="BO217" s="128"/>
      <c r="BP217" s="284"/>
      <c r="BQ217" s="128"/>
      <c r="BR217" s="128"/>
      <c r="BS217" s="284"/>
      <c r="BT217" s="128"/>
      <c r="BU217" s="128"/>
      <c r="BV217" s="128"/>
      <c r="BW217" s="128"/>
      <c r="BX217" s="330"/>
    </row>
    <row r="218" spans="1:79" s="240" customFormat="1">
      <c r="A218" s="392"/>
      <c r="B218" s="261"/>
      <c r="C218" s="237"/>
      <c r="D218" s="397"/>
      <c r="E218" s="132"/>
      <c r="F218" s="133"/>
      <c r="G218" s="436" t="str">
        <f>"ST - "&amp;F185</f>
        <v>ST - CLOTURES</v>
      </c>
      <c r="H218" s="230"/>
      <c r="I218" s="230"/>
      <c r="J218" s="230"/>
      <c r="K218" s="230"/>
      <c r="L218" s="230"/>
      <c r="M218" s="230"/>
      <c r="N218" s="230"/>
      <c r="O218" s="230"/>
      <c r="P218" s="230"/>
      <c r="Q218" s="404"/>
      <c r="R218" s="404"/>
      <c r="S218" s="420"/>
      <c r="T218" s="291"/>
      <c r="U218" s="291"/>
      <c r="V218" s="291"/>
      <c r="W218" s="291"/>
      <c r="X218" s="291"/>
      <c r="Y218" s="291"/>
      <c r="Z218" s="291"/>
      <c r="AA218" s="291"/>
      <c r="AB218" s="291"/>
      <c r="AC218" s="291"/>
      <c r="AD218" s="404"/>
      <c r="AE218" s="291"/>
      <c r="AF218" s="291"/>
      <c r="AG218" s="291"/>
      <c r="AH218" s="291"/>
      <c r="AI218" s="291"/>
      <c r="AJ218" s="291"/>
      <c r="AK218" s="291"/>
      <c r="AL218" s="291"/>
      <c r="AM218" s="291"/>
      <c r="AN218" s="291"/>
      <c r="AO218" s="291"/>
      <c r="AP218" s="404"/>
      <c r="AQ218" s="134"/>
      <c r="AR218" s="135"/>
      <c r="AS218" s="435">
        <f>SUM(AS186:AS217)</f>
        <v>35277.967000000004</v>
      </c>
      <c r="AU218" s="456" t="str">
        <f>"ST - DÉBOURSÉ : "&amp;F185</f>
        <v>ST - DÉBOURSÉ : CLOTURES</v>
      </c>
      <c r="AV218" s="282"/>
      <c r="AW218" s="282"/>
      <c r="AX218" s="289" t="s">
        <v>50</v>
      </c>
      <c r="AY218" s="290">
        <f>SUM(AY186:AY217)</f>
        <v>0</v>
      </c>
      <c r="AZ218" s="290">
        <f>SUM(AZ186:AZ217)</f>
        <v>0</v>
      </c>
      <c r="BA218" s="291"/>
      <c r="BB218" s="292" t="s">
        <v>42</v>
      </c>
      <c r="BC218" s="290">
        <f>SUM(BC186:BC217)</f>
        <v>0</v>
      </c>
      <c r="BD218" s="291"/>
      <c r="BE218" s="292" t="s">
        <v>43</v>
      </c>
      <c r="BF218" s="290">
        <f>SUM(BF186:BF217)</f>
        <v>0</v>
      </c>
      <c r="BG218" s="291"/>
      <c r="BH218" s="292" t="s">
        <v>44</v>
      </c>
      <c r="BI218" s="290">
        <f>SUM(BI186:BI217)</f>
        <v>0</v>
      </c>
      <c r="BJ218" s="291"/>
      <c r="BK218" s="292" t="s">
        <v>45</v>
      </c>
      <c r="BL218" s="290">
        <f>SUM(BL186:BL217)</f>
        <v>0</v>
      </c>
      <c r="BM218" s="291"/>
      <c r="BN218" s="292" t="s">
        <v>46</v>
      </c>
      <c r="BO218" s="290">
        <f>SUM(BO186:BO217)</f>
        <v>0</v>
      </c>
      <c r="BP218" s="291"/>
      <c r="BQ218" s="292" t="s">
        <v>47</v>
      </c>
      <c r="BR218" s="290">
        <f>SUM(BR186:BR217)</f>
        <v>31781.963199999998</v>
      </c>
      <c r="BS218" s="291"/>
      <c r="BT218" s="292" t="s">
        <v>48</v>
      </c>
      <c r="BU218" s="290">
        <f>SUM(BU186:BU217)</f>
        <v>0</v>
      </c>
      <c r="BV218" s="292" t="s">
        <v>49</v>
      </c>
      <c r="BW218" s="290">
        <f>SUM(BW186:BW217)</f>
        <v>3496.0159520000034</v>
      </c>
      <c r="BX218" s="290">
        <f>SUM(BX186:BX217)</f>
        <v>-1.2152000000810403E-2</v>
      </c>
    </row>
    <row r="219" spans="1:79" s="240" customFormat="1" ht="7.15" customHeight="1">
      <c r="A219" s="392"/>
      <c r="B219" s="30"/>
      <c r="C219" s="31"/>
      <c r="D219" s="31"/>
      <c r="E219" s="30"/>
      <c r="F219" s="31"/>
      <c r="G219" s="31"/>
      <c r="H219" s="31"/>
      <c r="I219" s="31"/>
      <c r="J219" s="31"/>
      <c r="K219" s="31"/>
      <c r="L219" s="31"/>
      <c r="M219" s="31"/>
      <c r="N219" s="31"/>
      <c r="O219" s="31"/>
      <c r="P219" s="31"/>
      <c r="Q219" s="405"/>
      <c r="R219" s="405"/>
      <c r="S219" s="415"/>
      <c r="T219" s="281"/>
      <c r="U219" s="281"/>
      <c r="V219" s="281"/>
      <c r="W219" s="281"/>
      <c r="X219" s="281"/>
      <c r="Y219" s="281"/>
      <c r="Z219" s="281"/>
      <c r="AA219" s="281"/>
      <c r="AB219" s="281"/>
      <c r="AC219" s="281"/>
      <c r="AD219" s="405"/>
      <c r="AE219" s="281"/>
      <c r="AF219" s="281"/>
      <c r="AG219" s="281"/>
      <c r="AH219" s="281"/>
      <c r="AI219" s="281"/>
      <c r="AJ219" s="281"/>
      <c r="AK219" s="281"/>
      <c r="AL219" s="281"/>
      <c r="AM219" s="281"/>
      <c r="AN219" s="281"/>
      <c r="AO219" s="281"/>
      <c r="AP219" s="405"/>
      <c r="AQ219" s="32"/>
      <c r="AR219" s="33"/>
      <c r="AS219" s="34"/>
      <c r="AU219" s="277"/>
      <c r="AV219" s="278"/>
      <c r="AW219" s="279"/>
      <c r="AX219" s="279"/>
      <c r="AY219" s="279"/>
      <c r="AZ219" s="279"/>
      <c r="BA219" s="279"/>
      <c r="BB219" s="279"/>
      <c r="BC219" s="279"/>
      <c r="BD219" s="279"/>
      <c r="BE219" s="279"/>
      <c r="BF219" s="279"/>
      <c r="BG219" s="279"/>
      <c r="BH219" s="279"/>
      <c r="BI219" s="279"/>
      <c r="BJ219" s="279"/>
      <c r="BK219" s="279"/>
      <c r="BL219" s="279"/>
      <c r="BM219" s="279"/>
      <c r="BN219" s="279"/>
      <c r="BO219" s="279"/>
      <c r="BP219" s="279"/>
      <c r="BQ219" s="279"/>
      <c r="BR219" s="279"/>
      <c r="BS219" s="279"/>
      <c r="BT219" s="279"/>
      <c r="BU219" s="279"/>
      <c r="BV219" s="279"/>
      <c r="BW219" s="280"/>
      <c r="BX219" s="291"/>
    </row>
    <row r="220" spans="1:79" s="240" customFormat="1">
      <c r="A220" s="392"/>
      <c r="B220" s="328" t="str">
        <f>+E220</f>
        <v>D</v>
      </c>
      <c r="C220" s="41" t="str">
        <f>+F220</f>
        <v>DIVERS</v>
      </c>
      <c r="D220" s="36"/>
      <c r="E220" s="35" t="s">
        <v>215</v>
      </c>
      <c r="F220" s="41" t="s">
        <v>267</v>
      </c>
      <c r="G220" s="36"/>
      <c r="H220" s="72"/>
      <c r="I220" s="72"/>
      <c r="J220" s="72"/>
      <c r="K220" s="72"/>
      <c r="L220" s="72"/>
      <c r="M220" s="72"/>
      <c r="N220" s="72"/>
      <c r="O220" s="72"/>
      <c r="P220" s="72"/>
      <c r="Q220" s="72"/>
      <c r="R220" s="72"/>
      <c r="S220" s="416"/>
      <c r="T220" s="72"/>
      <c r="U220" s="72"/>
      <c r="V220" s="72"/>
      <c r="W220" s="72"/>
      <c r="X220" s="72"/>
      <c r="Y220" s="72"/>
      <c r="Z220" s="72"/>
      <c r="AA220" s="72"/>
      <c r="AB220" s="72"/>
      <c r="AC220" s="72"/>
      <c r="AD220" s="72"/>
      <c r="AE220" s="72"/>
      <c r="AF220" s="72"/>
      <c r="AG220" s="72"/>
      <c r="AH220" s="72"/>
      <c r="AI220" s="72"/>
      <c r="AJ220" s="72"/>
      <c r="AK220" s="72"/>
      <c r="AL220" s="72"/>
      <c r="AM220" s="72"/>
      <c r="AN220" s="72"/>
      <c r="AO220" s="72"/>
      <c r="AP220" s="72"/>
      <c r="AQ220" s="37"/>
      <c r="AR220" s="38"/>
      <c r="AS220" s="39"/>
      <c r="AU220" s="121" t="str">
        <f>+" Déboursé chapitre : "&amp;F220</f>
        <v xml:space="preserve"> Déboursé chapitre : DIVERS</v>
      </c>
      <c r="AV220" s="122"/>
      <c r="AW220" s="123"/>
      <c r="AX220" s="123"/>
      <c r="AY220" s="123"/>
      <c r="AZ220" s="123"/>
      <c r="BA220" s="123"/>
      <c r="BB220" s="123"/>
      <c r="BC220" s="123"/>
      <c r="BD220" s="123"/>
      <c r="BE220" s="123"/>
      <c r="BF220" s="123"/>
      <c r="BG220" s="123"/>
      <c r="BH220" s="123"/>
      <c r="BI220" s="123"/>
      <c r="BJ220" s="123"/>
      <c r="BK220" s="123"/>
      <c r="BL220" s="123"/>
      <c r="BM220" s="123"/>
      <c r="BN220" s="123"/>
      <c r="BO220" s="123"/>
      <c r="BP220" s="123"/>
      <c r="BQ220" s="123"/>
      <c r="BR220" s="123"/>
      <c r="BS220" s="123"/>
      <c r="BT220" s="123"/>
      <c r="BU220" s="123"/>
      <c r="BV220" s="123"/>
      <c r="BW220" s="124"/>
      <c r="BX220" s="332"/>
    </row>
    <row r="221" spans="1:79" s="240" customFormat="1">
      <c r="A221" s="392"/>
      <c r="B221" s="258"/>
      <c r="C221" s="238"/>
      <c r="D221" s="396"/>
      <c r="E221" s="110"/>
      <c r="F221" s="127"/>
      <c r="G221" s="17"/>
      <c r="H221" s="114"/>
      <c r="I221" s="114"/>
      <c r="J221" s="114"/>
      <c r="K221" s="114"/>
      <c r="L221" s="114"/>
      <c r="M221" s="114"/>
      <c r="N221" s="114"/>
      <c r="O221" s="114"/>
      <c r="P221" s="114"/>
      <c r="Q221" s="114"/>
      <c r="R221" s="114"/>
      <c r="S221" s="417"/>
      <c r="T221" s="114"/>
      <c r="U221" s="114"/>
      <c r="V221" s="114"/>
      <c r="W221" s="114"/>
      <c r="X221" s="114"/>
      <c r="Y221" s="114"/>
      <c r="Z221" s="114"/>
      <c r="AA221" s="114"/>
      <c r="AB221" s="114"/>
      <c r="AC221" s="114"/>
      <c r="AD221" s="114"/>
      <c r="AE221" s="114"/>
      <c r="AF221" s="114"/>
      <c r="AG221" s="114"/>
      <c r="AH221" s="114"/>
      <c r="AI221" s="114"/>
      <c r="AJ221" s="114"/>
      <c r="AK221" s="114"/>
      <c r="AL221" s="114"/>
      <c r="AM221" s="114"/>
      <c r="AN221" s="114"/>
      <c r="AO221" s="114"/>
      <c r="AP221" s="114"/>
      <c r="AQ221" s="114"/>
      <c r="AR221" s="114"/>
      <c r="AS221" s="115"/>
      <c r="AU221" s="454"/>
      <c r="AV221" s="284"/>
      <c r="AW221" s="128"/>
      <c r="AX221" s="128"/>
      <c r="AY221" s="128"/>
      <c r="AZ221" s="128"/>
      <c r="BA221" s="284"/>
      <c r="BB221" s="128"/>
      <c r="BC221" s="128"/>
      <c r="BD221" s="284"/>
      <c r="BE221" s="128"/>
      <c r="BF221" s="128"/>
      <c r="BG221" s="284"/>
      <c r="BH221" s="128"/>
      <c r="BI221" s="128"/>
      <c r="BJ221" s="284"/>
      <c r="BK221" s="128"/>
      <c r="BL221" s="128"/>
      <c r="BM221" s="284"/>
      <c r="BN221" s="128"/>
      <c r="BO221" s="128"/>
      <c r="BP221" s="284"/>
      <c r="BQ221" s="128"/>
      <c r="BR221" s="128"/>
      <c r="BS221" s="284"/>
      <c r="BT221" s="128"/>
      <c r="BU221" s="128"/>
      <c r="BV221" s="128"/>
      <c r="BW221" s="128"/>
      <c r="BX221" s="331"/>
    </row>
    <row r="222" spans="1:79" s="327" customFormat="1">
      <c r="A222" s="392"/>
      <c r="B222" s="261"/>
      <c r="C222" s="237"/>
      <c r="D222" s="397"/>
      <c r="E222" s="110" t="s">
        <v>394</v>
      </c>
      <c r="F222" s="127" t="s">
        <v>393</v>
      </c>
      <c r="G222" s="17"/>
      <c r="H222" s="276"/>
      <c r="I222" s="276"/>
      <c r="J222" s="276"/>
      <c r="K222" s="276"/>
      <c r="L222" s="276"/>
      <c r="M222" s="276"/>
      <c r="N222" s="276"/>
      <c r="O222" s="276"/>
      <c r="P222" s="276"/>
      <c r="Q222" s="276"/>
      <c r="R222" s="276"/>
      <c r="S222" s="418"/>
      <c r="T222" s="112"/>
      <c r="U222" s="112"/>
      <c r="V222" s="112"/>
      <c r="W222" s="112"/>
      <c r="X222" s="112"/>
      <c r="Y222" s="112"/>
      <c r="Z222" s="112"/>
      <c r="AA222" s="112"/>
      <c r="AB222" s="112"/>
      <c r="AC222" s="112"/>
      <c r="AD222" s="276"/>
      <c r="AE222" s="112"/>
      <c r="AF222" s="129"/>
      <c r="AG222" s="129"/>
      <c r="AH222" s="129"/>
      <c r="AI222" s="129"/>
      <c r="AJ222" s="129"/>
      <c r="AK222" s="129"/>
      <c r="AL222" s="129"/>
      <c r="AM222" s="129"/>
      <c r="AN222" s="129"/>
      <c r="AO222" s="129"/>
      <c r="AP222" s="276"/>
      <c r="AQ222" s="112"/>
      <c r="AR222" s="112"/>
      <c r="AS222" s="113"/>
      <c r="AT222" s="255"/>
      <c r="AU222" s="130"/>
      <c r="AV222" s="285"/>
      <c r="AW222" s="286"/>
      <c r="AX222" s="130"/>
      <c r="AY222" s="130"/>
      <c r="AZ222" s="130"/>
      <c r="BA222" s="285"/>
      <c r="BB222" s="286"/>
      <c r="BC222" s="130"/>
      <c r="BD222" s="285"/>
      <c r="BE222" s="286"/>
      <c r="BF222" s="130"/>
      <c r="BG222" s="285"/>
      <c r="BH222" s="286"/>
      <c r="BI222" s="130"/>
      <c r="BJ222" s="287"/>
      <c r="BK222" s="286"/>
      <c r="BL222" s="130"/>
      <c r="BM222" s="287"/>
      <c r="BN222" s="286"/>
      <c r="BO222" s="130"/>
      <c r="BP222" s="287"/>
      <c r="BQ222" s="286"/>
      <c r="BR222" s="130"/>
      <c r="BS222" s="287"/>
      <c r="BT222" s="286"/>
      <c r="BU222" s="130"/>
      <c r="BV222" s="130"/>
      <c r="BW222" s="130"/>
      <c r="BX222" s="130"/>
      <c r="BY222" s="256"/>
      <c r="BZ222" s="426"/>
      <c r="CA222" s="426"/>
    </row>
    <row r="223" spans="1:79" s="426" customFormat="1">
      <c r="B223" s="261"/>
      <c r="C223" s="237"/>
      <c r="D223" s="397"/>
      <c r="E223" s="110"/>
      <c r="F223" s="127"/>
      <c r="G223" s="17"/>
      <c r="H223" s="276"/>
      <c r="I223" s="276"/>
      <c r="J223" s="276"/>
      <c r="K223" s="276"/>
      <c r="L223" s="276"/>
      <c r="M223" s="276"/>
      <c r="N223" s="276"/>
      <c r="O223" s="276"/>
      <c r="P223" s="276"/>
      <c r="Q223" s="276"/>
      <c r="R223" s="276"/>
      <c r="S223" s="418"/>
      <c r="T223" s="112"/>
      <c r="U223" s="112"/>
      <c r="V223" s="112"/>
      <c r="W223" s="112"/>
      <c r="X223" s="112"/>
      <c r="Y223" s="112"/>
      <c r="Z223" s="112"/>
      <c r="AA223" s="112"/>
      <c r="AB223" s="112"/>
      <c r="AC223" s="112"/>
      <c r="AD223" s="276"/>
      <c r="AE223" s="112"/>
      <c r="AF223" s="129"/>
      <c r="AG223" s="129"/>
      <c r="AH223" s="129"/>
      <c r="AI223" s="129"/>
      <c r="AJ223" s="129"/>
      <c r="AK223" s="129"/>
      <c r="AL223" s="129"/>
      <c r="AM223" s="129"/>
      <c r="AN223" s="129"/>
      <c r="AO223" s="129"/>
      <c r="AP223" s="276"/>
      <c r="AQ223" s="112"/>
      <c r="AR223" s="112"/>
      <c r="AS223" s="113"/>
      <c r="AT223" s="255"/>
      <c r="AU223" s="130"/>
      <c r="AV223" s="285"/>
      <c r="AW223" s="286"/>
      <c r="AX223" s="130"/>
      <c r="AY223" s="130"/>
      <c r="AZ223" s="130"/>
      <c r="BA223" s="285"/>
      <c r="BB223" s="286"/>
      <c r="BC223" s="130"/>
      <c r="BD223" s="285"/>
      <c r="BE223" s="286"/>
      <c r="BF223" s="130"/>
      <c r="BG223" s="285"/>
      <c r="BH223" s="286"/>
      <c r="BI223" s="130"/>
      <c r="BJ223" s="287"/>
      <c r="BK223" s="286"/>
      <c r="BL223" s="130"/>
      <c r="BM223" s="287"/>
      <c r="BN223" s="286"/>
      <c r="BO223" s="130"/>
      <c r="BP223" s="287"/>
      <c r="BQ223" s="286"/>
      <c r="BR223" s="130"/>
      <c r="BS223" s="287"/>
      <c r="BT223" s="286"/>
      <c r="BU223" s="130"/>
      <c r="BV223" s="130"/>
      <c r="BW223" s="130"/>
      <c r="BX223" s="130"/>
      <c r="BY223" s="256"/>
    </row>
    <row r="224" spans="1:79" s="327" customFormat="1">
      <c r="A224" s="392"/>
      <c r="B224" s="261"/>
      <c r="C224" s="237"/>
      <c r="D224" s="397"/>
      <c r="E224" s="110" t="s">
        <v>395</v>
      </c>
      <c r="F224" s="127" t="s">
        <v>268</v>
      </c>
      <c r="G224" s="17"/>
      <c r="H224" s="276"/>
      <c r="I224" s="276"/>
      <c r="J224" s="276"/>
      <c r="K224" s="276"/>
      <c r="L224" s="276"/>
      <c r="M224" s="276"/>
      <c r="N224" s="276"/>
      <c r="O224" s="276"/>
      <c r="P224" s="276"/>
      <c r="Q224" s="276"/>
      <c r="R224" s="276"/>
      <c r="S224" s="418"/>
      <c r="T224" s="365"/>
      <c r="U224" s="365"/>
      <c r="V224" s="365"/>
      <c r="W224" s="365"/>
      <c r="X224" s="365"/>
      <c r="Y224" s="365"/>
      <c r="Z224" s="365"/>
      <c r="AA224" s="365"/>
      <c r="AB224" s="365"/>
      <c r="AC224" s="365"/>
      <c r="AD224" s="276"/>
      <c r="AE224" s="112"/>
      <c r="AF224" s="366"/>
      <c r="AG224" s="366"/>
      <c r="AH224" s="366"/>
      <c r="AI224" s="366"/>
      <c r="AJ224" s="366"/>
      <c r="AK224" s="366"/>
      <c r="AL224" s="366"/>
      <c r="AM224" s="366"/>
      <c r="AN224" s="366"/>
      <c r="AO224" s="366"/>
      <c r="AP224" s="276"/>
      <c r="AQ224" s="112"/>
      <c r="AR224" s="112"/>
      <c r="AS224" s="113"/>
      <c r="AT224" s="255"/>
      <c r="AU224" s="130"/>
      <c r="AV224" s="285"/>
      <c r="AW224" s="286"/>
      <c r="AX224" s="130"/>
      <c r="AY224" s="130"/>
      <c r="AZ224" s="130"/>
      <c r="BA224" s="285"/>
      <c r="BB224" s="286"/>
      <c r="BC224" s="130"/>
      <c r="BD224" s="285"/>
      <c r="BE224" s="286"/>
      <c r="BF224" s="130"/>
      <c r="BG224" s="285"/>
      <c r="BH224" s="286"/>
      <c r="BI224" s="130"/>
      <c r="BJ224" s="287"/>
      <c r="BK224" s="286"/>
      <c r="BL224" s="130"/>
      <c r="BM224" s="287"/>
      <c r="BN224" s="286"/>
      <c r="BO224" s="130"/>
      <c r="BP224" s="287"/>
      <c r="BQ224" s="286"/>
      <c r="BR224" s="130"/>
      <c r="BS224" s="287"/>
      <c r="BT224" s="286"/>
      <c r="BU224" s="130"/>
      <c r="BV224" s="130"/>
      <c r="BW224" s="130"/>
      <c r="BX224" s="130"/>
      <c r="BY224" s="329"/>
    </row>
    <row r="225" spans="1:77" s="426" customFormat="1">
      <c r="B225" s="261"/>
      <c r="C225" s="237"/>
      <c r="D225" s="397"/>
      <c r="E225" s="110"/>
      <c r="F225" s="368" t="s">
        <v>399</v>
      </c>
      <c r="G225" s="17" t="s">
        <v>105</v>
      </c>
      <c r="H225" s="276"/>
      <c r="I225" s="276"/>
      <c r="J225" s="276"/>
      <c r="K225" s="276"/>
      <c r="L225" s="276"/>
      <c r="M225" s="276"/>
      <c r="N225" s="276"/>
      <c r="O225" s="276"/>
      <c r="P225" s="276"/>
      <c r="Q225" s="276"/>
      <c r="R225" s="276"/>
      <c r="S225" s="418"/>
      <c r="T225" s="112"/>
      <c r="U225" s="112"/>
      <c r="V225" s="112"/>
      <c r="W225" s="112"/>
      <c r="X225" s="112"/>
      <c r="Y225" s="112"/>
      <c r="Z225" s="112"/>
      <c r="AA225" s="112"/>
      <c r="AB225" s="112"/>
      <c r="AC225" s="112"/>
      <c r="AD225" s="276"/>
      <c r="AE225" s="112"/>
      <c r="AF225" s="129"/>
      <c r="AG225" s="129"/>
      <c r="AH225" s="129"/>
      <c r="AI225" s="129"/>
      <c r="AJ225" s="129"/>
      <c r="AK225" s="129"/>
      <c r="AL225" s="129"/>
      <c r="AM225" s="129"/>
      <c r="AN225" s="129"/>
      <c r="AO225" s="129"/>
      <c r="AP225" s="276"/>
      <c r="AQ225" s="116" t="s">
        <v>401</v>
      </c>
      <c r="AR225" s="116" t="str">
        <f t="shared" ref="AR225:AS227" si="691">+AQ225</f>
        <v>Compris</v>
      </c>
      <c r="AS225" s="117" t="str">
        <f t="shared" si="691"/>
        <v>Compris</v>
      </c>
      <c r="AT225" s="255"/>
      <c r="AU225" s="130"/>
      <c r="AV225" s="285"/>
      <c r="AW225" s="286"/>
      <c r="AX225" s="130"/>
      <c r="AY225" s="130"/>
      <c r="AZ225" s="130"/>
      <c r="BA225" s="285"/>
      <c r="BB225" s="286"/>
      <c r="BC225" s="130"/>
      <c r="BD225" s="285"/>
      <c r="BE225" s="286"/>
      <c r="BF225" s="130"/>
      <c r="BG225" s="285"/>
      <c r="BH225" s="286"/>
      <c r="BI225" s="130"/>
      <c r="BJ225" s="287"/>
      <c r="BK225" s="286"/>
      <c r="BL225" s="130"/>
      <c r="BM225" s="287"/>
      <c r="BN225" s="286"/>
      <c r="BO225" s="130"/>
      <c r="BP225" s="287"/>
      <c r="BQ225" s="286"/>
      <c r="BR225" s="130"/>
      <c r="BS225" s="287"/>
      <c r="BT225" s="286"/>
      <c r="BU225" s="130"/>
      <c r="BV225" s="130"/>
      <c r="BW225" s="130"/>
      <c r="BX225" s="130"/>
      <c r="BY225" s="256"/>
    </row>
    <row r="226" spans="1:77" s="426" customFormat="1">
      <c r="B226" s="261"/>
      <c r="C226" s="237"/>
      <c r="D226" s="397"/>
      <c r="E226" s="110"/>
      <c r="F226" s="127" t="s">
        <v>396</v>
      </c>
      <c r="G226" s="17" t="s">
        <v>105</v>
      </c>
      <c r="H226" s="276"/>
      <c r="I226" s="276"/>
      <c r="J226" s="276"/>
      <c r="K226" s="276"/>
      <c r="L226" s="276"/>
      <c r="M226" s="276"/>
      <c r="N226" s="276"/>
      <c r="O226" s="276"/>
      <c r="P226" s="276"/>
      <c r="Q226" s="276"/>
      <c r="R226" s="276"/>
      <c r="S226" s="418"/>
      <c r="T226" s="112"/>
      <c r="U226" s="112"/>
      <c r="V226" s="112"/>
      <c r="W226" s="112"/>
      <c r="X226" s="112"/>
      <c r="Y226" s="112"/>
      <c r="Z226" s="112"/>
      <c r="AA226" s="112"/>
      <c r="AB226" s="112"/>
      <c r="AC226" s="112"/>
      <c r="AD226" s="276"/>
      <c r="AE226" s="112"/>
      <c r="AF226" s="129"/>
      <c r="AG226" s="129"/>
      <c r="AH226" s="129"/>
      <c r="AI226" s="129"/>
      <c r="AJ226" s="129"/>
      <c r="AK226" s="129"/>
      <c r="AL226" s="129"/>
      <c r="AM226" s="129"/>
      <c r="AN226" s="129"/>
      <c r="AO226" s="129"/>
      <c r="AP226" s="276"/>
      <c r="AQ226" s="116" t="s">
        <v>401</v>
      </c>
      <c r="AR226" s="116" t="str">
        <f t="shared" si="691"/>
        <v>Compris</v>
      </c>
      <c r="AS226" s="117" t="str">
        <f t="shared" si="691"/>
        <v>Compris</v>
      </c>
      <c r="AT226" s="255"/>
      <c r="AU226" s="130"/>
      <c r="AV226" s="285"/>
      <c r="AW226" s="286"/>
      <c r="AX226" s="130"/>
      <c r="AY226" s="130"/>
      <c r="AZ226" s="130"/>
      <c r="BA226" s="285"/>
      <c r="BB226" s="286"/>
      <c r="BC226" s="130"/>
      <c r="BD226" s="285"/>
      <c r="BE226" s="286"/>
      <c r="BF226" s="130"/>
      <c r="BG226" s="285"/>
      <c r="BH226" s="286"/>
      <c r="BI226" s="130"/>
      <c r="BJ226" s="287"/>
      <c r="BK226" s="286"/>
      <c r="BL226" s="130"/>
      <c r="BM226" s="287"/>
      <c r="BN226" s="286"/>
      <c r="BO226" s="130"/>
      <c r="BP226" s="287"/>
      <c r="BQ226" s="286"/>
      <c r="BR226" s="130"/>
      <c r="BS226" s="287"/>
      <c r="BT226" s="286"/>
      <c r="BU226" s="130"/>
      <c r="BV226" s="130"/>
      <c r="BW226" s="130"/>
      <c r="BX226" s="130"/>
      <c r="BY226" s="256"/>
    </row>
    <row r="227" spans="1:77" s="426" customFormat="1" ht="26.25">
      <c r="B227" s="261"/>
      <c r="C227" s="237"/>
      <c r="D227" s="397"/>
      <c r="E227" s="110"/>
      <c r="F227" s="368" t="s">
        <v>397</v>
      </c>
      <c r="G227" s="17" t="s">
        <v>105</v>
      </c>
      <c r="H227" s="276"/>
      <c r="I227" s="276"/>
      <c r="J227" s="276"/>
      <c r="K227" s="276"/>
      <c r="L227" s="276"/>
      <c r="M227" s="276"/>
      <c r="N227" s="276"/>
      <c r="O227" s="276"/>
      <c r="P227" s="276"/>
      <c r="Q227" s="276"/>
      <c r="R227" s="276"/>
      <c r="S227" s="418"/>
      <c r="T227" s="112"/>
      <c r="U227" s="112"/>
      <c r="V227" s="112"/>
      <c r="W227" s="112"/>
      <c r="X227" s="112"/>
      <c r="Y227" s="112"/>
      <c r="Z227" s="112"/>
      <c r="AA227" s="112"/>
      <c r="AB227" s="112"/>
      <c r="AC227" s="112"/>
      <c r="AD227" s="276"/>
      <c r="AE227" s="112"/>
      <c r="AF227" s="129"/>
      <c r="AG227" s="129"/>
      <c r="AH227" s="129"/>
      <c r="AI227" s="129"/>
      <c r="AJ227" s="129"/>
      <c r="AK227" s="129"/>
      <c r="AL227" s="129"/>
      <c r="AM227" s="129"/>
      <c r="AN227" s="129"/>
      <c r="AO227" s="129"/>
      <c r="AP227" s="276"/>
      <c r="AQ227" s="116" t="s">
        <v>401</v>
      </c>
      <c r="AR227" s="116" t="str">
        <f t="shared" si="691"/>
        <v>Compris</v>
      </c>
      <c r="AS227" s="117" t="str">
        <f t="shared" si="691"/>
        <v>Compris</v>
      </c>
      <c r="AT227" s="255"/>
      <c r="AU227" s="130"/>
      <c r="AV227" s="285"/>
      <c r="AW227" s="286"/>
      <c r="AX227" s="130"/>
      <c r="AY227" s="130"/>
      <c r="AZ227" s="130"/>
      <c r="BA227" s="285"/>
      <c r="BB227" s="286"/>
      <c r="BC227" s="130"/>
      <c r="BD227" s="285"/>
      <c r="BE227" s="286"/>
      <c r="BF227" s="130"/>
      <c r="BG227" s="285"/>
      <c r="BH227" s="286"/>
      <c r="BI227" s="130"/>
      <c r="BJ227" s="287"/>
      <c r="BK227" s="286"/>
      <c r="BL227" s="130"/>
      <c r="BM227" s="287"/>
      <c r="BN227" s="286"/>
      <c r="BO227" s="130"/>
      <c r="BP227" s="287"/>
      <c r="BQ227" s="286"/>
      <c r="BR227" s="130"/>
      <c r="BS227" s="287"/>
      <c r="BT227" s="286"/>
      <c r="BU227" s="130"/>
      <c r="BV227" s="130"/>
      <c r="BW227" s="130"/>
      <c r="BX227" s="130"/>
      <c r="BY227" s="256"/>
    </row>
    <row r="228" spans="1:77" s="327" customFormat="1">
      <c r="A228" s="392"/>
      <c r="B228" s="261"/>
      <c r="C228" s="237"/>
      <c r="D228" s="397"/>
      <c r="E228" s="110"/>
      <c r="F228" s="127" t="s">
        <v>398</v>
      </c>
      <c r="G228" s="17" t="s">
        <v>105</v>
      </c>
      <c r="H228" s="365">
        <f t="shared" ref="H228:O228" si="692">+T228</f>
        <v>0</v>
      </c>
      <c r="I228" s="365">
        <f t="shared" si="692"/>
        <v>0</v>
      </c>
      <c r="J228" s="365">
        <f t="shared" si="692"/>
        <v>0</v>
      </c>
      <c r="K228" s="365">
        <f t="shared" si="692"/>
        <v>0</v>
      </c>
      <c r="L228" s="365">
        <f t="shared" si="692"/>
        <v>0</v>
      </c>
      <c r="M228" s="365">
        <f t="shared" si="692"/>
        <v>0</v>
      </c>
      <c r="N228" s="365">
        <f t="shared" si="692"/>
        <v>1</v>
      </c>
      <c r="O228" s="365">
        <f t="shared" si="692"/>
        <v>0</v>
      </c>
      <c r="P228" s="365">
        <f t="shared" ref="P228:Q228" si="693">+AB228</f>
        <v>0</v>
      </c>
      <c r="Q228" s="365">
        <f t="shared" si="693"/>
        <v>0</v>
      </c>
      <c r="R228" s="365"/>
      <c r="S228" s="418">
        <f>SUM(T228:AC228)</f>
        <v>1</v>
      </c>
      <c r="T228" s="365">
        <f t="shared" ref="T228:AC228" si="694">ROUND(AF228,ARRONDI_QT)</f>
        <v>0</v>
      </c>
      <c r="U228" s="365">
        <f t="shared" si="694"/>
        <v>0</v>
      </c>
      <c r="V228" s="365">
        <f t="shared" si="694"/>
        <v>0</v>
      </c>
      <c r="W228" s="365">
        <f t="shared" si="694"/>
        <v>0</v>
      </c>
      <c r="X228" s="365">
        <f t="shared" si="694"/>
        <v>0</v>
      </c>
      <c r="Y228" s="365">
        <f t="shared" si="694"/>
        <v>0</v>
      </c>
      <c r="Z228" s="365">
        <f t="shared" si="694"/>
        <v>1</v>
      </c>
      <c r="AA228" s="365">
        <f t="shared" si="694"/>
        <v>0</v>
      </c>
      <c r="AB228" s="365">
        <f t="shared" si="694"/>
        <v>0</v>
      </c>
      <c r="AC228" s="365">
        <f t="shared" si="694"/>
        <v>0</v>
      </c>
      <c r="AD228" s="365"/>
      <c r="AE228" s="112">
        <f>ROUND(SUM(AF228:AO228),ARRONDI_QT)</f>
        <v>1</v>
      </c>
      <c r="AF228" s="366">
        <v>0</v>
      </c>
      <c r="AG228" s="366">
        <v>0</v>
      </c>
      <c r="AH228" s="366">
        <v>0</v>
      </c>
      <c r="AI228" s="366">
        <v>0</v>
      </c>
      <c r="AJ228" s="366">
        <v>0</v>
      </c>
      <c r="AK228" s="366">
        <v>0</v>
      </c>
      <c r="AL228" s="366">
        <v>1</v>
      </c>
      <c r="AM228" s="366">
        <v>0</v>
      </c>
      <c r="AN228" s="366">
        <v>0</v>
      </c>
      <c r="AO228" s="366">
        <v>0</v>
      </c>
      <c r="AP228" s="365"/>
      <c r="AQ228" s="112">
        <f>SUM(H228:Q228)</f>
        <v>1</v>
      </c>
      <c r="AR228" s="112">
        <f>ROUND(AU228+BV228,ARRONDI_PU)</f>
        <v>3996</v>
      </c>
      <c r="AS228" s="113">
        <f>+AR228*AQ228</f>
        <v>3996</v>
      </c>
      <c r="AT228" s="255"/>
      <c r="AU228" s="130">
        <f>+AX228+BB228+BE228+BH228+BK228+BN228+BQ228+BT228</f>
        <v>3600</v>
      </c>
      <c r="AV228" s="285">
        <f>+COEF_MO_INSTALL</f>
        <v>1.3</v>
      </c>
      <c r="AW228" s="286">
        <v>0</v>
      </c>
      <c r="AX228" s="130">
        <f>+AW228*TH_INSTALL</f>
        <v>0</v>
      </c>
      <c r="AY228" s="130">
        <f>+AW228*AE228</f>
        <v>0</v>
      </c>
      <c r="AZ228" s="130">
        <f>IF(AQ228&gt;0,(AX228*AE228),0)</f>
        <v>0</v>
      </c>
      <c r="BA228" s="285">
        <f>+COEF_FOUR1_INSTALL</f>
        <v>1.3</v>
      </c>
      <c r="BB228" s="286">
        <v>0</v>
      </c>
      <c r="BC228" s="130">
        <f>IF(AQ228&gt;0,(BB228*AE228),0)</f>
        <v>0</v>
      </c>
      <c r="BD228" s="285">
        <f>+COEF_FOUR2_INSTALL</f>
        <v>1.3</v>
      </c>
      <c r="BE228" s="286">
        <v>0</v>
      </c>
      <c r="BF228" s="130">
        <f>IF(AQ228&gt;0,(BE228*AE228),0)</f>
        <v>0</v>
      </c>
      <c r="BG228" s="285">
        <f>+COEF_FOUR3_INSTALL</f>
        <v>1.3</v>
      </c>
      <c r="BH228" s="286">
        <v>0</v>
      </c>
      <c r="BI228" s="130">
        <f>IF(AQ228&gt;0,(BH228*AE228),0)</f>
        <v>0</v>
      </c>
      <c r="BJ228" s="287">
        <f>+COEF_MTLLOC_INSTALL</f>
        <v>1.1499999999999999</v>
      </c>
      <c r="BK228" s="286">
        <v>0</v>
      </c>
      <c r="BL228" s="130">
        <f>IF(AQ228&gt;0,(BK228*AE228),0)</f>
        <v>0</v>
      </c>
      <c r="BM228" s="287">
        <f>+COEF_MTLAMR_INSTALL</f>
        <v>1.3</v>
      </c>
      <c r="BN228" s="286">
        <v>0</v>
      </c>
      <c r="BO228" s="130">
        <f>IF(AQ228&gt;0,(BN228*AE228),0)</f>
        <v>0</v>
      </c>
      <c r="BP228" s="287">
        <f>+COEF_ST1_INSTALL</f>
        <v>1.1100000000000001</v>
      </c>
      <c r="BQ228" s="286">
        <f>450*8</f>
        <v>3600</v>
      </c>
      <c r="BR228" s="130">
        <f>IF(AQ228&gt;0,(BQ228*AE228),0)</f>
        <v>3600</v>
      </c>
      <c r="BS228" s="287">
        <f>+COEF_ST2_INSTALL</f>
        <v>1.1100000000000001</v>
      </c>
      <c r="BT228" s="286">
        <v>0</v>
      </c>
      <c r="BU228" s="130">
        <f>IF(AQ228&gt;0,(BT228*AE228),0)</f>
        <v>0</v>
      </c>
      <c r="BV228" s="130">
        <f>+(((AX228)*AV228)+(BB228*BA228)+(BE228*BD228)+(BH228*BG228)+(BK228*BJ228)+(BN228*BM228)+(BQ228*BP228)+(BT228*BS228)+(BT228*BS228))-(AU228)</f>
        <v>396.00000000000045</v>
      </c>
      <c r="BW228" s="130">
        <f>+BV228*AE228</f>
        <v>396.00000000000045</v>
      </c>
      <c r="BX228" s="130">
        <f>AS228-(BW228+BU228+BR228+BO228+BL228+BI228+BF228+BC228+AZ228)</f>
        <v>0</v>
      </c>
      <c r="BY228" s="329"/>
    </row>
    <row r="229" spans="1:77" s="240" customFormat="1">
      <c r="A229" s="392"/>
      <c r="B229" s="261"/>
      <c r="C229" s="237"/>
      <c r="D229" s="397"/>
      <c r="E229" s="125"/>
      <c r="F229" s="131"/>
      <c r="G229" s="17"/>
      <c r="H229" s="232"/>
      <c r="I229" s="232"/>
      <c r="J229" s="232"/>
      <c r="K229" s="232"/>
      <c r="L229" s="232"/>
      <c r="M229" s="232"/>
      <c r="N229" s="232"/>
      <c r="O229" s="232"/>
      <c r="P229" s="232"/>
      <c r="Q229" s="232"/>
      <c r="R229" s="232"/>
      <c r="S229" s="419"/>
      <c r="T229" s="112"/>
      <c r="U229" s="112"/>
      <c r="V229" s="112"/>
      <c r="W229" s="112"/>
      <c r="X229" s="112"/>
      <c r="Y229" s="112"/>
      <c r="Z229" s="112"/>
      <c r="AA229" s="112"/>
      <c r="AB229" s="112"/>
      <c r="AC229" s="112"/>
      <c r="AD229" s="232"/>
      <c r="AE229" s="112"/>
      <c r="AF229" s="112"/>
      <c r="AG229" s="112"/>
      <c r="AH229" s="112"/>
      <c r="AI229" s="112"/>
      <c r="AJ229" s="112"/>
      <c r="AK229" s="112"/>
      <c r="AL229" s="112"/>
      <c r="AM229" s="112"/>
      <c r="AN229" s="112"/>
      <c r="AO229" s="112"/>
      <c r="AP229" s="232"/>
      <c r="AQ229" s="112"/>
      <c r="AR229" s="112"/>
      <c r="AS229" s="113"/>
      <c r="AU229" s="455"/>
      <c r="AV229" s="284"/>
      <c r="AW229" s="128"/>
      <c r="AX229" s="128"/>
      <c r="AY229" s="128"/>
      <c r="AZ229" s="128"/>
      <c r="BA229" s="284"/>
      <c r="BB229" s="128"/>
      <c r="BC229" s="128"/>
      <c r="BD229" s="284"/>
      <c r="BE229" s="128"/>
      <c r="BF229" s="128"/>
      <c r="BG229" s="284"/>
      <c r="BH229" s="128"/>
      <c r="BI229" s="128"/>
      <c r="BJ229" s="284"/>
      <c r="BK229" s="128"/>
      <c r="BL229" s="128"/>
      <c r="BM229" s="284"/>
      <c r="BN229" s="128"/>
      <c r="BO229" s="128"/>
      <c r="BP229" s="284"/>
      <c r="BQ229" s="128"/>
      <c r="BR229" s="128"/>
      <c r="BS229" s="284"/>
      <c r="BT229" s="128"/>
      <c r="BU229" s="128"/>
      <c r="BV229" s="128"/>
      <c r="BW229" s="128"/>
      <c r="BX229" s="330"/>
    </row>
    <row r="230" spans="1:77" s="240" customFormat="1">
      <c r="A230" s="392"/>
      <c r="B230" s="261"/>
      <c r="C230" s="237"/>
      <c r="D230" s="397"/>
      <c r="E230" s="132"/>
      <c r="F230" s="133"/>
      <c r="G230" s="436" t="str">
        <f>"ST - "&amp;F220</f>
        <v>ST - DIVERS</v>
      </c>
      <c r="H230" s="230"/>
      <c r="I230" s="230"/>
      <c r="J230" s="230"/>
      <c r="K230" s="230"/>
      <c r="L230" s="230"/>
      <c r="M230" s="230"/>
      <c r="N230" s="230"/>
      <c r="O230" s="230"/>
      <c r="P230" s="230"/>
      <c r="Q230" s="404"/>
      <c r="R230" s="404"/>
      <c r="S230" s="420"/>
      <c r="T230" s="291"/>
      <c r="U230" s="291"/>
      <c r="V230" s="291"/>
      <c r="W230" s="291"/>
      <c r="X230" s="291"/>
      <c r="Y230" s="291"/>
      <c r="Z230" s="291"/>
      <c r="AA230" s="291"/>
      <c r="AB230" s="291"/>
      <c r="AC230" s="291"/>
      <c r="AD230" s="404"/>
      <c r="AE230" s="291"/>
      <c r="AF230" s="291"/>
      <c r="AG230" s="291"/>
      <c r="AH230" s="291"/>
      <c r="AI230" s="291"/>
      <c r="AJ230" s="291"/>
      <c r="AK230" s="291"/>
      <c r="AL230" s="291"/>
      <c r="AM230" s="291"/>
      <c r="AN230" s="291"/>
      <c r="AO230" s="291"/>
      <c r="AP230" s="404"/>
      <c r="AQ230" s="134"/>
      <c r="AR230" s="135"/>
      <c r="AS230" s="435">
        <f>SUM(AS221:AS229)</f>
        <v>3996</v>
      </c>
      <c r="AU230" s="456" t="str">
        <f>"ST - DÉBOURSÉ : "&amp;F220</f>
        <v>ST - DÉBOURSÉ : DIVERS</v>
      </c>
      <c r="AV230" s="282"/>
      <c r="AW230" s="282"/>
      <c r="AX230" s="289" t="s">
        <v>50</v>
      </c>
      <c r="AY230" s="290">
        <f>SUM(AY221:AY229)</f>
        <v>0</v>
      </c>
      <c r="AZ230" s="290">
        <f>SUM(AZ221:AZ229)</f>
        <v>0</v>
      </c>
      <c r="BA230" s="291"/>
      <c r="BB230" s="292" t="s">
        <v>42</v>
      </c>
      <c r="BC230" s="290">
        <f>SUM(BC221:BC229)</f>
        <v>0</v>
      </c>
      <c r="BD230" s="291"/>
      <c r="BE230" s="292" t="s">
        <v>43</v>
      </c>
      <c r="BF230" s="290">
        <f>SUM(BF221:BF229)</f>
        <v>0</v>
      </c>
      <c r="BG230" s="291"/>
      <c r="BH230" s="292" t="s">
        <v>44</v>
      </c>
      <c r="BI230" s="290">
        <f>SUM(BI221:BI229)</f>
        <v>0</v>
      </c>
      <c r="BJ230" s="291"/>
      <c r="BK230" s="292" t="s">
        <v>45</v>
      </c>
      <c r="BL230" s="290">
        <f>SUM(BL221:BL229)</f>
        <v>0</v>
      </c>
      <c r="BM230" s="291"/>
      <c r="BN230" s="292" t="s">
        <v>46</v>
      </c>
      <c r="BO230" s="290">
        <f>SUM(BO221:BO229)</f>
        <v>0</v>
      </c>
      <c r="BP230" s="291"/>
      <c r="BQ230" s="292" t="s">
        <v>47</v>
      </c>
      <c r="BR230" s="290">
        <f>SUM(BR221:BR229)</f>
        <v>3600</v>
      </c>
      <c r="BS230" s="291"/>
      <c r="BT230" s="292" t="s">
        <v>48</v>
      </c>
      <c r="BU230" s="290">
        <f>SUM(BU221:BU229)</f>
        <v>0</v>
      </c>
      <c r="BV230" s="292" t="s">
        <v>49</v>
      </c>
      <c r="BW230" s="290">
        <f>SUM(BW221:BW229)</f>
        <v>396.00000000000045</v>
      </c>
      <c r="BX230" s="290">
        <f>SUM(BX221:BX229)</f>
        <v>0</v>
      </c>
      <c r="BY230" s="329"/>
    </row>
    <row r="231" spans="1:77" s="240" customFormat="1" ht="7.15" customHeight="1">
      <c r="A231" s="392"/>
      <c r="B231" s="30"/>
      <c r="C231" s="31"/>
      <c r="D231" s="31"/>
      <c r="E231" s="30"/>
      <c r="F231" s="31"/>
      <c r="G231" s="31"/>
      <c r="H231" s="31"/>
      <c r="I231" s="31"/>
      <c r="J231" s="31"/>
      <c r="K231" s="31"/>
      <c r="L231" s="31"/>
      <c r="M231" s="31"/>
      <c r="N231" s="31"/>
      <c r="O231" s="31"/>
      <c r="P231" s="31"/>
      <c r="Q231" s="405"/>
      <c r="R231" s="405"/>
      <c r="S231" s="415"/>
      <c r="T231" s="281"/>
      <c r="U231" s="281"/>
      <c r="V231" s="281"/>
      <c r="W231" s="281"/>
      <c r="X231" s="281"/>
      <c r="Y231" s="281"/>
      <c r="Z231" s="281"/>
      <c r="AA231" s="281"/>
      <c r="AB231" s="281"/>
      <c r="AC231" s="281"/>
      <c r="AD231" s="405"/>
      <c r="AE231" s="281"/>
      <c r="AF231" s="281"/>
      <c r="AG231" s="281"/>
      <c r="AH231" s="281"/>
      <c r="AI231" s="281"/>
      <c r="AJ231" s="281"/>
      <c r="AK231" s="281"/>
      <c r="AL231" s="281"/>
      <c r="AM231" s="281"/>
      <c r="AN231" s="281"/>
      <c r="AO231" s="281"/>
      <c r="AP231" s="405"/>
      <c r="AQ231" s="32"/>
      <c r="AR231" s="33"/>
      <c r="AS231" s="34"/>
      <c r="AU231" s="277"/>
      <c r="AV231" s="278"/>
      <c r="AW231" s="279"/>
      <c r="AX231" s="279"/>
      <c r="AY231" s="279"/>
      <c r="AZ231" s="279"/>
      <c r="BA231" s="279"/>
      <c r="BB231" s="279"/>
      <c r="BC231" s="279"/>
      <c r="BD231" s="279"/>
      <c r="BE231" s="279"/>
      <c r="BF231" s="279"/>
      <c r="BG231" s="279"/>
      <c r="BH231" s="279"/>
      <c r="BI231" s="279"/>
      <c r="BJ231" s="279"/>
      <c r="BK231" s="279"/>
      <c r="BL231" s="279"/>
      <c r="BM231" s="279"/>
      <c r="BN231" s="279"/>
      <c r="BO231" s="279"/>
      <c r="BP231" s="279"/>
      <c r="BQ231" s="279"/>
      <c r="BR231" s="279"/>
      <c r="BS231" s="279"/>
      <c r="BT231" s="279"/>
      <c r="BU231" s="279"/>
      <c r="BV231" s="279"/>
      <c r="BW231" s="280"/>
      <c r="BX231" s="291"/>
    </row>
    <row r="232" spans="1:77" s="240" customFormat="1">
      <c r="A232" s="392"/>
      <c r="B232" s="328">
        <f>+E232</f>
        <v>0</v>
      </c>
      <c r="C232" s="41" t="str">
        <f>+F232</f>
        <v>Récapitulation</v>
      </c>
      <c r="D232" s="36"/>
      <c r="E232" s="35"/>
      <c r="F232" s="40" t="s">
        <v>30</v>
      </c>
      <c r="G232" s="36"/>
      <c r="H232" s="36"/>
      <c r="I232" s="36"/>
      <c r="J232" s="36"/>
      <c r="K232" s="36"/>
      <c r="L232" s="36"/>
      <c r="M232" s="36"/>
      <c r="N232" s="36"/>
      <c r="O232" s="36"/>
      <c r="P232" s="36"/>
      <c r="Q232" s="406"/>
      <c r="R232" s="406"/>
      <c r="S232" s="416"/>
      <c r="T232" s="72"/>
      <c r="U232" s="72"/>
      <c r="V232" s="72"/>
      <c r="W232" s="72"/>
      <c r="X232" s="72"/>
      <c r="Y232" s="72"/>
      <c r="Z232" s="72"/>
      <c r="AA232" s="72"/>
      <c r="AB232" s="72"/>
      <c r="AC232" s="72"/>
      <c r="AD232" s="406"/>
      <c r="AE232" s="72"/>
      <c r="AF232" s="72"/>
      <c r="AG232" s="72"/>
      <c r="AH232" s="72"/>
      <c r="AI232" s="72"/>
      <c r="AJ232" s="72"/>
      <c r="AK232" s="72"/>
      <c r="AL232" s="72"/>
      <c r="AM232" s="72"/>
      <c r="AN232" s="72"/>
      <c r="AO232" s="72"/>
      <c r="AP232" s="406"/>
      <c r="AQ232" s="37"/>
      <c r="AR232" s="38"/>
      <c r="AS232" s="39"/>
      <c r="AU232" s="328" t="str">
        <f>+" Déboursé : "&amp;F232</f>
        <v xml:space="preserve"> Déboursé : Récapitulation</v>
      </c>
      <c r="AV232" s="325"/>
      <c r="AW232" s="325"/>
      <c r="AX232" s="326"/>
      <c r="AY232" s="136" t="s">
        <v>55</v>
      </c>
      <c r="AZ232" s="136" t="s">
        <v>54</v>
      </c>
      <c r="BA232" s="137"/>
      <c r="BB232" s="137"/>
      <c r="BC232" s="137"/>
      <c r="BD232" s="137"/>
      <c r="BE232" s="137"/>
      <c r="BF232" s="137"/>
      <c r="BG232" s="123"/>
      <c r="BH232" s="123"/>
      <c r="BI232" s="123"/>
      <c r="BJ232" s="123"/>
      <c r="BK232" s="123"/>
      <c r="BL232" s="123"/>
      <c r="BM232" s="123"/>
      <c r="BN232" s="123"/>
      <c r="BO232" s="123"/>
      <c r="BP232" s="123"/>
      <c r="BQ232" s="123"/>
      <c r="BR232" s="123"/>
      <c r="BS232" s="123"/>
      <c r="BT232" s="123"/>
      <c r="BU232" s="123"/>
      <c r="BV232" s="123"/>
      <c r="BW232" s="124"/>
      <c r="BX232" s="137"/>
    </row>
    <row r="233" spans="1:77" s="240" customFormat="1" ht="7.9" customHeight="1">
      <c r="A233" s="392"/>
      <c r="B233" s="258"/>
      <c r="C233" s="259"/>
      <c r="D233" s="260"/>
      <c r="E233" s="301"/>
      <c r="F233" s="302"/>
      <c r="G233" s="303"/>
      <c r="H233" s="304"/>
      <c r="I233" s="304"/>
      <c r="J233" s="304"/>
      <c r="K233" s="304"/>
      <c r="L233" s="304"/>
      <c r="M233" s="304"/>
      <c r="N233" s="304"/>
      <c r="O233" s="304"/>
      <c r="P233" s="304"/>
      <c r="Q233" s="407"/>
      <c r="R233" s="407"/>
      <c r="S233" s="421"/>
      <c r="T233" s="233"/>
      <c r="U233" s="233"/>
      <c r="V233" s="233"/>
      <c r="W233" s="233"/>
      <c r="X233" s="233"/>
      <c r="Y233" s="233"/>
      <c r="Z233" s="233"/>
      <c r="AA233" s="233"/>
      <c r="AB233" s="233"/>
      <c r="AC233" s="233"/>
      <c r="AD233" s="407"/>
      <c r="AE233" s="233"/>
      <c r="AF233" s="233"/>
      <c r="AG233" s="233"/>
      <c r="AH233" s="233"/>
      <c r="AI233" s="233"/>
      <c r="AJ233" s="233"/>
      <c r="AK233" s="233"/>
      <c r="AL233" s="233"/>
      <c r="AM233" s="233"/>
      <c r="AN233" s="233"/>
      <c r="AO233" s="233"/>
      <c r="AP233" s="407"/>
      <c r="AQ233" s="305"/>
      <c r="AR233" s="305"/>
      <c r="AS233" s="306"/>
      <c r="AU233" s="450"/>
      <c r="AV233" s="259"/>
      <c r="AW233" s="259"/>
      <c r="AX233" s="260"/>
      <c r="AY233" s="238"/>
      <c r="AZ233" s="238"/>
      <c r="BA233" s="238"/>
      <c r="BB233" s="238"/>
      <c r="BC233" s="238"/>
      <c r="BD233" s="238"/>
      <c r="BE233" s="238"/>
      <c r="BF233" s="238"/>
      <c r="BG233" s="238"/>
      <c r="BH233" s="238"/>
      <c r="BI233" s="238"/>
      <c r="BJ233" s="238"/>
      <c r="BK233" s="238"/>
      <c r="BL233" s="238"/>
      <c r="BM233" s="238"/>
      <c r="BN233" s="238"/>
      <c r="BO233" s="238"/>
      <c r="BP233" s="238"/>
      <c r="BQ233" s="238"/>
      <c r="BR233" s="238"/>
      <c r="BS233" s="238"/>
      <c r="BT233" s="238"/>
      <c r="BU233" s="238"/>
      <c r="BV233" s="238"/>
      <c r="BW233" s="238"/>
      <c r="BX233" s="238"/>
    </row>
    <row r="234" spans="1:77" s="240" customFormat="1">
      <c r="A234" s="392"/>
      <c r="B234" s="261"/>
      <c r="C234" s="251"/>
      <c r="D234" s="252"/>
      <c r="E234" s="307" t="str">
        <f>+E8</f>
        <v>A</v>
      </c>
      <c r="F234" s="308" t="str">
        <f>+"    - "&amp;UPPER(F8)&amp;".....................................................………………………………………………………………………………………………………………………………………….………………………………………………………………………………………………………………………………………………………………"</f>
        <v xml:space="preserve">    - TERRASSEMENT.....................................................………………………………………………………………………………………………………………………………………….………………………………………………………………………………………………………………………………………………………………</v>
      </c>
      <c r="G234" s="309"/>
      <c r="H234" s="310"/>
      <c r="I234" s="310"/>
      <c r="J234" s="310"/>
      <c r="K234" s="310"/>
      <c r="L234" s="310"/>
      <c r="M234" s="310"/>
      <c r="N234" s="310"/>
      <c r="O234" s="310"/>
      <c r="P234" s="310"/>
      <c r="Q234" s="408"/>
      <c r="R234" s="408"/>
      <c r="S234" s="422" t="s">
        <v>28</v>
      </c>
      <c r="T234" s="234"/>
      <c r="U234" s="234"/>
      <c r="V234" s="234"/>
      <c r="W234" s="234"/>
      <c r="X234" s="234"/>
      <c r="Y234" s="234"/>
      <c r="Z234" s="234"/>
      <c r="AA234" s="234"/>
      <c r="AB234" s="234"/>
      <c r="AC234" s="234"/>
      <c r="AD234" s="408"/>
      <c r="AE234" s="234"/>
      <c r="AF234" s="234" t="s">
        <v>28</v>
      </c>
      <c r="AG234" s="234" t="s">
        <v>28</v>
      </c>
      <c r="AH234" s="234" t="s">
        <v>28</v>
      </c>
      <c r="AI234" s="234" t="s">
        <v>28</v>
      </c>
      <c r="AJ234" s="234" t="s">
        <v>28</v>
      </c>
      <c r="AK234" s="234" t="s">
        <v>28</v>
      </c>
      <c r="AL234" s="234" t="s">
        <v>28</v>
      </c>
      <c r="AM234" s="234" t="s">
        <v>28</v>
      </c>
      <c r="AN234" s="234" t="s">
        <v>28</v>
      </c>
      <c r="AO234" s="234" t="s">
        <v>28</v>
      </c>
      <c r="AP234" s="408"/>
      <c r="AQ234" s="311"/>
      <c r="AR234" s="311"/>
      <c r="AS234" s="312">
        <f>+AS75</f>
        <v>266217.65299999999</v>
      </c>
      <c r="AU234" s="395" t="str">
        <f>+E234&amp;F234</f>
        <v>A    - TERRASSEMENT.....................................................………………………………………………………………………………………………………………………………………….………………………………………………………………………………………………………………………………………………………………</v>
      </c>
      <c r="AV234" s="251"/>
      <c r="AW234" s="251"/>
      <c r="AX234" s="252"/>
      <c r="AY234" s="262">
        <f>+AY75</f>
        <v>31.880000000000003</v>
      </c>
      <c r="AZ234" s="262">
        <f>+AZ75</f>
        <v>940.46</v>
      </c>
      <c r="BA234" s="237"/>
      <c r="BB234" s="262"/>
      <c r="BC234" s="262">
        <f>+BC75</f>
        <v>13070.8</v>
      </c>
      <c r="BD234" s="237"/>
      <c r="BE234" s="237"/>
      <c r="BF234" s="262">
        <f>+BF75</f>
        <v>46</v>
      </c>
      <c r="BG234" s="237"/>
      <c r="BH234" s="237"/>
      <c r="BI234" s="262">
        <f>+BI75</f>
        <v>95</v>
      </c>
      <c r="BJ234" s="237"/>
      <c r="BK234" s="237"/>
      <c r="BL234" s="262">
        <f>+BL75</f>
        <v>791</v>
      </c>
      <c r="BM234" s="237"/>
      <c r="BN234" s="237"/>
      <c r="BO234" s="262">
        <f>+BO75</f>
        <v>0</v>
      </c>
      <c r="BP234" s="237"/>
      <c r="BQ234" s="237"/>
      <c r="BR234" s="262">
        <f>+BR75</f>
        <v>222441.5</v>
      </c>
      <c r="BS234" s="237"/>
      <c r="BT234" s="237"/>
      <c r="BU234" s="262">
        <f>+BU75</f>
        <v>0</v>
      </c>
      <c r="BV234" s="237"/>
      <c r="BW234" s="262">
        <f>+BW75</f>
        <v>28832.893000000015</v>
      </c>
      <c r="BX234" s="262">
        <f>+BX75</f>
        <v>0</v>
      </c>
    </row>
    <row r="235" spans="1:77" s="240" customFormat="1">
      <c r="A235" s="392"/>
      <c r="B235" s="261"/>
      <c r="C235" s="251"/>
      <c r="D235" s="252"/>
      <c r="E235" s="307" t="str">
        <f>+E77</f>
        <v>B</v>
      </c>
      <c r="F235" s="308" t="str">
        <f>+"    - "&amp;UPPER(F77)&amp;".....................................................………………………………………………………………………………………………………………………………………….………………………………………………………………………………………………………………………………………………………………"</f>
        <v xml:space="preserve">    - VRD.....................................................………………………………………………………………………………………………………………………………………….………………………………………………………………………………………………………………………………………………………………</v>
      </c>
      <c r="G235" s="309"/>
      <c r="H235" s="310"/>
      <c r="I235" s="310"/>
      <c r="J235" s="310"/>
      <c r="K235" s="310"/>
      <c r="L235" s="310"/>
      <c r="M235" s="310"/>
      <c r="N235" s="310"/>
      <c r="O235" s="310"/>
      <c r="P235" s="310"/>
      <c r="Q235" s="408"/>
      <c r="R235" s="408"/>
      <c r="S235" s="422" t="s">
        <v>28</v>
      </c>
      <c r="T235" s="234"/>
      <c r="U235" s="234"/>
      <c r="V235" s="234"/>
      <c r="W235" s="234"/>
      <c r="X235" s="234"/>
      <c r="Y235" s="234"/>
      <c r="Z235" s="234"/>
      <c r="AA235" s="234"/>
      <c r="AB235" s="234"/>
      <c r="AC235" s="234"/>
      <c r="AD235" s="408"/>
      <c r="AE235" s="234"/>
      <c r="AF235" s="234" t="s">
        <v>28</v>
      </c>
      <c r="AG235" s="234" t="s">
        <v>28</v>
      </c>
      <c r="AH235" s="234" t="s">
        <v>28</v>
      </c>
      <c r="AI235" s="234" t="s">
        <v>28</v>
      </c>
      <c r="AJ235" s="234" t="s">
        <v>28</v>
      </c>
      <c r="AK235" s="234" t="s">
        <v>28</v>
      </c>
      <c r="AL235" s="234" t="s">
        <v>28</v>
      </c>
      <c r="AM235" s="234" t="s">
        <v>28</v>
      </c>
      <c r="AN235" s="234" t="s">
        <v>28</v>
      </c>
      <c r="AO235" s="234" t="s">
        <v>28</v>
      </c>
      <c r="AP235" s="408"/>
      <c r="AQ235" s="311"/>
      <c r="AR235" s="311"/>
      <c r="AS235" s="312">
        <f>+AS183</f>
        <v>253084.617</v>
      </c>
      <c r="AU235" s="395" t="str">
        <f>+E235&amp;F235</f>
        <v>B    - VRD.....................................................………………………………………………………………………………………………………………………………………….………………………………………………………………………………………………………………………………………………………………</v>
      </c>
      <c r="AV235" s="251"/>
      <c r="AW235" s="251"/>
      <c r="AX235" s="252"/>
      <c r="AY235" s="262">
        <f>+AY183</f>
        <v>69.599999999999994</v>
      </c>
      <c r="AZ235" s="262">
        <f>+AZ183</f>
        <v>2053.1999999999998</v>
      </c>
      <c r="BA235" s="237"/>
      <c r="BB235" s="262"/>
      <c r="BC235" s="262">
        <f>+BC183</f>
        <v>4280</v>
      </c>
      <c r="BD235" s="237"/>
      <c r="BE235" s="237"/>
      <c r="BF235" s="262">
        <f>+BF183</f>
        <v>428</v>
      </c>
      <c r="BG235" s="237"/>
      <c r="BH235" s="237"/>
      <c r="BI235" s="262">
        <f>+BI183</f>
        <v>600</v>
      </c>
      <c r="BJ235" s="237"/>
      <c r="BK235" s="237"/>
      <c r="BL235" s="262">
        <f>+BL183</f>
        <v>0</v>
      </c>
      <c r="BM235" s="237"/>
      <c r="BN235" s="237"/>
      <c r="BO235" s="262">
        <f>+BO183</f>
        <v>0</v>
      </c>
      <c r="BP235" s="237"/>
      <c r="BQ235" s="237"/>
      <c r="BR235" s="262">
        <f>+BR183</f>
        <v>219382.93000000002</v>
      </c>
      <c r="BS235" s="237"/>
      <c r="BT235" s="237"/>
      <c r="BU235" s="262">
        <f>+BU183</f>
        <v>0</v>
      </c>
      <c r="BV235" s="237"/>
      <c r="BW235" s="262">
        <f>+BW183</f>
        <v>26340.482300000029</v>
      </c>
      <c r="BX235" s="262">
        <f>+BX183</f>
        <v>4.6999999971149009E-3</v>
      </c>
    </row>
    <row r="236" spans="1:77" s="240" customFormat="1">
      <c r="A236" s="392"/>
      <c r="B236" s="261"/>
      <c r="C236" s="251"/>
      <c r="D236" s="252"/>
      <c r="E236" s="307" t="str">
        <f>+E185</f>
        <v>C</v>
      </c>
      <c r="F236" s="308" t="str">
        <f>+"    - "&amp;UPPER(F185)&amp;".....................................................………………………………………………………………………………………………………………………………………….………………………………………………………………………………………………………………………………………………………………"</f>
        <v xml:space="preserve">    - CLOTURES.....................................................………………………………………………………………………………………………………………………………………….………………………………………………………………………………………………………………………………………………………………</v>
      </c>
      <c r="G236" s="309"/>
      <c r="H236" s="310"/>
      <c r="I236" s="310"/>
      <c r="J236" s="310"/>
      <c r="K236" s="310"/>
      <c r="L236" s="310"/>
      <c r="M236" s="310"/>
      <c r="N236" s="310"/>
      <c r="O236" s="310"/>
      <c r="P236" s="310"/>
      <c r="Q236" s="408"/>
      <c r="R236" s="408"/>
      <c r="S236" s="422" t="s">
        <v>28</v>
      </c>
      <c r="T236" s="234"/>
      <c r="U236" s="234"/>
      <c r="V236" s="234"/>
      <c r="W236" s="234"/>
      <c r="X236" s="234"/>
      <c r="Y236" s="234"/>
      <c r="Z236" s="234"/>
      <c r="AA236" s="234"/>
      <c r="AB236" s="234"/>
      <c r="AC236" s="234"/>
      <c r="AD236" s="408"/>
      <c r="AE236" s="234"/>
      <c r="AF236" s="234" t="s">
        <v>28</v>
      </c>
      <c r="AG236" s="234" t="s">
        <v>28</v>
      </c>
      <c r="AH236" s="234" t="s">
        <v>28</v>
      </c>
      <c r="AI236" s="234" t="s">
        <v>28</v>
      </c>
      <c r="AJ236" s="234" t="s">
        <v>28</v>
      </c>
      <c r="AK236" s="234" t="s">
        <v>28</v>
      </c>
      <c r="AL236" s="234" t="s">
        <v>28</v>
      </c>
      <c r="AM236" s="234" t="s">
        <v>28</v>
      </c>
      <c r="AN236" s="234" t="s">
        <v>28</v>
      </c>
      <c r="AO236" s="234" t="s">
        <v>28</v>
      </c>
      <c r="AP236" s="408"/>
      <c r="AQ236" s="311"/>
      <c r="AR236" s="311"/>
      <c r="AS236" s="312">
        <f>+AS218</f>
        <v>35277.967000000004</v>
      </c>
      <c r="AU236" s="395" t="str">
        <f>+E236&amp;F236</f>
        <v>C    - CLOTURES.....................................................………………………………………………………………………………………………………………………………………….………………………………………………………………………………………………………………………………………………………………</v>
      </c>
      <c r="AV236" s="251"/>
      <c r="AW236" s="251"/>
      <c r="AX236" s="252"/>
      <c r="AY236" s="262">
        <f>+AY218</f>
        <v>0</v>
      </c>
      <c r="AZ236" s="262">
        <f>+AZ218</f>
        <v>0</v>
      </c>
      <c r="BA236" s="237"/>
      <c r="BB236" s="262"/>
      <c r="BC236" s="262">
        <f>+BC218</f>
        <v>0</v>
      </c>
      <c r="BD236" s="237"/>
      <c r="BE236" s="237"/>
      <c r="BF236" s="262">
        <f>+BF218</f>
        <v>0</v>
      </c>
      <c r="BG236" s="237"/>
      <c r="BH236" s="237"/>
      <c r="BI236" s="262">
        <f>+BI218</f>
        <v>0</v>
      </c>
      <c r="BJ236" s="237"/>
      <c r="BK236" s="237"/>
      <c r="BL236" s="262">
        <f>+BL218</f>
        <v>0</v>
      </c>
      <c r="BM236" s="237"/>
      <c r="BN236" s="237"/>
      <c r="BO236" s="262">
        <f>+BO218</f>
        <v>0</v>
      </c>
      <c r="BP236" s="237"/>
      <c r="BQ236" s="237"/>
      <c r="BR236" s="262">
        <f>+BR218</f>
        <v>31781.963199999998</v>
      </c>
      <c r="BS236" s="237"/>
      <c r="BT236" s="237"/>
      <c r="BU236" s="262">
        <f>+BU218</f>
        <v>0</v>
      </c>
      <c r="BV236" s="237"/>
      <c r="BW236" s="262">
        <f>+BW218</f>
        <v>3496.0159520000034</v>
      </c>
      <c r="BX236" s="262">
        <f>+BX218</f>
        <v>-1.2152000000810403E-2</v>
      </c>
    </row>
    <row r="237" spans="1:77" s="240" customFormat="1">
      <c r="A237" s="392"/>
      <c r="B237" s="261"/>
      <c r="C237" s="251"/>
      <c r="D237" s="252"/>
      <c r="E237" s="307" t="str">
        <f>+E220</f>
        <v>D</v>
      </c>
      <c r="F237" s="308" t="str">
        <f>+"    - "&amp;UPPER(F220)&amp;".....................................................………………………………………………………………………………………………………………………………………….………………………………………………………………………………………………………………………………………………………………"</f>
        <v xml:space="preserve">    - DIVERS.....................................................………………………………………………………………………………………………………………………………………….………………………………………………………………………………………………………………………………………………………………</v>
      </c>
      <c r="G237" s="309"/>
      <c r="H237" s="310"/>
      <c r="I237" s="310"/>
      <c r="J237" s="310"/>
      <c r="K237" s="310"/>
      <c r="L237" s="310"/>
      <c r="M237" s="310"/>
      <c r="N237" s="310"/>
      <c r="O237" s="310"/>
      <c r="P237" s="310"/>
      <c r="Q237" s="408"/>
      <c r="R237" s="408"/>
      <c r="S237" s="422" t="s">
        <v>28</v>
      </c>
      <c r="T237" s="234"/>
      <c r="U237" s="234"/>
      <c r="V237" s="234"/>
      <c r="W237" s="234"/>
      <c r="X237" s="234"/>
      <c r="Y237" s="234"/>
      <c r="Z237" s="234"/>
      <c r="AA237" s="234"/>
      <c r="AB237" s="234"/>
      <c r="AC237" s="234"/>
      <c r="AD237" s="408"/>
      <c r="AE237" s="234"/>
      <c r="AF237" s="234" t="s">
        <v>28</v>
      </c>
      <c r="AG237" s="234" t="s">
        <v>28</v>
      </c>
      <c r="AH237" s="234" t="s">
        <v>28</v>
      </c>
      <c r="AI237" s="234" t="s">
        <v>28</v>
      </c>
      <c r="AJ237" s="234" t="s">
        <v>28</v>
      </c>
      <c r="AK237" s="234" t="s">
        <v>28</v>
      </c>
      <c r="AL237" s="234" t="s">
        <v>28</v>
      </c>
      <c r="AM237" s="234" t="s">
        <v>28</v>
      </c>
      <c r="AN237" s="234" t="s">
        <v>28</v>
      </c>
      <c r="AO237" s="234" t="s">
        <v>28</v>
      </c>
      <c r="AP237" s="408"/>
      <c r="AQ237" s="311"/>
      <c r="AR237" s="311"/>
      <c r="AS237" s="312">
        <f>+AS230</f>
        <v>3996</v>
      </c>
      <c r="AU237" s="395" t="str">
        <f>+E237&amp;F237</f>
        <v>D    - DIVERS.....................................................………………………………………………………………………………………………………………………………………….………………………………………………………………………………………………………………………………………………………………</v>
      </c>
      <c r="AV237" s="251"/>
      <c r="AW237" s="251"/>
      <c r="AX237" s="252"/>
      <c r="AY237" s="262">
        <f>+AY230</f>
        <v>0</v>
      </c>
      <c r="AZ237" s="262">
        <f>+AZ230</f>
        <v>0</v>
      </c>
      <c r="BA237" s="237"/>
      <c r="BB237" s="262"/>
      <c r="BC237" s="262">
        <f>+BC230</f>
        <v>0</v>
      </c>
      <c r="BD237" s="237"/>
      <c r="BE237" s="237"/>
      <c r="BF237" s="262">
        <f>+BF230</f>
        <v>0</v>
      </c>
      <c r="BG237" s="237"/>
      <c r="BH237" s="237"/>
      <c r="BI237" s="262">
        <f>+BI230</f>
        <v>0</v>
      </c>
      <c r="BJ237" s="237"/>
      <c r="BK237" s="237"/>
      <c r="BL237" s="262">
        <f>+BL230</f>
        <v>0</v>
      </c>
      <c r="BM237" s="237"/>
      <c r="BN237" s="237"/>
      <c r="BO237" s="262">
        <f>+BO230</f>
        <v>0</v>
      </c>
      <c r="BP237" s="237"/>
      <c r="BQ237" s="237"/>
      <c r="BR237" s="262">
        <f>+BR230</f>
        <v>3600</v>
      </c>
      <c r="BS237" s="237"/>
      <c r="BT237" s="237"/>
      <c r="BU237" s="262">
        <f>+BU230</f>
        <v>0</v>
      </c>
      <c r="BV237" s="237"/>
      <c r="BW237" s="262">
        <f>+BW230</f>
        <v>396.00000000000045</v>
      </c>
      <c r="BX237" s="262">
        <f>+BX230</f>
        <v>0</v>
      </c>
    </row>
    <row r="238" spans="1:77" s="240" customFormat="1" ht="7.9" customHeight="1">
      <c r="A238" s="392"/>
      <c r="B238" s="261"/>
      <c r="C238" s="251"/>
      <c r="D238" s="252"/>
      <c r="E238" s="307"/>
      <c r="F238" s="308"/>
      <c r="G238" s="309"/>
      <c r="H238" s="310"/>
      <c r="I238" s="310"/>
      <c r="J238" s="310"/>
      <c r="K238" s="310"/>
      <c r="L238" s="310"/>
      <c r="M238" s="310"/>
      <c r="N238" s="310"/>
      <c r="O238" s="310"/>
      <c r="P238" s="310"/>
      <c r="Q238" s="408"/>
      <c r="R238" s="408"/>
      <c r="S238" s="422"/>
      <c r="T238" s="234"/>
      <c r="U238" s="234"/>
      <c r="V238" s="234"/>
      <c r="W238" s="234"/>
      <c r="X238" s="234"/>
      <c r="Y238" s="234"/>
      <c r="Z238" s="234"/>
      <c r="AA238" s="234"/>
      <c r="AB238" s="234"/>
      <c r="AC238" s="234"/>
      <c r="AD238" s="408"/>
      <c r="AE238" s="234"/>
      <c r="AF238" s="234"/>
      <c r="AG238" s="234"/>
      <c r="AH238" s="234"/>
      <c r="AI238" s="234"/>
      <c r="AJ238" s="234"/>
      <c r="AK238" s="234"/>
      <c r="AL238" s="234"/>
      <c r="AM238" s="234"/>
      <c r="AN238" s="234"/>
      <c r="AO238" s="234"/>
      <c r="AP238" s="408"/>
      <c r="AQ238" s="311"/>
      <c r="AR238" s="311"/>
      <c r="AS238" s="313"/>
      <c r="AU238" s="395"/>
      <c r="AV238" s="251"/>
      <c r="AW238" s="251"/>
      <c r="AX238" s="252"/>
      <c r="AY238" s="262"/>
      <c r="AZ238" s="262"/>
      <c r="BA238" s="237"/>
      <c r="BB238" s="262"/>
      <c r="BC238" s="262"/>
      <c r="BD238" s="237"/>
      <c r="BE238" s="237"/>
      <c r="BF238" s="262"/>
      <c r="BG238" s="237"/>
      <c r="BH238" s="237"/>
      <c r="BI238" s="262"/>
      <c r="BJ238" s="237"/>
      <c r="BK238" s="237"/>
      <c r="BL238" s="262"/>
      <c r="BM238" s="237"/>
      <c r="BN238" s="237"/>
      <c r="BO238" s="262"/>
      <c r="BP238" s="237"/>
      <c r="BQ238" s="237"/>
      <c r="BR238" s="262"/>
      <c r="BS238" s="237"/>
      <c r="BT238" s="237"/>
      <c r="BU238" s="262"/>
      <c r="BV238" s="237"/>
      <c r="BW238" s="262"/>
      <c r="BX238" s="274"/>
      <c r="BY238" s="240" t="s">
        <v>28</v>
      </c>
    </row>
    <row r="239" spans="1:77" s="240" customFormat="1" ht="17.25">
      <c r="A239" s="392"/>
      <c r="B239" s="261"/>
      <c r="C239" s="251"/>
      <c r="D239" s="398"/>
      <c r="E239" s="314"/>
      <c r="F239" s="315"/>
      <c r="G239" s="316" t="str">
        <f>F232&amp;CONCATENATE("………………………………………………………………………………………………………………………………………………………………………………………………………………")</f>
        <v>Récapitulation………………………………………………………………………………………………………………………………………………………………………………………………………………</v>
      </c>
      <c r="H239" s="317"/>
      <c r="I239" s="317"/>
      <c r="J239" s="317"/>
      <c r="K239" s="317"/>
      <c r="L239" s="317"/>
      <c r="M239" s="317"/>
      <c r="N239" s="317"/>
      <c r="O239" s="317"/>
      <c r="P239" s="317"/>
      <c r="Q239" s="409"/>
      <c r="R239" s="409"/>
      <c r="S239" s="318"/>
      <c r="T239" s="235"/>
      <c r="U239" s="235"/>
      <c r="V239" s="235"/>
      <c r="W239" s="235"/>
      <c r="X239" s="235"/>
      <c r="Y239" s="235"/>
      <c r="Z239" s="235"/>
      <c r="AA239" s="235"/>
      <c r="AB239" s="235"/>
      <c r="AC239" s="235"/>
      <c r="AD239" s="409"/>
      <c r="AE239" s="235"/>
      <c r="AF239" s="235"/>
      <c r="AG239" s="235"/>
      <c r="AH239" s="235"/>
      <c r="AI239" s="235"/>
      <c r="AJ239" s="235"/>
      <c r="AK239" s="235"/>
      <c r="AL239" s="235"/>
      <c r="AM239" s="235"/>
      <c r="AN239" s="235"/>
      <c r="AO239" s="235"/>
      <c r="AP239" s="409"/>
      <c r="AQ239" s="265"/>
      <c r="AR239" s="318"/>
      <c r="AS239" s="319">
        <f>SUM(AS233:AS238)</f>
        <v>558576.23699999996</v>
      </c>
      <c r="AT239" s="263"/>
      <c r="AU239" s="264" t="str">
        <f>+G239</f>
        <v>Récapitulation………………………………………………………………………………………………………………………………………………………………………………………………………………</v>
      </c>
      <c r="AV239" s="265"/>
      <c r="AW239" s="265"/>
      <c r="AX239" s="266" t="s">
        <v>50</v>
      </c>
      <c r="AY239" s="267">
        <f>SUM(AY233:AY238)</f>
        <v>101.47999999999999</v>
      </c>
      <c r="AZ239" s="267">
        <f>SUM(AZ233:AZ238)</f>
        <v>2993.66</v>
      </c>
      <c r="BA239" s="235"/>
      <c r="BB239" s="268" t="s">
        <v>51</v>
      </c>
      <c r="BC239" s="267">
        <f>SUM(BC233:BC238)</f>
        <v>17350.8</v>
      </c>
      <c r="BD239" s="235"/>
      <c r="BE239" s="268" t="s">
        <v>53</v>
      </c>
      <c r="BF239" s="267">
        <f>SUM(BF233:BF238)</f>
        <v>474</v>
      </c>
      <c r="BG239" s="235"/>
      <c r="BH239" s="268" t="s">
        <v>52</v>
      </c>
      <c r="BI239" s="267">
        <f>SUM(BI233:BI238)</f>
        <v>695</v>
      </c>
      <c r="BJ239" s="235"/>
      <c r="BK239" s="268" t="s">
        <v>45</v>
      </c>
      <c r="BL239" s="267">
        <f>SUM(BL233:BL238)</f>
        <v>791</v>
      </c>
      <c r="BM239" s="235"/>
      <c r="BN239" s="268" t="s">
        <v>46</v>
      </c>
      <c r="BO239" s="267">
        <f>SUM(BO233:BO238)</f>
        <v>0</v>
      </c>
      <c r="BP239" s="235"/>
      <c r="BQ239" s="268" t="s">
        <v>47</v>
      </c>
      <c r="BR239" s="267">
        <f>SUM(BR233:BR238)</f>
        <v>477206.39320000005</v>
      </c>
      <c r="BS239" s="235"/>
      <c r="BT239" s="268" t="s">
        <v>48</v>
      </c>
      <c r="BU239" s="267">
        <f>SUM(BU233:BU238)</f>
        <v>0</v>
      </c>
      <c r="BV239" s="268" t="s">
        <v>49</v>
      </c>
      <c r="BW239" s="267">
        <f>SUM(BW233:BW238)</f>
        <v>59065.391252000045</v>
      </c>
      <c r="BX239" s="267">
        <f>SUM(BX233:BX238)</f>
        <v>-7.4520000036955025E-3</v>
      </c>
      <c r="BY239" s="240" t="s">
        <v>28</v>
      </c>
    </row>
    <row r="240" spans="1:77" s="240" customFormat="1">
      <c r="A240" s="392"/>
      <c r="B240" s="261"/>
      <c r="C240" s="251"/>
      <c r="D240" s="252"/>
      <c r="E240" s="257"/>
      <c r="F240" s="253"/>
      <c r="G240" s="253"/>
      <c r="H240" s="320"/>
      <c r="I240" s="320"/>
      <c r="J240" s="320"/>
      <c r="K240" s="320"/>
      <c r="L240" s="320"/>
      <c r="M240" s="320"/>
      <c r="N240" s="320"/>
      <c r="O240" s="320"/>
      <c r="P240" s="320"/>
      <c r="Q240" s="410"/>
      <c r="R240" s="410"/>
      <c r="S240" s="254"/>
      <c r="T240" s="236"/>
      <c r="U240" s="236"/>
      <c r="V240" s="236"/>
      <c r="W240" s="236"/>
      <c r="X240" s="236"/>
      <c r="Y240" s="236"/>
      <c r="Z240" s="236"/>
      <c r="AA240" s="236"/>
      <c r="AB240" s="236"/>
      <c r="AC240" s="236"/>
      <c r="AD240" s="410"/>
      <c r="AE240" s="236"/>
      <c r="AF240" s="236"/>
      <c r="AG240" s="236"/>
      <c r="AH240" s="236"/>
      <c r="AI240" s="236"/>
      <c r="AJ240" s="236"/>
      <c r="AK240" s="236"/>
      <c r="AL240" s="236"/>
      <c r="AM240" s="236"/>
      <c r="AN240" s="236"/>
      <c r="AO240" s="236"/>
      <c r="AP240" s="410"/>
      <c r="AQ240" s="253"/>
      <c r="AR240" s="253"/>
      <c r="AS240" s="321"/>
      <c r="AU240" s="449"/>
      <c r="AV240" s="253"/>
      <c r="AW240" s="253"/>
      <c r="AX240" s="253"/>
      <c r="AY240" s="253"/>
      <c r="AZ240" s="253"/>
      <c r="BA240" s="253"/>
      <c r="BB240" s="253"/>
      <c r="BC240" s="253"/>
      <c r="BD240" s="253"/>
      <c r="BE240" s="253"/>
      <c r="BF240" s="253"/>
      <c r="BG240" s="253"/>
      <c r="BH240" s="253"/>
      <c r="BI240" s="253"/>
      <c r="BJ240" s="253"/>
      <c r="BK240" s="253"/>
      <c r="BL240" s="253"/>
      <c r="BM240" s="253"/>
      <c r="BN240" s="253"/>
      <c r="BO240" s="253"/>
      <c r="BP240" s="253"/>
      <c r="BQ240" s="253"/>
      <c r="BR240" s="253"/>
      <c r="BS240" s="253"/>
      <c r="BT240" s="253"/>
      <c r="BU240" s="253"/>
      <c r="BV240" s="253"/>
      <c r="BW240" s="254"/>
      <c r="BX240" s="236"/>
    </row>
    <row r="241" spans="1:76" s="240" customFormat="1">
      <c r="A241" s="392"/>
      <c r="B241" s="261"/>
      <c r="C241" s="251"/>
      <c r="D241" s="252"/>
      <c r="E241" s="35"/>
      <c r="F241" s="40" t="s">
        <v>67</v>
      </c>
      <c r="G241" s="36"/>
      <c r="H241" s="36"/>
      <c r="I241" s="36"/>
      <c r="J241" s="36"/>
      <c r="K241" s="36"/>
      <c r="L241" s="36"/>
      <c r="M241" s="36"/>
      <c r="N241" s="36"/>
      <c r="O241" s="36"/>
      <c r="P241" s="36"/>
      <c r="Q241" s="406"/>
      <c r="R241" s="406"/>
      <c r="S241" s="416"/>
      <c r="T241" s="72"/>
      <c r="U241" s="72"/>
      <c r="V241" s="72"/>
      <c r="W241" s="72"/>
      <c r="X241" s="72"/>
      <c r="Y241" s="72"/>
      <c r="Z241" s="72"/>
      <c r="AA241" s="72"/>
      <c r="AB241" s="72"/>
      <c r="AC241" s="72"/>
      <c r="AD241" s="406"/>
      <c r="AE241" s="72"/>
      <c r="AF241" s="72"/>
      <c r="AG241" s="72"/>
      <c r="AH241" s="72"/>
      <c r="AI241" s="72"/>
      <c r="AJ241" s="72"/>
      <c r="AK241" s="72"/>
      <c r="AL241" s="72"/>
      <c r="AM241" s="72"/>
      <c r="AN241" s="72"/>
      <c r="AO241" s="72"/>
      <c r="AP241" s="406"/>
      <c r="AQ241" s="37"/>
      <c r="AR241" s="38"/>
      <c r="AS241" s="39"/>
      <c r="AU241" s="121"/>
      <c r="AV241" s="122"/>
      <c r="AW241" s="123"/>
      <c r="AX241" s="123"/>
      <c r="AY241" s="123"/>
      <c r="AZ241" s="123"/>
      <c r="BA241" s="123"/>
      <c r="BB241" s="123"/>
      <c r="BC241" s="123"/>
      <c r="BD241" s="123"/>
      <c r="BE241" s="123"/>
      <c r="BF241" s="123"/>
      <c r="BG241" s="123"/>
      <c r="BH241" s="123"/>
      <c r="BI241" s="123"/>
      <c r="BJ241" s="123"/>
      <c r="BK241" s="123"/>
      <c r="BL241" s="123"/>
      <c r="BM241" s="123"/>
      <c r="BN241" s="123"/>
      <c r="BO241" s="123"/>
      <c r="BP241" s="123"/>
      <c r="BQ241" s="123"/>
      <c r="BR241" s="123"/>
      <c r="BS241" s="123"/>
      <c r="BT241" s="123"/>
      <c r="BU241" s="123"/>
      <c r="BV241" s="123"/>
      <c r="BW241" s="124"/>
      <c r="BX241" s="137"/>
    </row>
    <row r="242" spans="1:76" s="240" customFormat="1" ht="7.9" customHeight="1">
      <c r="A242" s="392"/>
      <c r="B242" s="261"/>
      <c r="C242" s="251"/>
      <c r="D242" s="252"/>
      <c r="E242" s="138"/>
      <c r="F242" s="68"/>
      <c r="G242" s="70"/>
      <c r="H242" s="231"/>
      <c r="I242" s="231"/>
      <c r="J242" s="231"/>
      <c r="K242" s="231"/>
      <c r="L242" s="231"/>
      <c r="M242" s="231"/>
      <c r="N242" s="231"/>
      <c r="O242" s="231"/>
      <c r="P242" s="231"/>
      <c r="Q242" s="411"/>
      <c r="R242" s="411"/>
      <c r="S242" s="280"/>
      <c r="T242" s="288"/>
      <c r="U242" s="288"/>
      <c r="V242" s="288"/>
      <c r="W242" s="288"/>
      <c r="X242" s="288"/>
      <c r="Y242" s="288"/>
      <c r="Z242" s="288"/>
      <c r="AA242" s="288"/>
      <c r="AB242" s="288"/>
      <c r="AC242" s="288"/>
      <c r="AD242" s="411"/>
      <c r="AE242" s="288"/>
      <c r="AF242" s="288"/>
      <c r="AG242" s="288"/>
      <c r="AH242" s="288"/>
      <c r="AI242" s="288"/>
      <c r="AJ242" s="288"/>
      <c r="AK242" s="288"/>
      <c r="AL242" s="288"/>
      <c r="AM242" s="288"/>
      <c r="AN242" s="288"/>
      <c r="AO242" s="288"/>
      <c r="AP242" s="411"/>
      <c r="AQ242" s="70"/>
      <c r="AR242" s="70"/>
      <c r="AS242" s="139"/>
      <c r="AU242" s="457"/>
      <c r="AV242" s="279"/>
      <c r="AW242" s="279"/>
      <c r="AX242" s="279"/>
      <c r="AY242" s="279"/>
      <c r="AZ242" s="279"/>
      <c r="BA242" s="279"/>
      <c r="BB242" s="279"/>
      <c r="BC242" s="279"/>
      <c r="BD242" s="279"/>
      <c r="BE242" s="279"/>
      <c r="BF242" s="279"/>
      <c r="BG242" s="279"/>
      <c r="BH242" s="279"/>
      <c r="BI242" s="279"/>
      <c r="BJ242" s="279"/>
      <c r="BK242" s="279"/>
      <c r="BL242" s="279"/>
      <c r="BM242" s="279"/>
      <c r="BN242" s="279"/>
      <c r="BO242" s="279"/>
      <c r="BP242" s="279"/>
      <c r="BQ242" s="279"/>
      <c r="BR242" s="279"/>
      <c r="BS242" s="279"/>
      <c r="BT242" s="279"/>
      <c r="BU242" s="279"/>
      <c r="BV242" s="279"/>
      <c r="BW242" s="280"/>
      <c r="BX242" s="333"/>
    </row>
    <row r="243" spans="1:76" s="393" customFormat="1">
      <c r="B243" s="261"/>
      <c r="C243" s="251"/>
      <c r="D243" s="252"/>
      <c r="E243" s="138"/>
      <c r="F243" s="68" t="s">
        <v>430</v>
      </c>
      <c r="G243" s="70"/>
      <c r="H243" s="231"/>
      <c r="I243" s="231"/>
      <c r="J243" s="231"/>
      <c r="K243" s="231"/>
      <c r="L243" s="231"/>
      <c r="M243" s="231"/>
      <c r="N243" s="231"/>
      <c r="O243" s="231"/>
      <c r="P243" s="231"/>
      <c r="Q243" s="411"/>
      <c r="R243" s="411"/>
      <c r="S243" s="280"/>
      <c r="T243" s="288"/>
      <c r="U243" s="288"/>
      <c r="V243" s="288"/>
      <c r="W243" s="288"/>
      <c r="X243" s="288"/>
      <c r="Y243" s="288"/>
      <c r="Z243" s="288"/>
      <c r="AA243" s="288"/>
      <c r="AB243" s="288"/>
      <c r="AC243" s="288"/>
      <c r="AD243" s="411"/>
      <c r="AE243" s="288"/>
      <c r="AF243" s="288"/>
      <c r="AG243" s="288"/>
      <c r="AH243" s="288"/>
      <c r="AI243" s="288"/>
      <c r="AJ243" s="288"/>
      <c r="AK243" s="288"/>
      <c r="AL243" s="288"/>
      <c r="AM243" s="288"/>
      <c r="AN243" s="288"/>
      <c r="AO243" s="288"/>
      <c r="AP243" s="411"/>
      <c r="AQ243" s="70"/>
      <c r="AR243" s="70"/>
      <c r="AS243" s="139"/>
      <c r="AU243" s="457"/>
      <c r="AV243" s="279"/>
      <c r="AW243" s="279"/>
      <c r="AX243" s="279"/>
      <c r="AY243" s="279"/>
      <c r="AZ243" s="279"/>
      <c r="BA243" s="279"/>
      <c r="BB243" s="279"/>
      <c r="BC243" s="279"/>
      <c r="BD243" s="279"/>
      <c r="BE243" s="279"/>
      <c r="BF243" s="279"/>
      <c r="BG243" s="279"/>
      <c r="BH243" s="279"/>
      <c r="BI243" s="279"/>
      <c r="BJ243" s="279"/>
      <c r="BK243" s="279"/>
      <c r="BL243" s="279"/>
      <c r="BM243" s="279"/>
      <c r="BN243" s="279"/>
      <c r="BO243" s="279"/>
      <c r="BP243" s="279"/>
      <c r="BQ243" s="279"/>
      <c r="BR243" s="279"/>
      <c r="BS243" s="279"/>
      <c r="BT243" s="279"/>
      <c r="BU243" s="279"/>
      <c r="BV243" s="279"/>
      <c r="BW243" s="280"/>
      <c r="BX243" s="288"/>
    </row>
    <row r="244" spans="1:76" s="393" customFormat="1">
      <c r="B244" s="261"/>
      <c r="C244" s="251"/>
      <c r="D244" s="252"/>
      <c r="E244" s="138"/>
      <c r="F244" s="68" t="s">
        <v>429</v>
      </c>
      <c r="G244" s="70"/>
      <c r="H244" s="231"/>
      <c r="I244" s="231"/>
      <c r="J244" s="231"/>
      <c r="K244" s="231"/>
      <c r="L244" s="231"/>
      <c r="M244" s="231"/>
      <c r="N244" s="231"/>
      <c r="O244" s="231"/>
      <c r="P244" s="231"/>
      <c r="Q244" s="411"/>
      <c r="R244" s="411"/>
      <c r="S244" s="280"/>
      <c r="T244" s="288"/>
      <c r="U244" s="288"/>
      <c r="V244" s="288"/>
      <c r="W244" s="288"/>
      <c r="X244" s="288"/>
      <c r="Y244" s="288"/>
      <c r="Z244" s="288"/>
      <c r="AA244" s="288"/>
      <c r="AB244" s="288"/>
      <c r="AC244" s="288"/>
      <c r="AD244" s="411"/>
      <c r="AE244" s="288"/>
      <c r="AF244" s="288"/>
      <c r="AG244" s="288"/>
      <c r="AH244" s="288"/>
      <c r="AI244" s="288"/>
      <c r="AJ244" s="288"/>
      <c r="AK244" s="288"/>
      <c r="AL244" s="288"/>
      <c r="AM244" s="288"/>
      <c r="AN244" s="288"/>
      <c r="AO244" s="288"/>
      <c r="AP244" s="411"/>
      <c r="AQ244" s="70"/>
      <c r="AR244" s="70"/>
      <c r="AS244" s="139"/>
      <c r="AU244" s="457"/>
      <c r="AV244" s="279"/>
      <c r="AW244" s="279"/>
      <c r="AX244" s="279"/>
      <c r="AY244" s="279"/>
      <c r="AZ244" s="279"/>
      <c r="BA244" s="279"/>
      <c r="BB244" s="279"/>
      <c r="BC244" s="279"/>
      <c r="BD244" s="279"/>
      <c r="BE244" s="279"/>
      <c r="BF244" s="279"/>
      <c r="BG244" s="279"/>
      <c r="BH244" s="279"/>
      <c r="BI244" s="279"/>
      <c r="BJ244" s="279"/>
      <c r="BK244" s="279"/>
      <c r="BL244" s="279"/>
      <c r="BM244" s="279"/>
      <c r="BN244" s="279"/>
      <c r="BO244" s="279"/>
      <c r="BP244" s="279"/>
      <c r="BQ244" s="279"/>
      <c r="BR244" s="279"/>
      <c r="BS244" s="279"/>
      <c r="BT244" s="279"/>
      <c r="BU244" s="279"/>
      <c r="BV244" s="279"/>
      <c r="BW244" s="280"/>
      <c r="BX244" s="288"/>
    </row>
    <row r="245" spans="1:76" s="443" customFormat="1">
      <c r="B245" s="261"/>
      <c r="C245" s="251"/>
      <c r="D245" s="252"/>
      <c r="E245" s="138"/>
      <c r="F245" s="68" t="s">
        <v>431</v>
      </c>
      <c r="G245" s="70"/>
      <c r="H245" s="231"/>
      <c r="I245" s="231"/>
      <c r="J245" s="231"/>
      <c r="K245" s="231"/>
      <c r="L245" s="231"/>
      <c r="M245" s="231"/>
      <c r="N245" s="231"/>
      <c r="O245" s="231"/>
      <c r="P245" s="231"/>
      <c r="Q245" s="411"/>
      <c r="R245" s="411"/>
      <c r="S245" s="280"/>
      <c r="T245" s="288"/>
      <c r="U245" s="288"/>
      <c r="V245" s="288"/>
      <c r="W245" s="288"/>
      <c r="X245" s="288"/>
      <c r="Y245" s="288"/>
      <c r="Z245" s="288"/>
      <c r="AA245" s="288"/>
      <c r="AB245" s="288"/>
      <c r="AC245" s="288"/>
      <c r="AD245" s="411"/>
      <c r="AE245" s="288"/>
      <c r="AF245" s="288"/>
      <c r="AG245" s="288"/>
      <c r="AH245" s="288"/>
      <c r="AI245" s="288"/>
      <c r="AJ245" s="288"/>
      <c r="AK245" s="288"/>
      <c r="AL245" s="288"/>
      <c r="AM245" s="288"/>
      <c r="AN245" s="288"/>
      <c r="AO245" s="288"/>
      <c r="AP245" s="411"/>
      <c r="AQ245" s="70"/>
      <c r="AR245" s="70"/>
      <c r="AS245" s="139"/>
      <c r="AU245" s="457"/>
      <c r="AV245" s="279"/>
      <c r="AW245" s="279"/>
      <c r="AX245" s="279"/>
      <c r="AY245" s="279"/>
      <c r="AZ245" s="279"/>
      <c r="BA245" s="279"/>
      <c r="BB245" s="279"/>
      <c r="BC245" s="279"/>
      <c r="BD245" s="279"/>
      <c r="BE245" s="279"/>
      <c r="BF245" s="279"/>
      <c r="BG245" s="279"/>
      <c r="BH245" s="279"/>
      <c r="BI245" s="279"/>
      <c r="BJ245" s="279"/>
      <c r="BK245" s="279"/>
      <c r="BL245" s="279"/>
      <c r="BM245" s="279"/>
      <c r="BN245" s="279"/>
      <c r="BO245" s="279"/>
      <c r="BP245" s="279"/>
      <c r="BQ245" s="279"/>
      <c r="BR245" s="279"/>
      <c r="BS245" s="279"/>
      <c r="BT245" s="279"/>
      <c r="BU245" s="279"/>
      <c r="BV245" s="279"/>
      <c r="BW245" s="280"/>
      <c r="BX245" s="288"/>
    </row>
    <row r="246" spans="1:76" s="443" customFormat="1">
      <c r="B246" s="261"/>
      <c r="C246" s="251"/>
      <c r="D246" s="252"/>
      <c r="E246" s="138"/>
      <c r="F246" s="68"/>
      <c r="G246" s="70"/>
      <c r="H246" s="231"/>
      <c r="I246" s="231"/>
      <c r="J246" s="231"/>
      <c r="K246" s="231"/>
      <c r="L246" s="231"/>
      <c r="M246" s="231"/>
      <c r="N246" s="231"/>
      <c r="O246" s="231"/>
      <c r="P246" s="231"/>
      <c r="Q246" s="411"/>
      <c r="R246" s="411"/>
      <c r="S246" s="280"/>
      <c r="T246" s="288"/>
      <c r="U246" s="288"/>
      <c r="V246" s="288"/>
      <c r="W246" s="288"/>
      <c r="X246" s="288"/>
      <c r="Y246" s="288"/>
      <c r="Z246" s="288"/>
      <c r="AA246" s="288"/>
      <c r="AB246" s="288"/>
      <c r="AC246" s="288"/>
      <c r="AD246" s="411"/>
      <c r="AE246" s="288"/>
      <c r="AF246" s="288"/>
      <c r="AG246" s="288"/>
      <c r="AH246" s="288"/>
      <c r="AI246" s="288"/>
      <c r="AJ246" s="288"/>
      <c r="AK246" s="288"/>
      <c r="AL246" s="288"/>
      <c r="AM246" s="288"/>
      <c r="AN246" s="288"/>
      <c r="AO246" s="288"/>
      <c r="AP246" s="411"/>
      <c r="AQ246" s="70"/>
      <c r="AR246" s="70"/>
      <c r="AS246" s="139"/>
      <c r="AU246" s="457"/>
      <c r="AV246" s="279"/>
      <c r="AW246" s="279"/>
      <c r="AX246" s="279"/>
      <c r="AY246" s="279"/>
      <c r="AZ246" s="279"/>
      <c r="BA246" s="279"/>
      <c r="BB246" s="279"/>
      <c r="BC246" s="279"/>
      <c r="BD246" s="279"/>
      <c r="BE246" s="279"/>
      <c r="BF246" s="279"/>
      <c r="BG246" s="279"/>
      <c r="BH246" s="279"/>
      <c r="BI246" s="279"/>
      <c r="BJ246" s="279"/>
      <c r="BK246" s="279"/>
      <c r="BL246" s="279"/>
      <c r="BM246" s="279"/>
      <c r="BN246" s="279"/>
      <c r="BO246" s="279"/>
      <c r="BP246" s="279"/>
      <c r="BQ246" s="279"/>
      <c r="BR246" s="279"/>
      <c r="BS246" s="279"/>
      <c r="BT246" s="279"/>
      <c r="BU246" s="279"/>
      <c r="BV246" s="279"/>
      <c r="BW246" s="280"/>
      <c r="BX246" s="288"/>
    </row>
    <row r="247" spans="1:76" s="426" customFormat="1">
      <c r="B247" s="261"/>
      <c r="C247" s="251"/>
      <c r="D247" s="252"/>
      <c r="E247" s="138"/>
      <c r="F247" s="68" t="s">
        <v>411</v>
      </c>
      <c r="G247" s="70"/>
      <c r="H247" s="231"/>
      <c r="I247" s="231"/>
      <c r="J247" s="231"/>
      <c r="K247" s="231"/>
      <c r="L247" s="231"/>
      <c r="M247" s="231"/>
      <c r="N247" s="231"/>
      <c r="O247" s="231"/>
      <c r="P247" s="231"/>
      <c r="Q247" s="411"/>
      <c r="R247" s="411"/>
      <c r="S247" s="280"/>
      <c r="T247" s="288"/>
      <c r="U247" s="288"/>
      <c r="V247" s="288"/>
      <c r="W247" s="288"/>
      <c r="X247" s="288"/>
      <c r="Y247" s="288"/>
      <c r="Z247" s="288"/>
      <c r="AA247" s="288"/>
      <c r="AB247" s="288"/>
      <c r="AC247" s="288"/>
      <c r="AD247" s="411"/>
      <c r="AE247" s="288"/>
      <c r="AF247" s="288"/>
      <c r="AG247" s="288"/>
      <c r="AH247" s="288"/>
      <c r="AI247" s="288"/>
      <c r="AJ247" s="288"/>
      <c r="AK247" s="288"/>
      <c r="AL247" s="288"/>
      <c r="AM247" s="288"/>
      <c r="AN247" s="288"/>
      <c r="AO247" s="288"/>
      <c r="AP247" s="411"/>
      <c r="AQ247" s="70"/>
      <c r="AR247" s="70"/>
      <c r="AS247" s="139"/>
      <c r="AU247" s="457"/>
      <c r="AV247" s="279"/>
      <c r="AW247" s="279"/>
      <c r="AX247" s="279"/>
      <c r="AY247" s="279"/>
      <c r="AZ247" s="279"/>
      <c r="BA247" s="279"/>
      <c r="BB247" s="279"/>
      <c r="BC247" s="279"/>
      <c r="BD247" s="279"/>
      <c r="BE247" s="279"/>
      <c r="BF247" s="279"/>
      <c r="BG247" s="279"/>
      <c r="BH247" s="279"/>
      <c r="BI247" s="279"/>
      <c r="BJ247" s="279"/>
      <c r="BK247" s="279"/>
      <c r="BL247" s="279"/>
      <c r="BM247" s="279"/>
      <c r="BN247" s="279"/>
      <c r="BO247" s="279"/>
      <c r="BP247" s="279"/>
      <c r="BQ247" s="279"/>
      <c r="BR247" s="279"/>
      <c r="BS247" s="279"/>
      <c r="BT247" s="279"/>
      <c r="BU247" s="279"/>
      <c r="BV247" s="279"/>
      <c r="BW247" s="280"/>
      <c r="BX247" s="288"/>
    </row>
    <row r="248" spans="1:76" s="393" customFormat="1">
      <c r="B248" s="261"/>
      <c r="C248" s="251"/>
      <c r="D248" s="252"/>
      <c r="E248" s="138"/>
      <c r="F248" s="432" t="s">
        <v>372</v>
      </c>
      <c r="G248" s="70"/>
      <c r="H248" s="231"/>
      <c r="I248" s="231"/>
      <c r="J248" s="231"/>
      <c r="K248" s="231"/>
      <c r="L248" s="231"/>
      <c r="M248" s="231"/>
      <c r="N248" s="231"/>
      <c r="O248" s="231"/>
      <c r="P248" s="231"/>
      <c r="Q248" s="411"/>
      <c r="R248" s="411"/>
      <c r="S248" s="280"/>
      <c r="T248" s="288"/>
      <c r="U248" s="288"/>
      <c r="V248" s="288"/>
      <c r="W248" s="288"/>
      <c r="X248" s="288"/>
      <c r="Y248" s="288"/>
      <c r="Z248" s="288"/>
      <c r="AA248" s="288"/>
      <c r="AB248" s="288"/>
      <c r="AC248" s="288"/>
      <c r="AD248" s="411"/>
      <c r="AE248" s="288"/>
      <c r="AF248" s="288"/>
      <c r="AG248" s="288"/>
      <c r="AH248" s="288"/>
      <c r="AI248" s="288"/>
      <c r="AJ248" s="288"/>
      <c r="AK248" s="288"/>
      <c r="AL248" s="288"/>
      <c r="AM248" s="288"/>
      <c r="AN248" s="288"/>
      <c r="AO248" s="288"/>
      <c r="AP248" s="411"/>
      <c r="AQ248" s="70"/>
      <c r="AR248" s="70"/>
      <c r="AS248" s="139"/>
      <c r="AU248" s="457"/>
      <c r="AV248" s="279"/>
      <c r="AW248" s="279"/>
      <c r="AX248" s="279"/>
      <c r="AY248" s="279"/>
      <c r="AZ248" s="279"/>
      <c r="BA248" s="279"/>
      <c r="BB248" s="279"/>
      <c r="BC248" s="279"/>
      <c r="BD248" s="279"/>
      <c r="BE248" s="279"/>
      <c r="BF248" s="279"/>
      <c r="BG248" s="279"/>
      <c r="BH248" s="279"/>
      <c r="BI248" s="279"/>
      <c r="BJ248" s="279"/>
      <c r="BK248" s="279"/>
      <c r="BL248" s="279"/>
      <c r="BM248" s="279"/>
      <c r="BN248" s="279"/>
      <c r="BO248" s="279"/>
      <c r="BP248" s="279"/>
      <c r="BQ248" s="279"/>
      <c r="BR248" s="279"/>
      <c r="BS248" s="279"/>
      <c r="BT248" s="279"/>
      <c r="BU248" s="279"/>
      <c r="BV248" s="279"/>
      <c r="BW248" s="280"/>
      <c r="BX248" s="288"/>
    </row>
    <row r="249" spans="1:76" s="393" customFormat="1">
      <c r="B249" s="261"/>
      <c r="C249" s="251"/>
      <c r="D249" s="252"/>
      <c r="E249" s="138"/>
      <c r="F249" s="432" t="s">
        <v>373</v>
      </c>
      <c r="G249" s="70"/>
      <c r="H249" s="231"/>
      <c r="I249" s="231"/>
      <c r="J249" s="231"/>
      <c r="K249" s="231"/>
      <c r="L249" s="231"/>
      <c r="M249" s="231"/>
      <c r="N249" s="231"/>
      <c r="O249" s="231"/>
      <c r="P249" s="231"/>
      <c r="Q249" s="411"/>
      <c r="R249" s="411"/>
      <c r="S249" s="280"/>
      <c r="T249" s="288"/>
      <c r="U249" s="288"/>
      <c r="V249" s="288"/>
      <c r="W249" s="288"/>
      <c r="X249" s="288"/>
      <c r="Y249" s="288"/>
      <c r="Z249" s="288"/>
      <c r="AA249" s="288"/>
      <c r="AB249" s="288"/>
      <c r="AC249" s="288"/>
      <c r="AD249" s="411"/>
      <c r="AE249" s="288"/>
      <c r="AF249" s="288"/>
      <c r="AG249" s="288"/>
      <c r="AH249" s="288"/>
      <c r="AI249" s="288"/>
      <c r="AJ249" s="288"/>
      <c r="AK249" s="288"/>
      <c r="AL249" s="288"/>
      <c r="AM249" s="288"/>
      <c r="AN249" s="288"/>
      <c r="AO249" s="288"/>
      <c r="AP249" s="411"/>
      <c r="AQ249" s="70"/>
      <c r="AR249" s="70"/>
      <c r="AS249" s="139"/>
      <c r="AU249" s="457"/>
      <c r="AV249" s="279"/>
      <c r="AW249" s="279"/>
      <c r="AX249" s="279"/>
      <c r="AY249" s="279"/>
      <c r="AZ249" s="279"/>
      <c r="BA249" s="279"/>
      <c r="BB249" s="279"/>
      <c r="BC249" s="279"/>
      <c r="BD249" s="279"/>
      <c r="BE249" s="279"/>
      <c r="BF249" s="279"/>
      <c r="BG249" s="279"/>
      <c r="BH249" s="279"/>
      <c r="BI249" s="279"/>
      <c r="BJ249" s="279"/>
      <c r="BK249" s="279"/>
      <c r="BL249" s="279"/>
      <c r="BM249" s="279"/>
      <c r="BN249" s="279"/>
      <c r="BO249" s="279"/>
      <c r="BP249" s="279"/>
      <c r="BQ249" s="279"/>
      <c r="BR249" s="279"/>
      <c r="BS249" s="279"/>
      <c r="BT249" s="279"/>
      <c r="BU249" s="279"/>
      <c r="BV249" s="279"/>
      <c r="BW249" s="280"/>
      <c r="BX249" s="288"/>
    </row>
    <row r="250" spans="1:76" s="393" customFormat="1">
      <c r="B250" s="261"/>
      <c r="C250" s="251"/>
      <c r="D250" s="252"/>
      <c r="E250" s="138"/>
      <c r="F250" s="432" t="s">
        <v>374</v>
      </c>
      <c r="G250" s="70"/>
      <c r="H250" s="231"/>
      <c r="I250" s="231"/>
      <c r="J250" s="231"/>
      <c r="K250" s="231"/>
      <c r="L250" s="231"/>
      <c r="M250" s="231"/>
      <c r="N250" s="231"/>
      <c r="O250" s="231"/>
      <c r="P250" s="231"/>
      <c r="Q250" s="411"/>
      <c r="R250" s="411"/>
      <c r="S250" s="280"/>
      <c r="T250" s="288"/>
      <c r="U250" s="288"/>
      <c r="V250" s="288"/>
      <c r="W250" s="288"/>
      <c r="X250" s="288"/>
      <c r="Y250" s="288"/>
      <c r="Z250" s="288"/>
      <c r="AA250" s="288"/>
      <c r="AB250" s="288"/>
      <c r="AC250" s="288"/>
      <c r="AD250" s="411"/>
      <c r="AE250" s="288"/>
      <c r="AF250" s="288"/>
      <c r="AG250" s="288"/>
      <c r="AH250" s="288"/>
      <c r="AI250" s="288"/>
      <c r="AJ250" s="288"/>
      <c r="AK250" s="288"/>
      <c r="AL250" s="288"/>
      <c r="AM250" s="288"/>
      <c r="AN250" s="288"/>
      <c r="AO250" s="288"/>
      <c r="AP250" s="411"/>
      <c r="AQ250" s="70"/>
      <c r="AR250" s="70"/>
      <c r="AS250" s="139"/>
      <c r="AU250" s="457"/>
      <c r="AV250" s="279"/>
      <c r="AW250" s="279"/>
      <c r="AX250" s="279"/>
      <c r="AY250" s="279"/>
      <c r="AZ250" s="279"/>
      <c r="BA250" s="279"/>
      <c r="BB250" s="279"/>
      <c r="BC250" s="279"/>
      <c r="BD250" s="279"/>
      <c r="BE250" s="279"/>
      <c r="BF250" s="279"/>
      <c r="BG250" s="279"/>
      <c r="BH250" s="279"/>
      <c r="BI250" s="279"/>
      <c r="BJ250" s="279"/>
      <c r="BK250" s="279"/>
      <c r="BL250" s="279"/>
      <c r="BM250" s="279"/>
      <c r="BN250" s="279"/>
      <c r="BO250" s="279"/>
      <c r="BP250" s="279"/>
      <c r="BQ250" s="279"/>
      <c r="BR250" s="279"/>
      <c r="BS250" s="279"/>
      <c r="BT250" s="279"/>
      <c r="BU250" s="279"/>
      <c r="BV250" s="279"/>
      <c r="BW250" s="280"/>
      <c r="BX250" s="288"/>
    </row>
    <row r="251" spans="1:76" s="240" customFormat="1" ht="10.15" customHeight="1">
      <c r="A251" s="392"/>
      <c r="B251" s="261"/>
      <c r="C251" s="251"/>
      <c r="D251" s="252"/>
      <c r="E251" s="138"/>
      <c r="F251" s="432"/>
      <c r="G251" s="70"/>
      <c r="H251" s="231"/>
      <c r="I251" s="231"/>
      <c r="J251" s="231"/>
      <c r="K251" s="231"/>
      <c r="L251" s="231"/>
      <c r="M251" s="231"/>
      <c r="N251" s="231"/>
      <c r="O251" s="231"/>
      <c r="P251" s="231"/>
      <c r="Q251" s="411"/>
      <c r="R251" s="411"/>
      <c r="S251" s="280"/>
      <c r="T251" s="288"/>
      <c r="U251" s="288"/>
      <c r="V251" s="288"/>
      <c r="W251" s="288"/>
      <c r="X251" s="288"/>
      <c r="Y251" s="288"/>
      <c r="Z251" s="288"/>
      <c r="AA251" s="288"/>
      <c r="AB251" s="288"/>
      <c r="AC251" s="288"/>
      <c r="AD251" s="411"/>
      <c r="AE251" s="288"/>
      <c r="AF251" s="288"/>
      <c r="AG251" s="288"/>
      <c r="AH251" s="288"/>
      <c r="AI251" s="288"/>
      <c r="AJ251" s="288"/>
      <c r="AK251" s="288"/>
      <c r="AL251" s="288"/>
      <c r="AM251" s="288"/>
      <c r="AN251" s="288"/>
      <c r="AO251" s="288"/>
      <c r="AP251" s="411"/>
      <c r="AQ251" s="70"/>
      <c r="AR251" s="70"/>
      <c r="AS251" s="139"/>
      <c r="AU251" s="457"/>
      <c r="AV251" s="279"/>
      <c r="AW251" s="279"/>
      <c r="AX251" s="279"/>
      <c r="AY251" s="279"/>
      <c r="AZ251" s="279"/>
      <c r="BA251" s="279"/>
      <c r="BB251" s="279"/>
      <c r="BC251" s="279"/>
      <c r="BD251" s="279"/>
      <c r="BE251" s="279"/>
      <c r="BF251" s="279"/>
      <c r="BG251" s="279"/>
      <c r="BH251" s="279"/>
      <c r="BI251" s="279"/>
      <c r="BJ251" s="279"/>
      <c r="BK251" s="279"/>
      <c r="BL251" s="279"/>
      <c r="BM251" s="279"/>
      <c r="BN251" s="279"/>
      <c r="BO251" s="279"/>
      <c r="BP251" s="279"/>
      <c r="BQ251" s="279"/>
      <c r="BR251" s="279"/>
      <c r="BS251" s="279"/>
      <c r="BT251" s="279"/>
      <c r="BU251" s="279"/>
      <c r="BV251" s="279"/>
      <c r="BW251" s="280"/>
      <c r="BX251" s="288"/>
    </row>
    <row r="252" spans="1:76" s="240" customFormat="1">
      <c r="A252" s="392"/>
      <c r="B252" s="261"/>
      <c r="C252" s="251"/>
      <c r="D252" s="252"/>
      <c r="E252" s="138"/>
      <c r="F252" s="69" t="str">
        <f>"Valeur : "&amp;DATE_VALEUR&amp;", "&amp;IF(ACTUALISABLE="oui","actualisable","non actualisable")&amp;" - "&amp;IF(REVISABLE="oui","révisable","non révisable")&amp;"."</f>
        <v>Valeur : Septembre 2016, actualisable - révisable.</v>
      </c>
      <c r="G252" s="70"/>
      <c r="H252" s="231"/>
      <c r="I252" s="231"/>
      <c r="J252" s="231"/>
      <c r="K252" s="231"/>
      <c r="L252" s="231"/>
      <c r="M252" s="231"/>
      <c r="N252" s="231"/>
      <c r="O252" s="231"/>
      <c r="P252" s="231"/>
      <c r="Q252" s="411"/>
      <c r="R252" s="411"/>
      <c r="S252" s="280"/>
      <c r="T252" s="288"/>
      <c r="U252" s="288"/>
      <c r="V252" s="288"/>
      <c r="W252" s="288"/>
      <c r="X252" s="288"/>
      <c r="Y252" s="288"/>
      <c r="Z252" s="288"/>
      <c r="AA252" s="288"/>
      <c r="AB252" s="288"/>
      <c r="AC252" s="288"/>
      <c r="AD252" s="411"/>
      <c r="AE252" s="288"/>
      <c r="AF252" s="288"/>
      <c r="AG252" s="288"/>
      <c r="AH252" s="288"/>
      <c r="AI252" s="288"/>
      <c r="AJ252" s="288"/>
      <c r="AK252" s="288"/>
      <c r="AL252" s="288"/>
      <c r="AM252" s="288"/>
      <c r="AN252" s="288"/>
      <c r="AO252" s="288"/>
      <c r="AP252" s="411"/>
      <c r="AQ252" s="70"/>
      <c r="AR252" s="70"/>
      <c r="AS252" s="139"/>
      <c r="AU252" s="457"/>
      <c r="AV252" s="279"/>
      <c r="AW252" s="279"/>
      <c r="AX252" s="279"/>
      <c r="AY252" s="279"/>
      <c r="AZ252" s="279"/>
      <c r="BA252" s="279"/>
      <c r="BB252" s="279"/>
      <c r="BC252" s="279"/>
      <c r="BD252" s="279"/>
      <c r="BE252" s="279"/>
      <c r="BF252" s="279"/>
      <c r="BG252" s="279"/>
      <c r="BH252" s="279"/>
      <c r="BI252" s="279"/>
      <c r="BJ252" s="279"/>
      <c r="BK252" s="279"/>
      <c r="BL252" s="279"/>
      <c r="BM252" s="279"/>
      <c r="BN252" s="279"/>
      <c r="BO252" s="279"/>
      <c r="BP252" s="279"/>
      <c r="BQ252" s="279"/>
      <c r="BR252" s="279"/>
      <c r="BS252" s="279"/>
      <c r="BT252" s="279"/>
      <c r="BU252" s="279"/>
      <c r="BV252" s="279"/>
      <c r="BW252" s="280"/>
      <c r="BX252" s="288"/>
    </row>
    <row r="253" spans="1:76" s="240" customFormat="1">
      <c r="A253" s="392"/>
      <c r="B253" s="261"/>
      <c r="C253" s="251"/>
      <c r="D253" s="252"/>
      <c r="E253" s="138"/>
      <c r="F253" s="70"/>
      <c r="G253" s="70"/>
      <c r="H253" s="231"/>
      <c r="I253" s="231"/>
      <c r="J253" s="231"/>
      <c r="K253" s="231"/>
      <c r="L253" s="231"/>
      <c r="M253" s="231"/>
      <c r="N253" s="231"/>
      <c r="O253" s="231"/>
      <c r="P253" s="231"/>
      <c r="Q253" s="411"/>
      <c r="R253" s="411"/>
      <c r="S253" s="280"/>
      <c r="T253" s="288"/>
      <c r="U253" s="288"/>
      <c r="V253" s="288"/>
      <c r="W253" s="288"/>
      <c r="X253" s="288"/>
      <c r="Y253" s="288"/>
      <c r="Z253" s="288"/>
      <c r="AA253" s="288"/>
      <c r="AB253" s="288"/>
      <c r="AC253" s="288"/>
      <c r="AD253" s="411"/>
      <c r="AE253" s="288"/>
      <c r="AF253" s="288"/>
      <c r="AG253" s="288"/>
      <c r="AH253" s="288"/>
      <c r="AI253" s="288"/>
      <c r="AJ253" s="288"/>
      <c r="AK253" s="288"/>
      <c r="AL253" s="288"/>
      <c r="AM253" s="288"/>
      <c r="AN253" s="288"/>
      <c r="AO253" s="288"/>
      <c r="AP253" s="411"/>
      <c r="AQ253" s="70"/>
      <c r="AR253" s="70"/>
      <c r="AS253" s="139"/>
      <c r="AU253" s="458"/>
      <c r="AV253" s="293"/>
      <c r="AW253" s="293"/>
      <c r="AX253" s="293"/>
      <c r="AY253" s="293"/>
      <c r="AZ253" s="293"/>
      <c r="BA253" s="293"/>
      <c r="BB253" s="293"/>
      <c r="BC253" s="293"/>
      <c r="BD253" s="293"/>
      <c r="BE253" s="293"/>
      <c r="BF253" s="293"/>
      <c r="BG253" s="293"/>
      <c r="BH253" s="293"/>
      <c r="BI253" s="293"/>
      <c r="BJ253" s="293"/>
      <c r="BK253" s="293"/>
      <c r="BL253" s="293"/>
      <c r="BM253" s="293"/>
      <c r="BN253" s="293"/>
      <c r="BO253" s="293"/>
      <c r="BP253" s="293"/>
      <c r="BQ253" s="293"/>
      <c r="BR253" s="293"/>
      <c r="BS253" s="293"/>
      <c r="BT253" s="293"/>
      <c r="BU253" s="293"/>
      <c r="BV253" s="293"/>
      <c r="BW253" s="294"/>
      <c r="BX253" s="334"/>
    </row>
    <row r="254" spans="1:76" s="240" customFormat="1" ht="9" customHeight="1">
      <c r="A254" s="392"/>
      <c r="B254" s="261"/>
      <c r="C254" s="251"/>
      <c r="D254" s="252"/>
      <c r="E254" s="258"/>
      <c r="F254" s="259"/>
      <c r="G254" s="259"/>
      <c r="H254" s="322"/>
      <c r="I254" s="322"/>
      <c r="J254" s="322"/>
      <c r="K254" s="322"/>
      <c r="L254" s="322"/>
      <c r="M254" s="322"/>
      <c r="N254" s="322"/>
      <c r="O254" s="322"/>
      <c r="P254" s="322"/>
      <c r="Q254" s="412"/>
      <c r="R254" s="412"/>
      <c r="S254" s="260"/>
      <c r="T254" s="238"/>
      <c r="U254" s="238"/>
      <c r="V254" s="238"/>
      <c r="W254" s="238"/>
      <c r="X254" s="238"/>
      <c r="Y254" s="238"/>
      <c r="Z254" s="238"/>
      <c r="AA254" s="238"/>
      <c r="AB254" s="238"/>
      <c r="AC254" s="238"/>
      <c r="AD254" s="412"/>
      <c r="AE254" s="238"/>
      <c r="AF254" s="238"/>
      <c r="AG254" s="238"/>
      <c r="AH254" s="238"/>
      <c r="AI254" s="238"/>
      <c r="AJ254" s="238"/>
      <c r="AK254" s="238"/>
      <c r="AL254" s="238"/>
      <c r="AM254" s="238"/>
      <c r="AN254" s="238"/>
      <c r="AO254" s="238"/>
      <c r="AP254" s="412"/>
      <c r="AQ254" s="259"/>
      <c r="AR254" s="259"/>
      <c r="AS254" s="271"/>
      <c r="AU254" s="450"/>
      <c r="AV254" s="259"/>
      <c r="AW254" s="259"/>
      <c r="AX254" s="259"/>
      <c r="AY254" s="259"/>
      <c r="AZ254" s="259"/>
      <c r="BA254" s="259"/>
      <c r="BB254" s="259"/>
      <c r="BC254" s="259"/>
      <c r="BD254" s="259"/>
      <c r="BE254" s="259"/>
      <c r="BF254" s="259"/>
      <c r="BG254" s="259"/>
      <c r="BH254" s="259"/>
      <c r="BI254" s="259"/>
      <c r="BJ254" s="259"/>
      <c r="BK254" s="259"/>
      <c r="BL254" s="259"/>
      <c r="BM254" s="259"/>
      <c r="BN254" s="259"/>
      <c r="BO254" s="259"/>
      <c r="BP254" s="259"/>
      <c r="BQ254" s="259"/>
      <c r="BR254" s="259"/>
      <c r="BS254" s="259"/>
      <c r="BT254" s="259"/>
      <c r="BU254" s="259"/>
      <c r="BV254" s="259"/>
      <c r="BW254" s="271"/>
      <c r="BX254" s="271"/>
    </row>
    <row r="255" spans="1:76" s="240" customFormat="1" ht="15.75">
      <c r="A255" s="392"/>
      <c r="B255" s="261"/>
      <c r="C255" s="251"/>
      <c r="D255" s="252"/>
      <c r="E255" s="261"/>
      <c r="F255" s="251"/>
      <c r="G255" s="251"/>
      <c r="H255" s="323"/>
      <c r="I255" s="323"/>
      <c r="J255" s="323"/>
      <c r="K255" s="323"/>
      <c r="L255" s="323"/>
      <c r="M255" s="323"/>
      <c r="N255" s="323"/>
      <c r="O255" s="323"/>
      <c r="P255" s="323"/>
      <c r="Q255" s="413"/>
      <c r="R255" s="413"/>
      <c r="S255" s="252"/>
      <c r="T255" s="237"/>
      <c r="U255" s="237"/>
      <c r="V255" s="237"/>
      <c r="W255" s="237"/>
      <c r="X255" s="237"/>
      <c r="Y255" s="237"/>
      <c r="Z255" s="237"/>
      <c r="AA255" s="237"/>
      <c r="AB255" s="237"/>
      <c r="AC255" s="237"/>
      <c r="AD255" s="413"/>
      <c r="AE255" s="237"/>
      <c r="AF255" s="237"/>
      <c r="AG255" s="237"/>
      <c r="AH255" s="237"/>
      <c r="AI255" s="237"/>
      <c r="AJ255" s="237"/>
      <c r="AK255" s="237"/>
      <c r="AL255" s="237"/>
      <c r="AM255" s="237"/>
      <c r="AN255" s="237"/>
      <c r="AO255" s="237"/>
      <c r="AP255" s="413"/>
      <c r="AQ255" s="251"/>
      <c r="AR255" s="272" t="str">
        <f>+"                                           TOTAL en Euro HT "&amp;"valeur "&amp;DATE_VALEUR&amp;"………............"</f>
        <v xml:space="preserve">                                           TOTAL en Euro HT valeur Septembre 2016………............</v>
      </c>
      <c r="AS255" s="273">
        <f>+AS239</f>
        <v>558576.23699999996</v>
      </c>
      <c r="AU255" s="395"/>
      <c r="AV255" s="251"/>
      <c r="AW255" s="251"/>
      <c r="AX255" s="251"/>
      <c r="AY255" s="251"/>
      <c r="AZ255" s="251"/>
      <c r="BA255" s="251"/>
      <c r="BB255" s="251"/>
      <c r="BC255" s="251"/>
      <c r="BD255" s="251"/>
      <c r="BE255" s="251"/>
      <c r="BF255" s="251"/>
      <c r="BG255" s="251"/>
      <c r="BH255" s="251"/>
      <c r="BI255" s="251"/>
      <c r="BJ255" s="251"/>
      <c r="BK255" s="251"/>
      <c r="BL255" s="251"/>
      <c r="BM255" s="251"/>
      <c r="BN255" s="251"/>
      <c r="BO255" s="251"/>
      <c r="BP255" s="251"/>
      <c r="BQ255" s="251"/>
      <c r="BR255" s="251"/>
      <c r="BS255" s="251"/>
      <c r="BT255" s="251"/>
      <c r="BU255" s="251"/>
      <c r="BV255" s="272" t="s">
        <v>57</v>
      </c>
      <c r="BW255" s="273">
        <f>+BW239+BU239+BR239+BO239+BL239+BI239+BF239+BC239+AZ239-BX239</f>
        <v>558576.25190400018</v>
      </c>
      <c r="BX255" s="273"/>
    </row>
    <row r="256" spans="1:76" s="240" customFormat="1" ht="15.75">
      <c r="A256" s="392"/>
      <c r="B256" s="261"/>
      <c r="C256" s="251"/>
      <c r="D256" s="252"/>
      <c r="E256" s="261"/>
      <c r="F256" s="251"/>
      <c r="G256" s="251"/>
      <c r="H256" s="323"/>
      <c r="I256" s="323"/>
      <c r="J256" s="323"/>
      <c r="K256" s="323"/>
      <c r="L256" s="323"/>
      <c r="M256" s="323"/>
      <c r="N256" s="323"/>
      <c r="O256" s="323"/>
      <c r="P256" s="323"/>
      <c r="Q256" s="413"/>
      <c r="R256" s="413"/>
      <c r="S256" s="252"/>
      <c r="T256" s="237"/>
      <c r="U256" s="237"/>
      <c r="V256" s="237"/>
      <c r="W256" s="237"/>
      <c r="X256" s="237"/>
      <c r="Y256" s="237"/>
      <c r="Z256" s="237"/>
      <c r="AA256" s="237"/>
      <c r="AB256" s="237"/>
      <c r="AC256" s="237"/>
      <c r="AD256" s="413"/>
      <c r="AE256" s="237"/>
      <c r="AF256" s="237"/>
      <c r="AG256" s="237"/>
      <c r="AH256" s="237"/>
      <c r="AI256" s="237"/>
      <c r="AJ256" s="237"/>
      <c r="AK256" s="237"/>
      <c r="AL256" s="237"/>
      <c r="AM256" s="237"/>
      <c r="AN256" s="237"/>
      <c r="AO256" s="237"/>
      <c r="AP256" s="413"/>
      <c r="AQ256" s="251"/>
      <c r="AR256" s="272" t="str">
        <f>+"                                           TVA : "&amp;TVA*100&amp;"% ........................................................................"</f>
        <v xml:space="preserve">                                           TVA : 20% ........................................................................</v>
      </c>
      <c r="AS256" s="273">
        <f>+AS255*TVA</f>
        <v>111715.24739999999</v>
      </c>
      <c r="AU256" s="395"/>
      <c r="AV256" s="251"/>
      <c r="AW256" s="251"/>
      <c r="AX256" s="251"/>
      <c r="AY256" s="251"/>
      <c r="AZ256" s="251"/>
      <c r="BA256" s="251"/>
      <c r="BB256" s="251"/>
      <c r="BC256" s="251"/>
      <c r="BD256" s="251"/>
      <c r="BE256" s="251"/>
      <c r="BF256" s="251"/>
      <c r="BG256" s="251"/>
      <c r="BH256" s="251"/>
      <c r="BI256" s="251"/>
      <c r="BJ256" s="251"/>
      <c r="BK256" s="251"/>
      <c r="BL256" s="251"/>
      <c r="BM256" s="251"/>
      <c r="BN256" s="251"/>
      <c r="BO256" s="251"/>
      <c r="BP256" s="251"/>
      <c r="BQ256" s="251"/>
      <c r="BR256" s="251"/>
      <c r="BS256" s="251"/>
      <c r="BT256" s="251"/>
      <c r="BU256" s="251"/>
      <c r="BV256" s="272" t="s">
        <v>56</v>
      </c>
      <c r="BW256" s="273">
        <f>+BW255*1.2-BW255</f>
        <v>111715.25038079999</v>
      </c>
      <c r="BX256" s="273"/>
    </row>
    <row r="257" spans="1:77" s="240" customFormat="1" ht="15.75">
      <c r="A257" s="392"/>
      <c r="B257" s="261"/>
      <c r="C257" s="251"/>
      <c r="D257" s="252"/>
      <c r="E257" s="261"/>
      <c r="F257" s="251"/>
      <c r="G257" s="251"/>
      <c r="H257" s="323"/>
      <c r="I257" s="323"/>
      <c r="J257" s="323"/>
      <c r="K257" s="323"/>
      <c r="L257" s="323"/>
      <c r="M257" s="323"/>
      <c r="N257" s="323"/>
      <c r="O257" s="323"/>
      <c r="P257" s="323"/>
      <c r="Q257" s="413"/>
      <c r="R257" s="413"/>
      <c r="S257" s="252"/>
      <c r="T257" s="237"/>
      <c r="U257" s="237"/>
      <c r="V257" s="237"/>
      <c r="W257" s="237"/>
      <c r="X257" s="237"/>
      <c r="Y257" s="237"/>
      <c r="Z257" s="237"/>
      <c r="AA257" s="237"/>
      <c r="AB257" s="237"/>
      <c r="AC257" s="237"/>
      <c r="AD257" s="413"/>
      <c r="AE257" s="237"/>
      <c r="AF257" s="237"/>
      <c r="AG257" s="237"/>
      <c r="AH257" s="237"/>
      <c r="AI257" s="237"/>
      <c r="AJ257" s="237"/>
      <c r="AK257" s="237"/>
      <c r="AL257" s="237"/>
      <c r="AM257" s="237"/>
      <c r="AN257" s="237"/>
      <c r="AO257" s="237"/>
      <c r="AP257" s="413"/>
      <c r="AQ257" s="251"/>
      <c r="AR257" s="272" t="s">
        <v>402</v>
      </c>
      <c r="AS257" s="273">
        <f>+AS255+AS256</f>
        <v>670291.48439999996</v>
      </c>
      <c r="AU257" s="395"/>
      <c r="AV257" s="251"/>
      <c r="AW257" s="251"/>
      <c r="AX257" s="251"/>
      <c r="AY257" s="251"/>
      <c r="AZ257" s="251"/>
      <c r="BA257" s="251"/>
      <c r="BB257" s="251"/>
      <c r="BC257" s="251"/>
      <c r="BD257" s="251"/>
      <c r="BE257" s="251"/>
      <c r="BF257" s="251"/>
      <c r="BG257" s="251"/>
      <c r="BH257" s="251"/>
      <c r="BI257" s="251"/>
      <c r="BJ257" s="251"/>
      <c r="BK257" s="251"/>
      <c r="BL257" s="251"/>
      <c r="BM257" s="251"/>
      <c r="BN257" s="251"/>
      <c r="BO257" s="251"/>
      <c r="BP257" s="251"/>
      <c r="BQ257" s="251"/>
      <c r="BR257" s="251"/>
      <c r="BS257" s="251"/>
      <c r="BT257" s="251"/>
      <c r="BU257" s="251"/>
      <c r="BV257" s="272" t="s">
        <v>58</v>
      </c>
      <c r="BW257" s="273">
        <f>+BW255+BW256</f>
        <v>670291.50228480017</v>
      </c>
      <c r="BX257" s="273"/>
    </row>
    <row r="258" spans="1:77" s="240" customFormat="1">
      <c r="A258" s="392"/>
      <c r="B258" s="269"/>
      <c r="C258" s="270"/>
      <c r="D258" s="399"/>
      <c r="E258" s="269"/>
      <c r="F258" s="270"/>
      <c r="G258" s="270"/>
      <c r="H258" s="324"/>
      <c r="I258" s="324"/>
      <c r="J258" s="324"/>
      <c r="K258" s="324"/>
      <c r="L258" s="324"/>
      <c r="M258" s="324"/>
      <c r="N258" s="324"/>
      <c r="O258" s="324"/>
      <c r="P258" s="324"/>
      <c r="Q258" s="414"/>
      <c r="R258" s="414"/>
      <c r="S258" s="399"/>
      <c r="T258" s="239"/>
      <c r="U258" s="239"/>
      <c r="V258" s="239"/>
      <c r="W258" s="239"/>
      <c r="X258" s="239"/>
      <c r="Y258" s="239"/>
      <c r="Z258" s="239"/>
      <c r="AA258" s="239"/>
      <c r="AB258" s="239"/>
      <c r="AC258" s="239"/>
      <c r="AD258" s="414"/>
      <c r="AE258" s="239"/>
      <c r="AF258" s="239"/>
      <c r="AG258" s="239"/>
      <c r="AH258" s="239"/>
      <c r="AI258" s="239"/>
      <c r="AJ258" s="239"/>
      <c r="AK258" s="239"/>
      <c r="AL258" s="239"/>
      <c r="AM258" s="239"/>
      <c r="AN258" s="239"/>
      <c r="AO258" s="239"/>
      <c r="AP258" s="414"/>
      <c r="AQ258" s="270"/>
      <c r="AR258" s="270"/>
      <c r="AS258" s="274"/>
      <c r="AU258" s="314"/>
      <c r="AV258" s="270"/>
      <c r="AW258" s="270"/>
      <c r="AX258" s="270"/>
      <c r="AY258" s="270"/>
      <c r="AZ258" s="270"/>
      <c r="BA258" s="270"/>
      <c r="BB258" s="270"/>
      <c r="BC258" s="270"/>
      <c r="BD258" s="270"/>
      <c r="BE258" s="270"/>
      <c r="BF258" s="270"/>
      <c r="BG258" s="270"/>
      <c r="BH258" s="270"/>
      <c r="BI258" s="270"/>
      <c r="BJ258" s="270"/>
      <c r="BK258" s="270"/>
      <c r="BL258" s="270"/>
      <c r="BM258" s="270"/>
      <c r="BN258" s="270"/>
      <c r="BO258" s="270"/>
      <c r="BP258" s="270"/>
      <c r="BQ258" s="270"/>
      <c r="BR258" s="270"/>
      <c r="BS258" s="270"/>
      <c r="BT258" s="270"/>
      <c r="BU258" s="270"/>
      <c r="BV258" s="270"/>
      <c r="BW258" s="274"/>
      <c r="BX258" s="274"/>
    </row>
    <row r="259" spans="1:77" s="240" customFormat="1" ht="9" customHeight="1">
      <c r="A259" s="392"/>
      <c r="B259" s="370"/>
      <c r="C259" s="392"/>
      <c r="H259" s="241"/>
      <c r="I259" s="241"/>
      <c r="J259" s="241"/>
      <c r="K259" s="241"/>
      <c r="L259" s="241"/>
      <c r="M259" s="241"/>
      <c r="N259" s="241"/>
      <c r="O259" s="241"/>
      <c r="P259" s="241"/>
      <c r="Q259" s="413"/>
      <c r="R259" s="413"/>
      <c r="AD259" s="413"/>
      <c r="AP259" s="413"/>
      <c r="AS259" s="242"/>
      <c r="AU259" s="263"/>
      <c r="BX259" s="327"/>
    </row>
    <row r="260" spans="1:77" s="240" customFormat="1">
      <c r="A260" s="392"/>
      <c r="B260" s="370"/>
      <c r="C260" s="392"/>
      <c r="E260" s="35"/>
      <c r="F260" s="41" t="s">
        <v>106</v>
      </c>
      <c r="G260" s="36"/>
      <c r="H260" s="72"/>
      <c r="I260" s="72"/>
      <c r="J260" s="72"/>
      <c r="K260" s="72"/>
      <c r="L260" s="72"/>
      <c r="M260" s="72"/>
      <c r="N260" s="72"/>
      <c r="O260" s="72"/>
      <c r="P260" s="72"/>
      <c r="Q260" s="72"/>
      <c r="R260" s="72"/>
      <c r="S260" s="423"/>
      <c r="T260" s="283"/>
      <c r="U260" s="283"/>
      <c r="V260" s="283"/>
      <c r="W260" s="283"/>
      <c r="X260" s="283"/>
      <c r="Y260" s="283"/>
      <c r="Z260" s="283"/>
      <c r="AA260" s="283"/>
      <c r="AB260" s="283"/>
      <c r="AC260" s="283"/>
      <c r="AD260" s="72"/>
      <c r="AE260" s="283"/>
      <c r="AF260" s="283"/>
      <c r="AG260" s="283"/>
      <c r="AH260" s="283"/>
      <c r="AI260" s="283"/>
      <c r="AJ260" s="283"/>
      <c r="AK260" s="283"/>
      <c r="AL260" s="283"/>
      <c r="AM260" s="283"/>
      <c r="AN260" s="283"/>
      <c r="AO260" s="283"/>
      <c r="AP260" s="72"/>
      <c r="AQ260" s="37"/>
      <c r="AR260" s="38"/>
      <c r="AS260" s="39"/>
      <c r="AU260" s="121" t="str">
        <f>+" Déboursé chapitre : "&amp;F260</f>
        <v xml:space="preserve"> Déboursé chapitre : OPTION</v>
      </c>
      <c r="AV260" s="122"/>
      <c r="AW260" s="123"/>
      <c r="AX260" s="123"/>
      <c r="AY260" s="123"/>
      <c r="AZ260" s="123"/>
      <c r="BA260" s="123"/>
      <c r="BB260" s="123"/>
      <c r="BC260" s="123"/>
      <c r="BD260" s="123"/>
      <c r="BE260" s="123"/>
      <c r="BF260" s="123"/>
      <c r="BG260" s="123"/>
      <c r="BH260" s="123"/>
      <c r="BI260" s="123"/>
      <c r="BJ260" s="123"/>
      <c r="BK260" s="123"/>
      <c r="BL260" s="123"/>
      <c r="BM260" s="123"/>
      <c r="BN260" s="123"/>
      <c r="BO260" s="123"/>
      <c r="BP260" s="123"/>
      <c r="BQ260" s="123"/>
      <c r="BR260" s="123"/>
      <c r="BS260" s="123"/>
      <c r="BT260" s="123"/>
      <c r="BU260" s="123"/>
      <c r="BV260" s="123"/>
      <c r="BW260" s="124"/>
      <c r="BX260" s="137"/>
    </row>
    <row r="261" spans="1:77" s="240" customFormat="1">
      <c r="A261" s="392"/>
      <c r="B261" s="370"/>
      <c r="C261" s="392"/>
      <c r="E261" s="22"/>
      <c r="F261" s="19"/>
      <c r="G261" s="20"/>
      <c r="H261" s="114"/>
      <c r="I261" s="114"/>
      <c r="J261" s="114"/>
      <c r="K261" s="114"/>
      <c r="L261" s="114"/>
      <c r="M261" s="114"/>
      <c r="N261" s="114"/>
      <c r="O261" s="114"/>
      <c r="P261" s="114"/>
      <c r="Q261" s="114"/>
      <c r="R261" s="114"/>
      <c r="S261" s="417"/>
      <c r="T261" s="114"/>
      <c r="U261" s="114"/>
      <c r="V261" s="114"/>
      <c r="W261" s="114"/>
      <c r="X261" s="114"/>
      <c r="Y261" s="114"/>
      <c r="Z261" s="114"/>
      <c r="AA261" s="114"/>
      <c r="AB261" s="114"/>
      <c r="AC261" s="114"/>
      <c r="AD261" s="114"/>
      <c r="AE261" s="114"/>
      <c r="AF261" s="114"/>
      <c r="AG261" s="114"/>
      <c r="AH261" s="114"/>
      <c r="AI261" s="114"/>
      <c r="AJ261" s="114"/>
      <c r="AK261" s="114"/>
      <c r="AL261" s="114"/>
      <c r="AM261" s="114"/>
      <c r="AN261" s="114"/>
      <c r="AO261" s="114"/>
      <c r="AP261" s="114"/>
      <c r="AQ261" s="114"/>
      <c r="AR261" s="114"/>
      <c r="AS261" s="115"/>
      <c r="AU261" s="454"/>
      <c r="AV261" s="284"/>
      <c r="AW261" s="128"/>
      <c r="AX261" s="128"/>
      <c r="AY261" s="128"/>
      <c r="AZ261" s="128"/>
      <c r="BA261" s="284"/>
      <c r="BB261" s="128"/>
      <c r="BC261" s="128"/>
      <c r="BD261" s="284"/>
      <c r="BE261" s="128"/>
      <c r="BF261" s="128"/>
      <c r="BG261" s="284"/>
      <c r="BH261" s="128"/>
      <c r="BI261" s="128"/>
      <c r="BJ261" s="284"/>
      <c r="BK261" s="128"/>
      <c r="BL261" s="128"/>
      <c r="BM261" s="284"/>
      <c r="BN261" s="128"/>
      <c r="BO261" s="128"/>
      <c r="BP261" s="284"/>
      <c r="BQ261" s="128"/>
      <c r="BR261" s="128"/>
      <c r="BS261" s="284"/>
      <c r="BT261" s="128"/>
      <c r="BU261" s="128"/>
      <c r="BV261" s="128"/>
      <c r="BW261" s="128"/>
      <c r="BX261" s="331"/>
    </row>
    <row r="262" spans="1:77" s="240" customFormat="1">
      <c r="A262" s="392"/>
      <c r="B262" s="370"/>
      <c r="C262" s="392"/>
      <c r="E262" s="110"/>
      <c r="F262" s="127" t="s">
        <v>104</v>
      </c>
      <c r="G262" s="17"/>
      <c r="H262" s="112"/>
      <c r="I262" s="112"/>
      <c r="J262" s="112"/>
      <c r="K262" s="112"/>
      <c r="L262" s="112"/>
      <c r="M262" s="112"/>
      <c r="N262" s="112"/>
      <c r="O262" s="112"/>
      <c r="P262" s="112"/>
      <c r="Q262" s="112"/>
      <c r="R262" s="112"/>
      <c r="S262" s="418"/>
      <c r="T262" s="365"/>
      <c r="U262" s="365"/>
      <c r="V262" s="365"/>
      <c r="W262" s="365"/>
      <c r="X262" s="365"/>
      <c r="Y262" s="365"/>
      <c r="Z262" s="365"/>
      <c r="AA262" s="365"/>
      <c r="AB262" s="365"/>
      <c r="AC262" s="365"/>
      <c r="AD262" s="112"/>
      <c r="AE262" s="112"/>
      <c r="AF262" s="366"/>
      <c r="AG262" s="366"/>
      <c r="AH262" s="366"/>
      <c r="AI262" s="366"/>
      <c r="AJ262" s="366"/>
      <c r="AK262" s="366"/>
      <c r="AL262" s="366"/>
      <c r="AM262" s="366"/>
      <c r="AN262" s="366"/>
      <c r="AO262" s="366"/>
      <c r="AP262" s="112"/>
      <c r="AQ262" s="112"/>
      <c r="AR262" s="112"/>
      <c r="AS262" s="113"/>
      <c r="AT262" s="255"/>
      <c r="AU262" s="130"/>
      <c r="AV262" s="285"/>
      <c r="AW262" s="286"/>
      <c r="AX262" s="130"/>
      <c r="AY262" s="130"/>
      <c r="AZ262" s="130"/>
      <c r="BA262" s="285"/>
      <c r="BB262" s="286"/>
      <c r="BC262" s="130"/>
      <c r="BD262" s="285"/>
      <c r="BE262" s="286"/>
      <c r="BF262" s="130"/>
      <c r="BG262" s="285"/>
      <c r="BH262" s="286"/>
      <c r="BI262" s="130"/>
      <c r="BJ262" s="287"/>
      <c r="BK262" s="286"/>
      <c r="BL262" s="130"/>
      <c r="BM262" s="287"/>
      <c r="BN262" s="286"/>
      <c r="BO262" s="130"/>
      <c r="BP262" s="287"/>
      <c r="BQ262" s="286"/>
      <c r="BR262" s="130"/>
      <c r="BS262" s="287"/>
      <c r="BT262" s="286"/>
      <c r="BU262" s="130"/>
      <c r="BV262" s="130"/>
      <c r="BW262" s="130"/>
      <c r="BX262" s="130"/>
      <c r="BY262" s="329"/>
    </row>
    <row r="263" spans="1:77" s="240" customFormat="1">
      <c r="A263" s="392"/>
      <c r="B263" s="370"/>
      <c r="C263" s="392"/>
      <c r="E263" s="22"/>
      <c r="F263" s="1"/>
      <c r="G263" s="17"/>
      <c r="H263" s="16"/>
      <c r="I263" s="16"/>
      <c r="J263" s="21"/>
      <c r="K263" s="16"/>
      <c r="L263" s="16"/>
      <c r="M263" s="16"/>
      <c r="N263" s="16"/>
      <c r="O263" s="16"/>
      <c r="P263" s="16"/>
      <c r="Q263" s="16"/>
      <c r="R263" s="16"/>
      <c r="S263" s="424"/>
      <c r="T263" s="16"/>
      <c r="U263" s="16"/>
      <c r="V263" s="16"/>
      <c r="W263" s="16"/>
      <c r="X263" s="16"/>
      <c r="Y263" s="16"/>
      <c r="Z263" s="16"/>
      <c r="AA263" s="16"/>
      <c r="AB263" s="16"/>
      <c r="AC263" s="16"/>
      <c r="AD263" s="16"/>
      <c r="AE263" s="16"/>
      <c r="AF263" s="16"/>
      <c r="AG263" s="16"/>
      <c r="AH263" s="16"/>
      <c r="AI263" s="16"/>
      <c r="AJ263" s="16"/>
      <c r="AK263" s="16"/>
      <c r="AL263" s="16"/>
      <c r="AM263" s="16"/>
      <c r="AN263" s="16"/>
      <c r="AO263" s="16"/>
      <c r="AP263" s="16"/>
      <c r="AQ263" s="16"/>
      <c r="AR263" s="16"/>
      <c r="AS263" s="16"/>
      <c r="AT263" s="275"/>
      <c r="AU263" s="459"/>
      <c r="AV263" s="295"/>
      <c r="AW263" s="74"/>
      <c r="AX263" s="74"/>
      <c r="AY263" s="74"/>
      <c r="AZ263" s="74"/>
      <c r="BA263" s="295"/>
      <c r="BB263" s="74"/>
      <c r="BC263" s="74"/>
      <c r="BD263" s="295"/>
      <c r="BE263" s="74"/>
      <c r="BF263" s="74"/>
      <c r="BG263" s="295"/>
      <c r="BH263" s="74"/>
      <c r="BI263" s="74"/>
      <c r="BJ263" s="295"/>
      <c r="BK263" s="74"/>
      <c r="BL263" s="74"/>
      <c r="BM263" s="295"/>
      <c r="BN263" s="74"/>
      <c r="BO263" s="74"/>
      <c r="BP263" s="295"/>
      <c r="BQ263" s="74"/>
      <c r="BR263" s="74"/>
      <c r="BS263" s="295"/>
      <c r="BT263" s="74"/>
      <c r="BU263" s="74"/>
      <c r="BV263" s="74"/>
      <c r="BW263" s="74"/>
      <c r="BX263" s="335"/>
      <c r="BY263" s="275"/>
    </row>
    <row r="264" spans="1:77" s="240" customFormat="1">
      <c r="A264" s="392"/>
      <c r="B264" s="370"/>
      <c r="C264" s="392"/>
      <c r="E264" s="18"/>
      <c r="F264" s="23"/>
      <c r="G264" s="436" t="str">
        <f>"ST - "&amp;F260</f>
        <v>ST - OPTION</v>
      </c>
      <c r="H264" s="230"/>
      <c r="I264" s="230"/>
      <c r="J264" s="230"/>
      <c r="K264" s="230"/>
      <c r="L264" s="230"/>
      <c r="M264" s="230"/>
      <c r="N264" s="230"/>
      <c r="O264" s="230"/>
      <c r="P264" s="230"/>
      <c r="Q264" s="404"/>
      <c r="R264" s="404"/>
      <c r="S264" s="420"/>
      <c r="T264" s="291"/>
      <c r="U264" s="291"/>
      <c r="V264" s="291"/>
      <c r="W264" s="291"/>
      <c r="X264" s="291"/>
      <c r="Y264" s="291"/>
      <c r="Z264" s="291"/>
      <c r="AA264" s="291"/>
      <c r="AB264" s="291"/>
      <c r="AC264" s="291"/>
      <c r="AD264" s="404"/>
      <c r="AE264" s="291"/>
      <c r="AF264" s="291"/>
      <c r="AG264" s="291"/>
      <c r="AH264" s="291"/>
      <c r="AI264" s="291"/>
      <c r="AJ264" s="291"/>
      <c r="AK264" s="291"/>
      <c r="AL264" s="291"/>
      <c r="AM264" s="291"/>
      <c r="AN264" s="291"/>
      <c r="AO264" s="291"/>
      <c r="AP264" s="404"/>
      <c r="AQ264" s="134"/>
      <c r="AR264" s="135"/>
      <c r="AS264" s="435">
        <f>SUM(AS261:AS263)</f>
        <v>0</v>
      </c>
      <c r="AT264" s="275"/>
      <c r="AU264" s="460" t="str">
        <f>"ST - DÉBOURSÉ : "&amp;F260</f>
        <v>ST - DÉBOURSÉ : OPTION</v>
      </c>
      <c r="AV264" s="296"/>
      <c r="AW264" s="296"/>
      <c r="AX264" s="297" t="s">
        <v>50</v>
      </c>
      <c r="AY264" s="298">
        <f>SUM(AY261:AY263)</f>
        <v>0</v>
      </c>
      <c r="AZ264" s="298">
        <f>SUM(AZ261:AZ263)</f>
        <v>0</v>
      </c>
      <c r="BA264" s="299"/>
      <c r="BB264" s="300" t="s">
        <v>42</v>
      </c>
      <c r="BC264" s="298">
        <f>SUM(BC261:BC263)</f>
        <v>0</v>
      </c>
      <c r="BD264" s="299"/>
      <c r="BE264" s="300" t="s">
        <v>43</v>
      </c>
      <c r="BF264" s="298">
        <f>SUM(BF261:BF263)</f>
        <v>0</v>
      </c>
      <c r="BG264" s="299"/>
      <c r="BH264" s="300" t="s">
        <v>44</v>
      </c>
      <c r="BI264" s="298">
        <f>SUM(BI261:BI263)</f>
        <v>0</v>
      </c>
      <c r="BJ264" s="299"/>
      <c r="BK264" s="300" t="s">
        <v>45</v>
      </c>
      <c r="BL264" s="298">
        <f>SUM(BL261:BL263)</f>
        <v>0</v>
      </c>
      <c r="BM264" s="299"/>
      <c r="BN264" s="300" t="s">
        <v>46</v>
      </c>
      <c r="BO264" s="298">
        <f>SUM(BO261:BO263)</f>
        <v>0</v>
      </c>
      <c r="BP264" s="299"/>
      <c r="BQ264" s="300" t="s">
        <v>47</v>
      </c>
      <c r="BR264" s="298">
        <f>SUM(BR261:BR263)</f>
        <v>0</v>
      </c>
      <c r="BS264" s="299"/>
      <c r="BT264" s="300" t="s">
        <v>48</v>
      </c>
      <c r="BU264" s="298">
        <f>SUM(BU261:BU263)</f>
        <v>0</v>
      </c>
      <c r="BV264" s="300" t="s">
        <v>49</v>
      </c>
      <c r="BW264" s="298">
        <f>SUM(BW261:BW263)</f>
        <v>0</v>
      </c>
      <c r="BX264" s="298"/>
      <c r="BY264" s="275"/>
    </row>
    <row r="265" spans="1:77" s="240" customFormat="1">
      <c r="A265" s="392"/>
      <c r="B265" s="370"/>
      <c r="C265" s="392"/>
      <c r="H265" s="241"/>
      <c r="I265" s="241"/>
      <c r="J265" s="241"/>
      <c r="K265" s="241"/>
      <c r="L265" s="241"/>
      <c r="M265" s="241"/>
      <c r="N265" s="241"/>
      <c r="O265" s="241"/>
      <c r="P265" s="241"/>
      <c r="Q265" s="241"/>
      <c r="R265" s="241"/>
      <c r="S265" s="241"/>
      <c r="T265" s="241"/>
      <c r="U265" s="241"/>
      <c r="V265" s="241"/>
      <c r="W265" s="241"/>
      <c r="X265" s="241"/>
      <c r="Y265" s="241"/>
      <c r="Z265" s="241"/>
      <c r="AA265" s="241"/>
      <c r="AB265" s="241"/>
      <c r="AC265" s="241"/>
      <c r="AD265" s="241"/>
      <c r="AE265" s="241"/>
      <c r="AF265" s="241"/>
      <c r="AG265" s="241"/>
      <c r="AH265" s="241"/>
      <c r="AI265" s="241"/>
      <c r="AJ265" s="241"/>
      <c r="AK265" s="241"/>
      <c r="AL265" s="241"/>
      <c r="AM265" s="241"/>
      <c r="AN265" s="241"/>
      <c r="AO265" s="241"/>
      <c r="AP265" s="241"/>
      <c r="AQ265" s="241"/>
      <c r="AR265" s="241"/>
      <c r="AS265" s="241"/>
      <c r="AT265" s="241"/>
      <c r="AU265" s="461"/>
      <c r="AV265" s="241"/>
      <c r="AW265" s="241"/>
      <c r="AX265" s="241"/>
      <c r="AY265" s="241"/>
      <c r="AZ265" s="241"/>
      <c r="BC265" s="242"/>
      <c r="BX265" s="327"/>
    </row>
    <row r="266" spans="1:77" s="240" customFormat="1">
      <c r="A266" s="392"/>
      <c r="B266" s="370"/>
      <c r="C266" s="392"/>
      <c r="H266" s="241"/>
      <c r="I266" s="241"/>
      <c r="J266" s="241"/>
      <c r="K266" s="241"/>
      <c r="L266" s="241"/>
      <c r="M266" s="241"/>
      <c r="N266" s="241"/>
      <c r="O266" s="241"/>
      <c r="P266" s="241"/>
      <c r="Q266" s="241"/>
      <c r="R266" s="241"/>
      <c r="S266" s="241"/>
      <c r="T266" s="241"/>
      <c r="U266" s="241"/>
      <c r="V266" s="241"/>
      <c r="W266" s="241"/>
      <c r="X266" s="241"/>
      <c r="Y266" s="241"/>
      <c r="Z266" s="241"/>
      <c r="AA266" s="241"/>
      <c r="AB266" s="241"/>
      <c r="AC266" s="241"/>
      <c r="AD266" s="241"/>
      <c r="AE266" s="241"/>
      <c r="AF266" s="241"/>
      <c r="AG266" s="241"/>
      <c r="AH266" s="241"/>
      <c r="AI266" s="241"/>
      <c r="AJ266" s="241"/>
      <c r="AK266" s="241"/>
      <c r="AL266" s="241"/>
      <c r="AM266" s="241"/>
      <c r="AN266" s="241"/>
      <c r="AO266" s="241"/>
      <c r="AP266" s="241"/>
      <c r="AQ266" s="241"/>
      <c r="AR266" s="241"/>
      <c r="AS266" s="241"/>
      <c r="AT266" s="241"/>
      <c r="AU266" s="461"/>
      <c r="AV266" s="241"/>
      <c r="AW266" s="241"/>
      <c r="AX266" s="241"/>
      <c r="AY266" s="241"/>
      <c r="BB266" s="242"/>
      <c r="BX266" s="327"/>
    </row>
    <row r="267" spans="1:77" s="240" customFormat="1">
      <c r="A267" s="392"/>
      <c r="B267" s="370"/>
      <c r="C267" s="392"/>
      <c r="H267" s="241"/>
      <c r="I267" s="241"/>
      <c r="J267" s="241"/>
      <c r="K267" s="241"/>
      <c r="L267" s="241"/>
      <c r="M267" s="241"/>
      <c r="N267" s="241"/>
      <c r="O267" s="241"/>
      <c r="P267" s="241"/>
      <c r="Q267" s="241"/>
      <c r="R267" s="241"/>
      <c r="S267" s="241"/>
      <c r="T267" s="241"/>
      <c r="U267" s="241"/>
      <c r="V267" s="241"/>
      <c r="W267" s="241"/>
      <c r="X267" s="241"/>
      <c r="Y267" s="241"/>
      <c r="Z267" s="241"/>
      <c r="AA267" s="241"/>
      <c r="AB267" s="241"/>
      <c r="AC267" s="241"/>
      <c r="AD267" s="241"/>
      <c r="AE267" s="241"/>
      <c r="AF267" s="241"/>
      <c r="AG267" s="241"/>
      <c r="AH267" s="241"/>
      <c r="AI267" s="241"/>
      <c r="AJ267" s="241"/>
      <c r="AK267" s="241"/>
      <c r="AL267" s="241"/>
      <c r="AM267" s="241"/>
      <c r="AN267" s="241"/>
      <c r="AO267" s="241"/>
      <c r="AP267" s="241"/>
      <c r="AQ267" s="241"/>
      <c r="AR267" s="241"/>
      <c r="AS267" s="241"/>
      <c r="AT267" s="241"/>
      <c r="AU267" s="461"/>
      <c r="AV267" s="241"/>
      <c r="AW267" s="241"/>
      <c r="AX267" s="241"/>
      <c r="AY267" s="241"/>
      <c r="BB267" s="242"/>
      <c r="BX267" s="327"/>
    </row>
    <row r="268" spans="1:77" s="240" customFormat="1">
      <c r="A268" s="392"/>
      <c r="B268" s="370"/>
      <c r="C268" s="392"/>
      <c r="H268" s="241"/>
      <c r="I268" s="241"/>
      <c r="J268" s="241"/>
      <c r="K268" s="241"/>
      <c r="L268" s="241"/>
      <c r="M268" s="241"/>
      <c r="N268" s="241"/>
      <c r="O268" s="241"/>
      <c r="P268" s="241"/>
      <c r="Q268" s="241"/>
      <c r="R268" s="241"/>
      <c r="S268" s="241"/>
      <c r="T268" s="241"/>
      <c r="U268" s="241"/>
      <c r="V268" s="241"/>
      <c r="W268" s="241"/>
      <c r="X268" s="241"/>
      <c r="Y268" s="241"/>
      <c r="Z268" s="241"/>
      <c r="AA268" s="241"/>
      <c r="AB268" s="241"/>
      <c r="AC268" s="241"/>
      <c r="AD268" s="241"/>
      <c r="AE268" s="241"/>
      <c r="AF268" s="241"/>
      <c r="AG268" s="241"/>
      <c r="AH268" s="241"/>
      <c r="AI268" s="241"/>
      <c r="AJ268" s="241"/>
      <c r="AK268" s="241"/>
      <c r="AL268" s="241"/>
      <c r="AM268" s="241"/>
      <c r="AN268" s="241"/>
      <c r="AO268" s="241"/>
      <c r="AP268" s="241"/>
      <c r="AQ268" s="241"/>
      <c r="AR268" s="241"/>
      <c r="AS268" s="241"/>
      <c r="AT268" s="241"/>
      <c r="AU268" s="461"/>
      <c r="AV268" s="241"/>
      <c r="AW268" s="241"/>
      <c r="AX268" s="241"/>
      <c r="AY268" s="241"/>
      <c r="BB268" s="242"/>
      <c r="BX268" s="327"/>
    </row>
    <row r="269" spans="1:77" s="240" customFormat="1">
      <c r="A269" s="392"/>
      <c r="B269" s="370"/>
      <c r="C269" s="392"/>
      <c r="H269" s="241"/>
      <c r="I269" s="241"/>
      <c r="J269" s="241"/>
      <c r="K269" s="241"/>
      <c r="L269" s="241"/>
      <c r="M269" s="241"/>
      <c r="N269" s="241"/>
      <c r="O269" s="241"/>
      <c r="P269" s="241"/>
      <c r="Q269" s="241"/>
      <c r="R269" s="241"/>
      <c r="S269" s="241"/>
      <c r="T269" s="241"/>
      <c r="U269" s="241"/>
      <c r="V269" s="241"/>
      <c r="W269" s="241"/>
      <c r="X269" s="241"/>
      <c r="Y269" s="241"/>
      <c r="Z269" s="241"/>
      <c r="AA269" s="241"/>
      <c r="AB269" s="241"/>
      <c r="AC269" s="241"/>
      <c r="AD269" s="241"/>
      <c r="AE269" s="241"/>
      <c r="AF269" s="241"/>
      <c r="AG269" s="241"/>
      <c r="AH269" s="241"/>
      <c r="AI269" s="241"/>
      <c r="AJ269" s="241"/>
      <c r="AK269" s="241"/>
      <c r="AL269" s="241"/>
      <c r="AM269" s="241"/>
      <c r="AN269" s="241"/>
      <c r="AO269" s="241"/>
      <c r="AP269" s="241"/>
      <c r="AS269" s="242"/>
      <c r="AU269" s="263"/>
      <c r="BX269" s="327"/>
    </row>
    <row r="270" spans="1:77" s="240" customFormat="1">
      <c r="A270" s="392"/>
      <c r="B270" s="370"/>
      <c r="C270" s="392"/>
      <c r="H270" s="241"/>
      <c r="I270" s="241"/>
      <c r="J270" s="241"/>
      <c r="K270" s="241"/>
      <c r="L270" s="241"/>
      <c r="M270" s="241"/>
      <c r="N270" s="241"/>
      <c r="O270" s="241"/>
      <c r="P270" s="241"/>
      <c r="Q270" s="241"/>
      <c r="R270" s="241"/>
      <c r="S270" s="241"/>
      <c r="T270" s="241"/>
      <c r="U270" s="241"/>
      <c r="V270" s="241"/>
      <c r="W270" s="241"/>
      <c r="X270" s="241"/>
      <c r="Y270" s="241"/>
      <c r="Z270" s="241"/>
      <c r="AA270" s="241"/>
      <c r="AB270" s="241"/>
      <c r="AC270" s="241"/>
      <c r="AD270" s="241"/>
      <c r="AE270" s="241"/>
      <c r="AF270" s="241"/>
      <c r="AG270" s="241"/>
      <c r="AH270" s="241"/>
      <c r="AI270" s="241"/>
      <c r="AJ270" s="241"/>
      <c r="AK270" s="241"/>
      <c r="AL270" s="241"/>
      <c r="AM270" s="241"/>
      <c r="AN270" s="241"/>
      <c r="AO270" s="241"/>
      <c r="AP270" s="241"/>
      <c r="AS270" s="242"/>
      <c r="AU270" s="263"/>
      <c r="BX270" s="327"/>
    </row>
    <row r="271" spans="1:77" s="240" customFormat="1">
      <c r="A271" s="392"/>
      <c r="B271" s="370"/>
      <c r="C271" s="392"/>
      <c r="H271" s="241"/>
      <c r="I271" s="241"/>
      <c r="J271" s="241"/>
      <c r="K271" s="241"/>
      <c r="L271" s="241"/>
      <c r="M271" s="241"/>
      <c r="N271" s="241"/>
      <c r="O271" s="241"/>
      <c r="P271" s="241"/>
      <c r="Q271" s="241"/>
      <c r="R271" s="241"/>
      <c r="S271" s="241"/>
      <c r="T271" s="241"/>
      <c r="U271" s="241"/>
      <c r="V271" s="241"/>
      <c r="W271" s="241"/>
      <c r="X271" s="241"/>
      <c r="Y271" s="241"/>
      <c r="Z271" s="241"/>
      <c r="AA271" s="241"/>
      <c r="AB271" s="241"/>
      <c r="AC271" s="241"/>
      <c r="AD271" s="241"/>
      <c r="AE271" s="241"/>
      <c r="AF271" s="241"/>
      <c r="AG271" s="241"/>
      <c r="AH271" s="241"/>
      <c r="AI271" s="241"/>
      <c r="AJ271" s="241"/>
      <c r="AK271" s="241"/>
      <c r="AL271" s="241"/>
      <c r="AM271" s="241"/>
      <c r="AN271" s="241"/>
      <c r="AO271" s="241"/>
      <c r="AP271" s="241"/>
      <c r="AS271" s="242"/>
      <c r="AU271" s="517"/>
      <c r="AV271" s="517"/>
      <c r="AW271" s="517"/>
      <c r="AX271" s="517"/>
      <c r="BX271" s="327"/>
    </row>
    <row r="272" spans="1:77" s="240" customFormat="1">
      <c r="A272" s="392"/>
      <c r="B272" s="370"/>
      <c r="C272" s="392"/>
      <c r="H272" s="241"/>
      <c r="I272" s="241"/>
      <c r="J272" s="241"/>
      <c r="K272" s="241"/>
      <c r="L272" s="241"/>
      <c r="M272" s="241"/>
      <c r="N272" s="241"/>
      <c r="O272" s="241"/>
      <c r="P272" s="241"/>
      <c r="Q272" s="241"/>
      <c r="R272" s="241"/>
      <c r="S272" s="241"/>
      <c r="T272" s="241"/>
      <c r="U272" s="241"/>
      <c r="V272" s="241"/>
      <c r="W272" s="241"/>
      <c r="X272" s="241"/>
      <c r="Y272" s="241"/>
      <c r="Z272" s="241"/>
      <c r="AA272" s="241"/>
      <c r="AB272" s="241"/>
      <c r="AC272" s="241"/>
      <c r="AD272" s="241"/>
      <c r="AE272" s="241"/>
      <c r="AF272" s="241"/>
      <c r="AG272" s="241"/>
      <c r="AH272" s="241"/>
      <c r="AI272" s="241"/>
      <c r="AJ272" s="241"/>
      <c r="AK272" s="241"/>
      <c r="AL272" s="241"/>
      <c r="AM272" s="241"/>
      <c r="AN272" s="241"/>
      <c r="AO272" s="241"/>
      <c r="AP272" s="241"/>
      <c r="AS272" s="242"/>
      <c r="AU272" s="263"/>
      <c r="BX272" s="327"/>
    </row>
    <row r="273" spans="1:76" s="240" customFormat="1">
      <c r="A273" s="392"/>
      <c r="B273" s="370"/>
      <c r="C273" s="392"/>
      <c r="H273" s="241"/>
      <c r="I273" s="241"/>
      <c r="J273" s="241"/>
      <c r="K273" s="241"/>
      <c r="L273" s="241"/>
      <c r="M273" s="241"/>
      <c r="N273" s="241"/>
      <c r="O273" s="241"/>
      <c r="P273" s="241"/>
      <c r="Q273" s="241"/>
      <c r="R273" s="241"/>
      <c r="S273" s="241"/>
      <c r="T273" s="241"/>
      <c r="U273" s="241"/>
      <c r="V273" s="241"/>
      <c r="W273" s="241"/>
      <c r="X273" s="241"/>
      <c r="Y273" s="241"/>
      <c r="Z273" s="241"/>
      <c r="AA273" s="241"/>
      <c r="AB273" s="241"/>
      <c r="AC273" s="241"/>
      <c r="AD273" s="241"/>
      <c r="AE273" s="241"/>
      <c r="AF273" s="241"/>
      <c r="AG273" s="241"/>
      <c r="AH273" s="241"/>
      <c r="AI273" s="241"/>
      <c r="AJ273" s="241"/>
      <c r="AK273" s="241"/>
      <c r="AL273" s="241"/>
      <c r="AM273" s="241"/>
      <c r="AN273" s="241"/>
      <c r="AO273" s="241"/>
      <c r="AP273" s="241"/>
      <c r="AS273" s="242"/>
      <c r="AU273" s="263"/>
      <c r="BX273" s="327"/>
    </row>
    <row r="274" spans="1:76" s="240" customFormat="1">
      <c r="A274" s="392"/>
      <c r="B274" s="370"/>
      <c r="C274" s="392"/>
      <c r="H274" s="241"/>
      <c r="I274" s="241"/>
      <c r="J274" s="241"/>
      <c r="K274" s="241"/>
      <c r="L274" s="241"/>
      <c r="M274" s="241"/>
      <c r="N274" s="241"/>
      <c r="O274" s="241"/>
      <c r="P274" s="241"/>
      <c r="Q274" s="241"/>
      <c r="R274" s="241"/>
      <c r="S274" s="241"/>
      <c r="T274" s="241"/>
      <c r="U274" s="241"/>
      <c r="V274" s="241"/>
      <c r="W274" s="241"/>
      <c r="X274" s="241"/>
      <c r="Y274" s="241"/>
      <c r="Z274" s="241"/>
      <c r="AA274" s="241"/>
      <c r="AB274" s="241"/>
      <c r="AC274" s="241"/>
      <c r="AD274" s="241"/>
      <c r="AE274" s="241"/>
      <c r="AF274" s="241"/>
      <c r="AG274" s="241"/>
      <c r="AH274" s="241"/>
      <c r="AI274" s="241"/>
      <c r="AJ274" s="241"/>
      <c r="AK274" s="241"/>
      <c r="AL274" s="241"/>
      <c r="AM274" s="241"/>
      <c r="AN274" s="241"/>
      <c r="AO274" s="241"/>
      <c r="AP274" s="241"/>
      <c r="AS274" s="242"/>
      <c r="AU274" s="263"/>
      <c r="BX274" s="327"/>
    </row>
    <row r="275" spans="1:76" s="240" customFormat="1">
      <c r="A275" s="392"/>
      <c r="B275" s="370"/>
      <c r="C275" s="392"/>
      <c r="H275" s="241"/>
      <c r="I275" s="241"/>
      <c r="J275" s="241"/>
      <c r="K275" s="241"/>
      <c r="L275" s="241"/>
      <c r="M275" s="241"/>
      <c r="N275" s="241"/>
      <c r="O275" s="241"/>
      <c r="P275" s="241"/>
      <c r="Q275" s="241"/>
      <c r="R275" s="241"/>
      <c r="S275" s="241"/>
      <c r="T275" s="241"/>
      <c r="U275" s="241"/>
      <c r="V275" s="241"/>
      <c r="W275" s="241"/>
      <c r="X275" s="241"/>
      <c r="Y275" s="241"/>
      <c r="Z275" s="241"/>
      <c r="AA275" s="241"/>
      <c r="AB275" s="241"/>
      <c r="AC275" s="241"/>
      <c r="AD275" s="241"/>
      <c r="AE275" s="241"/>
      <c r="AF275" s="241"/>
      <c r="AG275" s="241"/>
      <c r="AH275" s="241"/>
      <c r="AI275" s="241"/>
      <c r="AJ275" s="241"/>
      <c r="AK275" s="241"/>
      <c r="AL275" s="241"/>
      <c r="AM275" s="241"/>
      <c r="AN275" s="241"/>
      <c r="AO275" s="241"/>
      <c r="AP275" s="241"/>
      <c r="AS275" s="242"/>
      <c r="AU275" s="263"/>
      <c r="BX275" s="327"/>
    </row>
    <row r="276" spans="1:76" s="240" customFormat="1">
      <c r="A276" s="392"/>
      <c r="B276" s="370"/>
      <c r="C276" s="392"/>
      <c r="H276" s="241"/>
      <c r="I276" s="241"/>
      <c r="J276" s="241"/>
      <c r="K276" s="241"/>
      <c r="L276" s="241"/>
      <c r="M276" s="241"/>
      <c r="N276" s="241"/>
      <c r="O276" s="241"/>
      <c r="P276" s="241"/>
      <c r="Q276" s="241"/>
      <c r="R276" s="241"/>
      <c r="S276" s="241"/>
      <c r="T276" s="241"/>
      <c r="U276" s="241"/>
      <c r="V276" s="241"/>
      <c r="W276" s="241"/>
      <c r="X276" s="241"/>
      <c r="Y276" s="241"/>
      <c r="Z276" s="241"/>
      <c r="AA276" s="241"/>
      <c r="AB276" s="241"/>
      <c r="AC276" s="241"/>
      <c r="AD276" s="241"/>
      <c r="AE276" s="241"/>
      <c r="AF276" s="241"/>
      <c r="AG276" s="241"/>
      <c r="AH276" s="241"/>
      <c r="AI276" s="241"/>
      <c r="AJ276" s="241"/>
      <c r="AK276" s="241"/>
      <c r="AL276" s="241"/>
      <c r="AM276" s="241"/>
      <c r="AN276" s="241"/>
      <c r="AO276" s="241"/>
      <c r="AP276" s="241"/>
      <c r="AS276" s="242"/>
      <c r="AU276" s="263"/>
      <c r="BX276" s="327"/>
    </row>
    <row r="277" spans="1:76" s="240" customFormat="1">
      <c r="A277" s="392"/>
      <c r="B277" s="370"/>
      <c r="C277" s="392"/>
      <c r="H277" s="241"/>
      <c r="I277" s="241"/>
      <c r="J277" s="241"/>
      <c r="K277" s="241"/>
      <c r="L277" s="241"/>
      <c r="M277" s="241"/>
      <c r="N277" s="241"/>
      <c r="O277" s="241"/>
      <c r="P277" s="241"/>
      <c r="Q277" s="241"/>
      <c r="R277" s="241"/>
      <c r="S277" s="241"/>
      <c r="T277" s="241"/>
      <c r="U277" s="241"/>
      <c r="V277" s="241"/>
      <c r="W277" s="241"/>
      <c r="X277" s="241"/>
      <c r="Y277" s="241"/>
      <c r="Z277" s="241"/>
      <c r="AA277" s="241"/>
      <c r="AB277" s="241"/>
      <c r="AC277" s="241"/>
      <c r="AD277" s="241"/>
      <c r="AE277" s="241"/>
      <c r="AF277" s="241"/>
      <c r="AG277" s="241"/>
      <c r="AH277" s="241"/>
      <c r="AI277" s="241"/>
      <c r="AJ277" s="241"/>
      <c r="AK277" s="241"/>
      <c r="AL277" s="241"/>
      <c r="AM277" s="241"/>
      <c r="AN277" s="241"/>
      <c r="AO277" s="241"/>
      <c r="AP277" s="241"/>
      <c r="AS277" s="242"/>
      <c r="AU277" s="263"/>
      <c r="BX277" s="327"/>
    </row>
    <row r="278" spans="1:76" s="240" customFormat="1">
      <c r="A278" s="392"/>
      <c r="B278" s="370"/>
      <c r="C278" s="392"/>
      <c r="H278" s="241"/>
      <c r="I278" s="241"/>
      <c r="J278" s="241"/>
      <c r="K278" s="241"/>
      <c r="L278" s="241"/>
      <c r="M278" s="241"/>
      <c r="N278" s="241"/>
      <c r="O278" s="241"/>
      <c r="P278" s="241"/>
      <c r="Q278" s="241"/>
      <c r="R278" s="241"/>
      <c r="S278" s="241"/>
      <c r="T278" s="241"/>
      <c r="U278" s="241"/>
      <c r="V278" s="241"/>
      <c r="W278" s="241"/>
      <c r="X278" s="241"/>
      <c r="Y278" s="241"/>
      <c r="Z278" s="241"/>
      <c r="AA278" s="241"/>
      <c r="AB278" s="241"/>
      <c r="AC278" s="241"/>
      <c r="AD278" s="241"/>
      <c r="AE278" s="241"/>
      <c r="AF278" s="241"/>
      <c r="AG278" s="241"/>
      <c r="AH278" s="241"/>
      <c r="AI278" s="241"/>
      <c r="AJ278" s="241"/>
      <c r="AK278" s="241"/>
      <c r="AL278" s="241"/>
      <c r="AM278" s="241"/>
      <c r="AN278" s="241"/>
      <c r="AO278" s="241"/>
      <c r="AP278" s="241"/>
      <c r="AS278" s="242"/>
      <c r="AU278" s="263"/>
      <c r="BX278" s="327"/>
    </row>
    <row r="279" spans="1:76" s="240" customFormat="1">
      <c r="A279" s="392"/>
      <c r="B279" s="370"/>
      <c r="C279" s="392"/>
      <c r="H279" s="241"/>
      <c r="I279" s="241"/>
      <c r="J279" s="241"/>
      <c r="K279" s="241"/>
      <c r="L279" s="241"/>
      <c r="M279" s="241"/>
      <c r="N279" s="241"/>
      <c r="O279" s="241"/>
      <c r="P279" s="241"/>
      <c r="Q279" s="241"/>
      <c r="R279" s="241"/>
      <c r="S279" s="241"/>
      <c r="T279" s="241"/>
      <c r="U279" s="241"/>
      <c r="V279" s="241"/>
      <c r="W279" s="241"/>
      <c r="X279" s="241"/>
      <c r="Y279" s="241"/>
      <c r="Z279" s="241"/>
      <c r="AA279" s="241"/>
      <c r="AB279" s="241"/>
      <c r="AC279" s="241"/>
      <c r="AD279" s="241"/>
      <c r="AE279" s="241"/>
      <c r="AF279" s="241"/>
      <c r="AG279" s="241"/>
      <c r="AH279" s="241"/>
      <c r="AI279" s="241"/>
      <c r="AJ279" s="241"/>
      <c r="AK279" s="241"/>
      <c r="AL279" s="241"/>
      <c r="AM279" s="241"/>
      <c r="AN279" s="241"/>
      <c r="AO279" s="241"/>
      <c r="AP279" s="241"/>
      <c r="AS279" s="242"/>
      <c r="AU279" s="263"/>
      <c r="BX279" s="327"/>
    </row>
    <row r="280" spans="1:76" s="240" customFormat="1">
      <c r="A280" s="392"/>
      <c r="B280" s="370"/>
      <c r="C280" s="392"/>
      <c r="H280" s="241"/>
      <c r="I280" s="241"/>
      <c r="J280" s="241"/>
      <c r="K280" s="241"/>
      <c r="L280" s="241"/>
      <c r="M280" s="241"/>
      <c r="N280" s="241"/>
      <c r="O280" s="241"/>
      <c r="P280" s="241"/>
      <c r="Q280" s="241"/>
      <c r="R280" s="241"/>
      <c r="S280" s="241"/>
      <c r="T280" s="241"/>
      <c r="U280" s="241"/>
      <c r="V280" s="241"/>
      <c r="W280" s="241"/>
      <c r="X280" s="241"/>
      <c r="Y280" s="241"/>
      <c r="Z280" s="241"/>
      <c r="AA280" s="241"/>
      <c r="AB280" s="241"/>
      <c r="AC280" s="241"/>
      <c r="AD280" s="241"/>
      <c r="AE280" s="241"/>
      <c r="AF280" s="241"/>
      <c r="AG280" s="241"/>
      <c r="AH280" s="241"/>
      <c r="AI280" s="241"/>
      <c r="AJ280" s="241"/>
      <c r="AK280" s="241"/>
      <c r="AL280" s="241"/>
      <c r="AM280" s="241"/>
      <c r="AN280" s="241"/>
      <c r="AO280" s="241"/>
      <c r="AP280" s="241"/>
      <c r="AS280" s="242"/>
      <c r="AU280" s="263"/>
      <c r="BX280" s="327"/>
    </row>
    <row r="281" spans="1:76" s="240" customFormat="1">
      <c r="A281" s="392"/>
      <c r="B281" s="370"/>
      <c r="C281" s="392"/>
      <c r="H281" s="241"/>
      <c r="I281" s="241"/>
      <c r="J281" s="241"/>
      <c r="K281" s="241"/>
      <c r="L281" s="241"/>
      <c r="M281" s="241"/>
      <c r="N281" s="241"/>
      <c r="O281" s="241"/>
      <c r="P281" s="241"/>
      <c r="Q281" s="241"/>
      <c r="R281" s="241"/>
      <c r="S281" s="241"/>
      <c r="T281" s="241"/>
      <c r="U281" s="241"/>
      <c r="V281" s="241"/>
      <c r="W281" s="241"/>
      <c r="X281" s="241"/>
      <c r="Y281" s="241"/>
      <c r="Z281" s="241"/>
      <c r="AA281" s="241"/>
      <c r="AB281" s="241"/>
      <c r="AC281" s="241"/>
      <c r="AD281" s="241"/>
      <c r="AE281" s="241"/>
      <c r="AF281" s="241"/>
      <c r="AG281" s="241"/>
      <c r="AH281" s="241"/>
      <c r="AI281" s="241"/>
      <c r="AJ281" s="241"/>
      <c r="AK281" s="241"/>
      <c r="AL281" s="241"/>
      <c r="AM281" s="241"/>
      <c r="AN281" s="241"/>
      <c r="AO281" s="241"/>
      <c r="AP281" s="241"/>
      <c r="AS281" s="242"/>
      <c r="AU281" s="263"/>
      <c r="BX281" s="327"/>
    </row>
    <row r="282" spans="1:76" s="240" customFormat="1">
      <c r="A282" s="392"/>
      <c r="B282" s="370"/>
      <c r="C282" s="392"/>
      <c r="H282" s="241"/>
      <c r="I282" s="241"/>
      <c r="J282" s="241"/>
      <c r="K282" s="241"/>
      <c r="L282" s="241"/>
      <c r="M282" s="241"/>
      <c r="N282" s="241"/>
      <c r="O282" s="241"/>
      <c r="P282" s="241"/>
      <c r="Q282" s="241"/>
      <c r="R282" s="241"/>
      <c r="S282" s="241"/>
      <c r="T282" s="241"/>
      <c r="U282" s="241"/>
      <c r="V282" s="241"/>
      <c r="W282" s="241"/>
      <c r="X282" s="241"/>
      <c r="Y282" s="241"/>
      <c r="Z282" s="241"/>
      <c r="AA282" s="241"/>
      <c r="AB282" s="241"/>
      <c r="AC282" s="241"/>
      <c r="AD282" s="241"/>
      <c r="AE282" s="241"/>
      <c r="AF282" s="241"/>
      <c r="AG282" s="241"/>
      <c r="AH282" s="241"/>
      <c r="AI282" s="241"/>
      <c r="AJ282" s="241"/>
      <c r="AK282" s="241"/>
      <c r="AL282" s="241"/>
      <c r="AM282" s="241"/>
      <c r="AN282" s="241"/>
      <c r="AO282" s="241"/>
      <c r="AP282" s="241"/>
      <c r="AS282" s="242"/>
      <c r="AU282" s="263"/>
      <c r="BX282" s="327"/>
    </row>
    <row r="283" spans="1:76" s="240" customFormat="1">
      <c r="A283" s="392"/>
      <c r="B283" s="370"/>
      <c r="C283" s="392"/>
      <c r="H283" s="241"/>
      <c r="I283" s="241"/>
      <c r="J283" s="241"/>
      <c r="K283" s="241"/>
      <c r="L283" s="241"/>
      <c r="M283" s="241"/>
      <c r="N283" s="241"/>
      <c r="O283" s="241"/>
      <c r="P283" s="241"/>
      <c r="Q283" s="241"/>
      <c r="R283" s="241"/>
      <c r="S283" s="241"/>
      <c r="T283" s="241"/>
      <c r="U283" s="241"/>
      <c r="V283" s="241"/>
      <c r="W283" s="241"/>
      <c r="X283" s="241"/>
      <c r="Y283" s="241"/>
      <c r="Z283" s="241"/>
      <c r="AA283" s="241"/>
      <c r="AB283" s="241"/>
      <c r="AC283" s="241"/>
      <c r="AD283" s="241"/>
      <c r="AE283" s="241"/>
      <c r="AF283" s="241"/>
      <c r="AG283" s="241"/>
      <c r="AH283" s="241"/>
      <c r="AI283" s="241"/>
      <c r="AJ283" s="241"/>
      <c r="AK283" s="241"/>
      <c r="AL283" s="241"/>
      <c r="AM283" s="241"/>
      <c r="AN283" s="241"/>
      <c r="AO283" s="241"/>
      <c r="AP283" s="241"/>
      <c r="AS283" s="242"/>
      <c r="AU283" s="263"/>
      <c r="BX283" s="327"/>
    </row>
    <row r="284" spans="1:76" s="240" customFormat="1">
      <c r="A284" s="392"/>
      <c r="B284" s="370"/>
      <c r="C284" s="392"/>
      <c r="H284" s="241"/>
      <c r="I284" s="241"/>
      <c r="J284" s="241"/>
      <c r="K284" s="241"/>
      <c r="L284" s="241"/>
      <c r="M284" s="241"/>
      <c r="N284" s="241"/>
      <c r="O284" s="241"/>
      <c r="P284" s="241"/>
      <c r="Q284" s="241"/>
      <c r="R284" s="241"/>
      <c r="S284" s="241"/>
      <c r="T284" s="241"/>
      <c r="U284" s="241"/>
      <c r="V284" s="241"/>
      <c r="W284" s="241"/>
      <c r="X284" s="241"/>
      <c r="Y284" s="241"/>
      <c r="Z284" s="241"/>
      <c r="AA284" s="241"/>
      <c r="AB284" s="241"/>
      <c r="AC284" s="241"/>
      <c r="AD284" s="241"/>
      <c r="AE284" s="241"/>
      <c r="AF284" s="241"/>
      <c r="AG284" s="241"/>
      <c r="AH284" s="241"/>
      <c r="AI284" s="241"/>
      <c r="AJ284" s="241"/>
      <c r="AK284" s="241"/>
      <c r="AL284" s="241"/>
      <c r="AM284" s="241"/>
      <c r="AN284" s="241"/>
      <c r="AO284" s="241"/>
      <c r="AP284" s="241"/>
      <c r="AS284" s="242"/>
      <c r="AU284" s="263"/>
      <c r="BX284" s="327"/>
    </row>
    <row r="285" spans="1:76" s="240" customFormat="1">
      <c r="A285" s="392"/>
      <c r="B285" s="370"/>
      <c r="C285" s="392"/>
      <c r="H285" s="241"/>
      <c r="I285" s="241"/>
      <c r="J285" s="241"/>
      <c r="K285" s="241"/>
      <c r="L285" s="241"/>
      <c r="M285" s="241"/>
      <c r="N285" s="241"/>
      <c r="O285" s="241"/>
      <c r="P285" s="241"/>
      <c r="Q285" s="241"/>
      <c r="R285" s="241"/>
      <c r="S285" s="241"/>
      <c r="T285" s="241"/>
      <c r="U285" s="241"/>
      <c r="V285" s="241"/>
      <c r="W285" s="241"/>
      <c r="X285" s="241"/>
      <c r="Y285" s="241"/>
      <c r="Z285" s="241"/>
      <c r="AA285" s="241"/>
      <c r="AB285" s="241"/>
      <c r="AC285" s="241"/>
      <c r="AD285" s="241"/>
      <c r="AE285" s="241"/>
      <c r="AF285" s="241"/>
      <c r="AG285" s="241"/>
      <c r="AH285" s="241"/>
      <c r="AI285" s="241"/>
      <c r="AJ285" s="241"/>
      <c r="AK285" s="241"/>
      <c r="AL285" s="241"/>
      <c r="AM285" s="241"/>
      <c r="AN285" s="241"/>
      <c r="AO285" s="241"/>
      <c r="AP285" s="241"/>
      <c r="AS285" s="242"/>
      <c r="AU285" s="263"/>
      <c r="BX285" s="327"/>
    </row>
    <row r="286" spans="1:76" s="240" customFormat="1">
      <c r="A286" s="392"/>
      <c r="B286" s="370"/>
      <c r="C286" s="392"/>
      <c r="H286" s="241"/>
      <c r="I286" s="241"/>
      <c r="J286" s="241"/>
      <c r="K286" s="241"/>
      <c r="L286" s="241"/>
      <c r="M286" s="241"/>
      <c r="N286" s="241"/>
      <c r="O286" s="241"/>
      <c r="P286" s="241"/>
      <c r="Q286" s="241"/>
      <c r="R286" s="241"/>
      <c r="S286" s="241"/>
      <c r="T286" s="241"/>
      <c r="U286" s="241"/>
      <c r="V286" s="241"/>
      <c r="W286" s="241"/>
      <c r="X286" s="241"/>
      <c r="Y286" s="241"/>
      <c r="Z286" s="241"/>
      <c r="AA286" s="241"/>
      <c r="AB286" s="241"/>
      <c r="AC286" s="241"/>
      <c r="AD286" s="241"/>
      <c r="AE286" s="241"/>
      <c r="AF286" s="241"/>
      <c r="AG286" s="241"/>
      <c r="AH286" s="241"/>
      <c r="AI286" s="241"/>
      <c r="AJ286" s="241"/>
      <c r="AK286" s="241"/>
      <c r="AL286" s="241"/>
      <c r="AM286" s="241"/>
      <c r="AN286" s="241"/>
      <c r="AO286" s="241"/>
      <c r="AP286" s="241"/>
      <c r="AS286" s="242"/>
      <c r="AU286" s="263"/>
      <c r="BX286" s="327"/>
    </row>
    <row r="287" spans="1:76" s="240" customFormat="1">
      <c r="A287" s="392"/>
      <c r="B287" s="370"/>
      <c r="C287" s="392"/>
      <c r="H287" s="241"/>
      <c r="I287" s="241"/>
      <c r="J287" s="241"/>
      <c r="K287" s="241"/>
      <c r="L287" s="241"/>
      <c r="M287" s="241"/>
      <c r="N287" s="241"/>
      <c r="O287" s="241"/>
      <c r="P287" s="241"/>
      <c r="Q287" s="241"/>
      <c r="R287" s="241"/>
      <c r="S287" s="241"/>
      <c r="T287" s="241"/>
      <c r="U287" s="241"/>
      <c r="V287" s="241"/>
      <c r="W287" s="241"/>
      <c r="X287" s="241"/>
      <c r="Y287" s="241"/>
      <c r="Z287" s="241"/>
      <c r="AA287" s="241"/>
      <c r="AB287" s="241"/>
      <c r="AC287" s="241"/>
      <c r="AD287" s="241"/>
      <c r="AE287" s="241"/>
      <c r="AF287" s="241"/>
      <c r="AG287" s="241"/>
      <c r="AH287" s="241"/>
      <c r="AI287" s="241"/>
      <c r="AJ287" s="241"/>
      <c r="AK287" s="241"/>
      <c r="AL287" s="241"/>
      <c r="AM287" s="241"/>
      <c r="AN287" s="241"/>
      <c r="AO287" s="241"/>
      <c r="AP287" s="241"/>
      <c r="AS287" s="242"/>
      <c r="AU287" s="263"/>
      <c r="BX287" s="327"/>
    </row>
    <row r="288" spans="1:76" s="240" customFormat="1">
      <c r="A288" s="392"/>
      <c r="B288" s="370"/>
      <c r="C288" s="392"/>
      <c r="H288" s="241"/>
      <c r="I288" s="241"/>
      <c r="J288" s="241"/>
      <c r="K288" s="241"/>
      <c r="L288" s="241"/>
      <c r="M288" s="241"/>
      <c r="N288" s="241"/>
      <c r="O288" s="241"/>
      <c r="P288" s="241"/>
      <c r="Q288" s="241"/>
      <c r="R288" s="241"/>
      <c r="S288" s="241"/>
      <c r="T288" s="241"/>
      <c r="U288" s="241"/>
      <c r="V288" s="241"/>
      <c r="W288" s="241"/>
      <c r="X288" s="241"/>
      <c r="Y288" s="241"/>
      <c r="Z288" s="241"/>
      <c r="AA288" s="241"/>
      <c r="AB288" s="241"/>
      <c r="AC288" s="241"/>
      <c r="AD288" s="241"/>
      <c r="AE288" s="241"/>
      <c r="AF288" s="241"/>
      <c r="AG288" s="241"/>
      <c r="AH288" s="241"/>
      <c r="AI288" s="241"/>
      <c r="AJ288" s="241"/>
      <c r="AK288" s="241"/>
      <c r="AL288" s="241"/>
      <c r="AM288" s="241"/>
      <c r="AN288" s="241"/>
      <c r="AO288" s="241"/>
      <c r="AP288" s="241"/>
      <c r="AS288" s="242"/>
      <c r="AU288" s="263"/>
      <c r="BX288" s="327"/>
    </row>
    <row r="289" spans="1:76" s="240" customFormat="1">
      <c r="A289" s="392"/>
      <c r="B289" s="370"/>
      <c r="C289" s="392"/>
      <c r="H289" s="241"/>
      <c r="I289" s="241"/>
      <c r="J289" s="241"/>
      <c r="K289" s="241"/>
      <c r="L289" s="241"/>
      <c r="M289" s="241"/>
      <c r="N289" s="241"/>
      <c r="O289" s="241"/>
      <c r="P289" s="241"/>
      <c r="Q289" s="241"/>
      <c r="R289" s="241"/>
      <c r="S289" s="241"/>
      <c r="T289" s="241"/>
      <c r="U289" s="241"/>
      <c r="V289" s="241"/>
      <c r="W289" s="241"/>
      <c r="X289" s="241"/>
      <c r="Y289" s="241"/>
      <c r="Z289" s="241"/>
      <c r="AA289" s="241"/>
      <c r="AB289" s="241"/>
      <c r="AC289" s="241"/>
      <c r="AD289" s="241"/>
      <c r="AE289" s="241"/>
      <c r="AF289" s="241"/>
      <c r="AG289" s="241"/>
      <c r="AH289" s="241"/>
      <c r="AI289" s="241"/>
      <c r="AJ289" s="241"/>
      <c r="AK289" s="241"/>
      <c r="AL289" s="241"/>
      <c r="AM289" s="241"/>
      <c r="AN289" s="241"/>
      <c r="AO289" s="241"/>
      <c r="AP289" s="241"/>
      <c r="AS289" s="242"/>
      <c r="AU289" s="263"/>
      <c r="BX289" s="327"/>
    </row>
    <row r="290" spans="1:76" s="240" customFormat="1">
      <c r="A290" s="392"/>
      <c r="B290" s="370"/>
      <c r="C290" s="392"/>
      <c r="H290" s="241"/>
      <c r="I290" s="241"/>
      <c r="J290" s="241"/>
      <c r="K290" s="241"/>
      <c r="L290" s="241"/>
      <c r="M290" s="241"/>
      <c r="N290" s="241"/>
      <c r="O290" s="241"/>
      <c r="P290" s="241"/>
      <c r="Q290" s="241"/>
      <c r="R290" s="241"/>
      <c r="S290" s="241"/>
      <c r="T290" s="241"/>
      <c r="U290" s="241"/>
      <c r="V290" s="241"/>
      <c r="W290" s="241"/>
      <c r="X290" s="241"/>
      <c r="Y290" s="241"/>
      <c r="Z290" s="241"/>
      <c r="AA290" s="241"/>
      <c r="AB290" s="241"/>
      <c r="AC290" s="241"/>
      <c r="AD290" s="241"/>
      <c r="AE290" s="241"/>
      <c r="AF290" s="241"/>
      <c r="AG290" s="241"/>
      <c r="AH290" s="241"/>
      <c r="AI290" s="241"/>
      <c r="AJ290" s="241"/>
      <c r="AK290" s="241"/>
      <c r="AL290" s="241"/>
      <c r="AM290" s="241"/>
      <c r="AN290" s="241"/>
      <c r="AO290" s="241"/>
      <c r="AP290" s="241"/>
      <c r="AS290" s="242"/>
      <c r="AU290" s="263"/>
      <c r="BX290" s="327"/>
    </row>
    <row r="291" spans="1:76" s="240" customFormat="1">
      <c r="A291" s="392"/>
      <c r="B291" s="370"/>
      <c r="C291" s="392"/>
      <c r="H291" s="241"/>
      <c r="I291" s="241"/>
      <c r="J291" s="241"/>
      <c r="K291" s="241"/>
      <c r="L291" s="241"/>
      <c r="M291" s="241"/>
      <c r="N291" s="241"/>
      <c r="O291" s="241"/>
      <c r="P291" s="241"/>
      <c r="Q291" s="241"/>
      <c r="R291" s="241"/>
      <c r="S291" s="241"/>
      <c r="T291" s="241"/>
      <c r="U291" s="241"/>
      <c r="V291" s="241"/>
      <c r="W291" s="241"/>
      <c r="X291" s="241"/>
      <c r="Y291" s="241"/>
      <c r="Z291" s="241"/>
      <c r="AA291" s="241"/>
      <c r="AB291" s="241"/>
      <c r="AC291" s="241"/>
      <c r="AD291" s="241"/>
      <c r="AE291" s="241"/>
      <c r="AF291" s="241"/>
      <c r="AG291" s="241"/>
      <c r="AH291" s="241"/>
      <c r="AI291" s="241"/>
      <c r="AJ291" s="241"/>
      <c r="AK291" s="241"/>
      <c r="AL291" s="241"/>
      <c r="AM291" s="241"/>
      <c r="AN291" s="241"/>
      <c r="AO291" s="241"/>
      <c r="AP291" s="241"/>
      <c r="AS291" s="242"/>
      <c r="AU291" s="263"/>
      <c r="BX291" s="327"/>
    </row>
    <row r="292" spans="1:76" s="240" customFormat="1">
      <c r="A292" s="392"/>
      <c r="B292" s="370"/>
      <c r="C292" s="392"/>
      <c r="H292" s="241"/>
      <c r="I292" s="241"/>
      <c r="J292" s="241"/>
      <c r="K292" s="241"/>
      <c r="L292" s="241"/>
      <c r="M292" s="241"/>
      <c r="N292" s="241"/>
      <c r="O292" s="241"/>
      <c r="P292" s="241"/>
      <c r="Q292" s="241"/>
      <c r="R292" s="241"/>
      <c r="S292" s="241"/>
      <c r="T292" s="241"/>
      <c r="U292" s="241"/>
      <c r="V292" s="241"/>
      <c r="W292" s="241"/>
      <c r="X292" s="241"/>
      <c r="Y292" s="241"/>
      <c r="Z292" s="241"/>
      <c r="AA292" s="241"/>
      <c r="AB292" s="241"/>
      <c r="AC292" s="241"/>
      <c r="AD292" s="241"/>
      <c r="AE292" s="241"/>
      <c r="AF292" s="241"/>
      <c r="AG292" s="241"/>
      <c r="AH292" s="241"/>
      <c r="AI292" s="241"/>
      <c r="AJ292" s="241"/>
      <c r="AK292" s="241"/>
      <c r="AL292" s="241"/>
      <c r="AM292" s="241"/>
      <c r="AN292" s="241"/>
      <c r="AO292" s="241"/>
      <c r="AP292" s="241"/>
      <c r="AS292" s="242"/>
      <c r="AU292" s="263"/>
      <c r="BX292" s="327"/>
    </row>
    <row r="293" spans="1:76" s="240" customFormat="1">
      <c r="A293" s="392"/>
      <c r="B293" s="370"/>
      <c r="C293" s="392"/>
      <c r="H293" s="241"/>
      <c r="I293" s="241"/>
      <c r="J293" s="241"/>
      <c r="K293" s="241"/>
      <c r="L293" s="241"/>
      <c r="M293" s="241"/>
      <c r="N293" s="241"/>
      <c r="O293" s="241"/>
      <c r="P293" s="241"/>
      <c r="Q293" s="241"/>
      <c r="R293" s="241"/>
      <c r="S293" s="241"/>
      <c r="T293" s="241"/>
      <c r="U293" s="241"/>
      <c r="V293" s="241"/>
      <c r="W293" s="241"/>
      <c r="X293" s="241"/>
      <c r="Y293" s="241"/>
      <c r="Z293" s="241"/>
      <c r="AA293" s="241"/>
      <c r="AB293" s="241"/>
      <c r="AC293" s="241"/>
      <c r="AD293" s="241"/>
      <c r="AE293" s="241"/>
      <c r="AF293" s="241"/>
      <c r="AG293" s="241"/>
      <c r="AH293" s="241"/>
      <c r="AI293" s="241"/>
      <c r="AJ293" s="241"/>
      <c r="AK293" s="241"/>
      <c r="AL293" s="241"/>
      <c r="AM293" s="241"/>
      <c r="AN293" s="241"/>
      <c r="AO293" s="241"/>
      <c r="AP293" s="241"/>
      <c r="AS293" s="242"/>
      <c r="AU293" s="263"/>
      <c r="BX293" s="327"/>
    </row>
    <row r="294" spans="1:76" s="240" customFormat="1">
      <c r="A294" s="392"/>
      <c r="B294" s="370"/>
      <c r="C294" s="392"/>
      <c r="H294" s="241"/>
      <c r="I294" s="241"/>
      <c r="J294" s="241"/>
      <c r="K294" s="241"/>
      <c r="L294" s="241"/>
      <c r="M294" s="241"/>
      <c r="N294" s="241"/>
      <c r="O294" s="241"/>
      <c r="P294" s="241"/>
      <c r="Q294" s="241"/>
      <c r="R294" s="241"/>
      <c r="S294" s="241"/>
      <c r="T294" s="241"/>
      <c r="U294" s="241"/>
      <c r="V294" s="241"/>
      <c r="W294" s="241"/>
      <c r="X294" s="241"/>
      <c r="Y294" s="241"/>
      <c r="Z294" s="241"/>
      <c r="AA294" s="241"/>
      <c r="AB294" s="241"/>
      <c r="AC294" s="241"/>
      <c r="AD294" s="241"/>
      <c r="AE294" s="241"/>
      <c r="AF294" s="241"/>
      <c r="AG294" s="241"/>
      <c r="AH294" s="241"/>
      <c r="AI294" s="241"/>
      <c r="AJ294" s="241"/>
      <c r="AK294" s="241"/>
      <c r="AL294" s="241"/>
      <c r="AM294" s="241"/>
      <c r="AN294" s="241"/>
      <c r="AO294" s="241"/>
      <c r="AP294" s="241"/>
      <c r="AS294" s="242"/>
      <c r="AU294" s="263"/>
      <c r="BX294" s="327"/>
    </row>
    <row r="295" spans="1:76" s="240" customFormat="1">
      <c r="A295" s="392"/>
      <c r="B295" s="370"/>
      <c r="C295" s="392"/>
      <c r="H295" s="241"/>
      <c r="I295" s="241"/>
      <c r="J295" s="241"/>
      <c r="K295" s="241"/>
      <c r="L295" s="241"/>
      <c r="M295" s="241"/>
      <c r="N295" s="241"/>
      <c r="O295" s="241"/>
      <c r="P295" s="241"/>
      <c r="Q295" s="241"/>
      <c r="R295" s="241"/>
      <c r="S295" s="241"/>
      <c r="T295" s="241"/>
      <c r="U295" s="241"/>
      <c r="V295" s="241"/>
      <c r="W295" s="241"/>
      <c r="X295" s="241"/>
      <c r="Y295" s="241"/>
      <c r="Z295" s="241"/>
      <c r="AA295" s="241"/>
      <c r="AB295" s="241"/>
      <c r="AC295" s="241"/>
      <c r="AD295" s="241"/>
      <c r="AE295" s="241"/>
      <c r="AF295" s="241"/>
      <c r="AG295" s="241"/>
      <c r="AH295" s="241"/>
      <c r="AI295" s="241"/>
      <c r="AJ295" s="241"/>
      <c r="AK295" s="241"/>
      <c r="AL295" s="241"/>
      <c r="AM295" s="241"/>
      <c r="AN295" s="241"/>
      <c r="AO295" s="241"/>
      <c r="AP295" s="241"/>
      <c r="AS295" s="242"/>
      <c r="AU295" s="263"/>
      <c r="BX295" s="327"/>
    </row>
    <row r="296" spans="1:76" s="240" customFormat="1">
      <c r="A296" s="392"/>
      <c r="B296" s="370"/>
      <c r="C296" s="392"/>
      <c r="H296" s="241"/>
      <c r="I296" s="241"/>
      <c r="J296" s="241"/>
      <c r="K296" s="241"/>
      <c r="L296" s="241"/>
      <c r="M296" s="241"/>
      <c r="N296" s="241"/>
      <c r="O296" s="241"/>
      <c r="P296" s="241"/>
      <c r="Q296" s="241"/>
      <c r="R296" s="241"/>
      <c r="S296" s="241"/>
      <c r="T296" s="241"/>
      <c r="U296" s="241"/>
      <c r="V296" s="241"/>
      <c r="W296" s="241"/>
      <c r="X296" s="241"/>
      <c r="Y296" s="241"/>
      <c r="Z296" s="241"/>
      <c r="AA296" s="241"/>
      <c r="AB296" s="241"/>
      <c r="AC296" s="241"/>
      <c r="AD296" s="241"/>
      <c r="AE296" s="241"/>
      <c r="AF296" s="241"/>
      <c r="AG296" s="241"/>
      <c r="AH296" s="241"/>
      <c r="AI296" s="241"/>
      <c r="AJ296" s="241"/>
      <c r="AK296" s="241"/>
      <c r="AL296" s="241"/>
      <c r="AM296" s="241"/>
      <c r="AN296" s="241"/>
      <c r="AO296" s="241"/>
      <c r="AP296" s="241"/>
      <c r="AS296" s="242"/>
      <c r="AU296" s="263"/>
      <c r="BX296" s="327"/>
    </row>
    <row r="297" spans="1:76" s="240" customFormat="1">
      <c r="A297" s="392"/>
      <c r="B297" s="370"/>
      <c r="C297" s="392"/>
      <c r="H297" s="241"/>
      <c r="I297" s="241"/>
      <c r="J297" s="241"/>
      <c r="K297" s="241"/>
      <c r="L297" s="241"/>
      <c r="M297" s="241"/>
      <c r="N297" s="241"/>
      <c r="O297" s="241"/>
      <c r="P297" s="241"/>
      <c r="Q297" s="241"/>
      <c r="R297" s="241"/>
      <c r="S297" s="241"/>
      <c r="T297" s="241"/>
      <c r="U297" s="241"/>
      <c r="V297" s="241"/>
      <c r="W297" s="241"/>
      <c r="X297" s="241"/>
      <c r="Y297" s="241"/>
      <c r="Z297" s="241"/>
      <c r="AA297" s="241"/>
      <c r="AB297" s="241"/>
      <c r="AC297" s="241"/>
      <c r="AD297" s="241"/>
      <c r="AE297" s="241"/>
      <c r="AF297" s="241"/>
      <c r="AG297" s="241"/>
      <c r="AH297" s="241"/>
      <c r="AI297" s="241"/>
      <c r="AJ297" s="241"/>
      <c r="AK297" s="241"/>
      <c r="AL297" s="241"/>
      <c r="AM297" s="241"/>
      <c r="AN297" s="241"/>
      <c r="AO297" s="241"/>
      <c r="AP297" s="241"/>
      <c r="AS297" s="242"/>
      <c r="AU297" s="263"/>
      <c r="BX297" s="327"/>
    </row>
    <row r="298" spans="1:76" s="240" customFormat="1">
      <c r="A298" s="392"/>
      <c r="B298" s="370"/>
      <c r="C298" s="392"/>
      <c r="H298" s="241"/>
      <c r="I298" s="241"/>
      <c r="J298" s="241"/>
      <c r="K298" s="241"/>
      <c r="L298" s="241"/>
      <c r="M298" s="241"/>
      <c r="N298" s="241"/>
      <c r="O298" s="241"/>
      <c r="P298" s="241"/>
      <c r="Q298" s="241"/>
      <c r="R298" s="241"/>
      <c r="S298" s="241"/>
      <c r="T298" s="241"/>
      <c r="U298" s="241"/>
      <c r="V298" s="241"/>
      <c r="W298" s="241"/>
      <c r="X298" s="241"/>
      <c r="Y298" s="241"/>
      <c r="Z298" s="241"/>
      <c r="AA298" s="241"/>
      <c r="AB298" s="241"/>
      <c r="AC298" s="241"/>
      <c r="AD298" s="241"/>
      <c r="AE298" s="241"/>
      <c r="AF298" s="241"/>
      <c r="AG298" s="241"/>
      <c r="AH298" s="241"/>
      <c r="AI298" s="241"/>
      <c r="AJ298" s="241"/>
      <c r="AK298" s="241"/>
      <c r="AL298" s="241"/>
      <c r="AM298" s="241"/>
      <c r="AN298" s="241"/>
      <c r="AO298" s="241"/>
      <c r="AP298" s="241"/>
      <c r="AS298" s="242"/>
      <c r="AU298" s="263"/>
      <c r="BX298" s="327"/>
    </row>
    <row r="299" spans="1:76" s="240" customFormat="1">
      <c r="A299" s="392"/>
      <c r="B299" s="370"/>
      <c r="C299" s="392"/>
      <c r="H299" s="241"/>
      <c r="I299" s="241"/>
      <c r="J299" s="241"/>
      <c r="K299" s="241"/>
      <c r="L299" s="241"/>
      <c r="M299" s="241"/>
      <c r="N299" s="241"/>
      <c r="O299" s="241"/>
      <c r="P299" s="241"/>
      <c r="Q299" s="241"/>
      <c r="R299" s="241"/>
      <c r="S299" s="241"/>
      <c r="T299" s="241"/>
      <c r="U299" s="241"/>
      <c r="V299" s="241"/>
      <c r="W299" s="241"/>
      <c r="X299" s="241"/>
      <c r="Y299" s="241"/>
      <c r="Z299" s="241"/>
      <c r="AA299" s="241"/>
      <c r="AB299" s="241"/>
      <c r="AC299" s="241"/>
      <c r="AD299" s="241"/>
      <c r="AE299" s="241"/>
      <c r="AF299" s="241"/>
      <c r="AG299" s="241"/>
      <c r="AH299" s="241"/>
      <c r="AI299" s="241"/>
      <c r="AJ299" s="241"/>
      <c r="AK299" s="241"/>
      <c r="AL299" s="241"/>
      <c r="AM299" s="241"/>
      <c r="AN299" s="241"/>
      <c r="AO299" s="241"/>
      <c r="AP299" s="241"/>
      <c r="AS299" s="242"/>
      <c r="AU299" s="263"/>
      <c r="BX299" s="327"/>
    </row>
    <row r="300" spans="1:76" s="240" customFormat="1">
      <c r="A300" s="392"/>
      <c r="B300" s="370"/>
      <c r="C300" s="392"/>
      <c r="H300" s="241"/>
      <c r="I300" s="241"/>
      <c r="J300" s="241"/>
      <c r="K300" s="241"/>
      <c r="L300" s="241"/>
      <c r="M300" s="241"/>
      <c r="N300" s="241"/>
      <c r="O300" s="241"/>
      <c r="P300" s="241"/>
      <c r="Q300" s="241"/>
      <c r="R300" s="241"/>
      <c r="S300" s="241"/>
      <c r="T300" s="241"/>
      <c r="U300" s="241"/>
      <c r="V300" s="241"/>
      <c r="W300" s="241"/>
      <c r="X300" s="241"/>
      <c r="Y300" s="241"/>
      <c r="Z300" s="241"/>
      <c r="AA300" s="241"/>
      <c r="AB300" s="241"/>
      <c r="AC300" s="241"/>
      <c r="AD300" s="241"/>
      <c r="AE300" s="241"/>
      <c r="AF300" s="241"/>
      <c r="AG300" s="241"/>
      <c r="AH300" s="241"/>
      <c r="AI300" s="241"/>
      <c r="AJ300" s="241"/>
      <c r="AK300" s="241"/>
      <c r="AL300" s="241"/>
      <c r="AM300" s="241"/>
      <c r="AN300" s="241"/>
      <c r="AO300" s="241"/>
      <c r="AP300" s="241"/>
      <c r="AS300" s="242"/>
      <c r="AU300" s="263"/>
      <c r="BX300" s="327"/>
    </row>
    <row r="301" spans="1:76" s="240" customFormat="1">
      <c r="A301" s="392"/>
      <c r="B301" s="370"/>
      <c r="C301" s="392"/>
      <c r="H301" s="241"/>
      <c r="I301" s="241"/>
      <c r="J301" s="241"/>
      <c r="K301" s="241"/>
      <c r="L301" s="241"/>
      <c r="M301" s="241"/>
      <c r="N301" s="241"/>
      <c r="O301" s="241"/>
      <c r="P301" s="241"/>
      <c r="Q301" s="241"/>
      <c r="R301" s="241"/>
      <c r="S301" s="241"/>
      <c r="T301" s="241"/>
      <c r="U301" s="241"/>
      <c r="V301" s="241"/>
      <c r="W301" s="241"/>
      <c r="X301" s="241"/>
      <c r="Y301" s="241"/>
      <c r="Z301" s="241"/>
      <c r="AA301" s="241"/>
      <c r="AB301" s="241"/>
      <c r="AC301" s="241"/>
      <c r="AD301" s="241"/>
      <c r="AE301" s="241"/>
      <c r="AF301" s="241"/>
      <c r="AG301" s="241"/>
      <c r="AH301" s="241"/>
      <c r="AI301" s="241"/>
      <c r="AJ301" s="241"/>
      <c r="AK301" s="241"/>
      <c r="AL301" s="241"/>
      <c r="AM301" s="241"/>
      <c r="AN301" s="241"/>
      <c r="AO301" s="241"/>
      <c r="AP301" s="241"/>
      <c r="AS301" s="242"/>
      <c r="AU301" s="263"/>
      <c r="BX301" s="327"/>
    </row>
    <row r="302" spans="1:76" s="240" customFormat="1">
      <c r="A302" s="392"/>
      <c r="B302" s="370"/>
      <c r="C302" s="392"/>
      <c r="H302" s="241"/>
      <c r="I302" s="241"/>
      <c r="J302" s="241"/>
      <c r="K302" s="241"/>
      <c r="L302" s="241"/>
      <c r="M302" s="241"/>
      <c r="N302" s="241"/>
      <c r="O302" s="241"/>
      <c r="P302" s="241"/>
      <c r="Q302" s="241"/>
      <c r="R302" s="241"/>
      <c r="S302" s="241"/>
      <c r="T302" s="241"/>
      <c r="U302" s="241"/>
      <c r="V302" s="241"/>
      <c r="W302" s="241"/>
      <c r="X302" s="241"/>
      <c r="Y302" s="241"/>
      <c r="Z302" s="241"/>
      <c r="AA302" s="241"/>
      <c r="AB302" s="241"/>
      <c r="AC302" s="241"/>
      <c r="AD302" s="241"/>
      <c r="AE302" s="241"/>
      <c r="AF302" s="241"/>
      <c r="AG302" s="241"/>
      <c r="AH302" s="241"/>
      <c r="AI302" s="241"/>
      <c r="AJ302" s="241"/>
      <c r="AK302" s="241"/>
      <c r="AL302" s="241"/>
      <c r="AM302" s="241"/>
      <c r="AN302" s="241"/>
      <c r="AO302" s="241"/>
      <c r="AP302" s="241"/>
      <c r="AS302" s="242"/>
      <c r="AU302" s="263"/>
      <c r="BX302" s="327"/>
    </row>
    <row r="303" spans="1:76" s="240" customFormat="1">
      <c r="A303" s="392"/>
      <c r="B303" s="370"/>
      <c r="C303" s="392"/>
      <c r="H303" s="241"/>
      <c r="I303" s="241"/>
      <c r="J303" s="241"/>
      <c r="K303" s="241"/>
      <c r="L303" s="241"/>
      <c r="M303" s="241"/>
      <c r="N303" s="241"/>
      <c r="O303" s="241"/>
      <c r="P303" s="241"/>
      <c r="Q303" s="241"/>
      <c r="R303" s="241"/>
      <c r="S303" s="241"/>
      <c r="T303" s="241"/>
      <c r="U303" s="241"/>
      <c r="V303" s="241"/>
      <c r="W303" s="241"/>
      <c r="X303" s="241"/>
      <c r="Y303" s="241"/>
      <c r="Z303" s="241"/>
      <c r="AA303" s="241"/>
      <c r="AB303" s="241"/>
      <c r="AC303" s="241"/>
      <c r="AD303" s="241"/>
      <c r="AE303" s="241"/>
      <c r="AF303" s="241"/>
      <c r="AG303" s="241"/>
      <c r="AH303" s="241"/>
      <c r="AI303" s="241"/>
      <c r="AJ303" s="241"/>
      <c r="AK303" s="241"/>
      <c r="AL303" s="241"/>
      <c r="AM303" s="241"/>
      <c r="AN303" s="241"/>
      <c r="AO303" s="241"/>
      <c r="AP303" s="241"/>
      <c r="AU303" s="263"/>
      <c r="BX303" s="327"/>
    </row>
    <row r="304" spans="1:76" s="240" customFormat="1">
      <c r="A304" s="392"/>
      <c r="B304" s="370"/>
      <c r="C304" s="392"/>
      <c r="H304" s="241"/>
      <c r="I304" s="241"/>
      <c r="J304" s="241"/>
      <c r="K304" s="241"/>
      <c r="L304" s="241"/>
      <c r="M304" s="241"/>
      <c r="N304" s="241"/>
      <c r="O304" s="241"/>
      <c r="P304" s="241"/>
      <c r="Q304" s="241"/>
      <c r="R304" s="241"/>
      <c r="S304" s="241"/>
      <c r="T304" s="241"/>
      <c r="U304" s="241"/>
      <c r="V304" s="241"/>
      <c r="W304" s="241"/>
      <c r="X304" s="241"/>
      <c r="Y304" s="241"/>
      <c r="Z304" s="241"/>
      <c r="AA304" s="241"/>
      <c r="AB304" s="241"/>
      <c r="AC304" s="241"/>
      <c r="AD304" s="241"/>
      <c r="AE304" s="241"/>
      <c r="AF304" s="241"/>
      <c r="AG304" s="241"/>
      <c r="AH304" s="241"/>
      <c r="AI304" s="241"/>
      <c r="AJ304" s="241"/>
      <c r="AK304" s="241"/>
      <c r="AL304" s="241"/>
      <c r="AM304" s="241"/>
      <c r="AN304" s="241"/>
      <c r="AO304" s="241"/>
      <c r="AP304" s="241"/>
      <c r="AU304" s="263"/>
      <c r="BX304" s="327"/>
    </row>
    <row r="305" spans="1:76" s="240" customFormat="1">
      <c r="A305" s="392"/>
      <c r="B305" s="370"/>
      <c r="C305" s="392"/>
      <c r="H305" s="241"/>
      <c r="I305" s="241"/>
      <c r="J305" s="241"/>
      <c r="K305" s="241"/>
      <c r="L305" s="241"/>
      <c r="M305" s="241"/>
      <c r="N305" s="241"/>
      <c r="O305" s="241"/>
      <c r="P305" s="241"/>
      <c r="Q305" s="241"/>
      <c r="R305" s="241"/>
      <c r="S305" s="241"/>
      <c r="T305" s="241"/>
      <c r="U305" s="241"/>
      <c r="V305" s="241"/>
      <c r="W305" s="241"/>
      <c r="X305" s="241"/>
      <c r="Y305" s="241"/>
      <c r="Z305" s="241"/>
      <c r="AA305" s="241"/>
      <c r="AB305" s="241"/>
      <c r="AC305" s="241"/>
      <c r="AD305" s="241"/>
      <c r="AE305" s="241"/>
      <c r="AF305" s="241"/>
      <c r="AG305" s="241"/>
      <c r="AH305" s="241"/>
      <c r="AI305" s="241"/>
      <c r="AJ305" s="241"/>
      <c r="AK305" s="241"/>
      <c r="AL305" s="241"/>
      <c r="AM305" s="241"/>
      <c r="AN305" s="241"/>
      <c r="AO305" s="241"/>
      <c r="AP305" s="241"/>
      <c r="AU305" s="263"/>
      <c r="BX305" s="327"/>
    </row>
    <row r="306" spans="1:76" s="240" customFormat="1">
      <c r="A306" s="392"/>
      <c r="B306" s="370"/>
      <c r="C306" s="392"/>
      <c r="H306" s="241"/>
      <c r="I306" s="241"/>
      <c r="J306" s="241"/>
      <c r="K306" s="241"/>
      <c r="L306" s="241"/>
      <c r="M306" s="241"/>
      <c r="N306" s="241"/>
      <c r="O306" s="241"/>
      <c r="P306" s="241"/>
      <c r="Q306" s="241"/>
      <c r="R306" s="241"/>
      <c r="S306" s="241"/>
      <c r="T306" s="241"/>
      <c r="U306" s="241"/>
      <c r="V306" s="241"/>
      <c r="W306" s="241"/>
      <c r="X306" s="241"/>
      <c r="Y306" s="241"/>
      <c r="Z306" s="241"/>
      <c r="AA306" s="241"/>
      <c r="AB306" s="241"/>
      <c r="AC306" s="241"/>
      <c r="AD306" s="241"/>
      <c r="AE306" s="241"/>
      <c r="AF306" s="241"/>
      <c r="AG306" s="241"/>
      <c r="AH306" s="241"/>
      <c r="AI306" s="241"/>
      <c r="AJ306" s="241"/>
      <c r="AK306" s="241"/>
      <c r="AL306" s="241"/>
      <c r="AM306" s="241"/>
      <c r="AN306" s="241"/>
      <c r="AO306" s="241"/>
      <c r="AP306" s="241"/>
      <c r="AU306" s="263"/>
      <c r="BX306" s="327"/>
    </row>
    <row r="307" spans="1:76" s="240" customFormat="1">
      <c r="A307" s="392"/>
      <c r="B307" s="370"/>
      <c r="C307" s="392"/>
      <c r="H307" s="241"/>
      <c r="I307" s="241"/>
      <c r="J307" s="241"/>
      <c r="K307" s="241"/>
      <c r="L307" s="241"/>
      <c r="M307" s="241"/>
      <c r="N307" s="241"/>
      <c r="O307" s="241"/>
      <c r="P307" s="241"/>
      <c r="Q307" s="241"/>
      <c r="R307" s="241"/>
      <c r="S307" s="241"/>
      <c r="T307" s="241"/>
      <c r="U307" s="241"/>
      <c r="V307" s="241"/>
      <c r="W307" s="241"/>
      <c r="X307" s="241"/>
      <c r="Y307" s="241"/>
      <c r="Z307" s="241"/>
      <c r="AA307" s="241"/>
      <c r="AB307" s="241"/>
      <c r="AC307" s="241"/>
      <c r="AD307" s="241"/>
      <c r="AE307" s="241"/>
      <c r="AF307" s="241"/>
      <c r="AG307" s="241"/>
      <c r="AH307" s="241"/>
      <c r="AI307" s="241"/>
      <c r="AJ307" s="241"/>
      <c r="AK307" s="241"/>
      <c r="AL307" s="241"/>
      <c r="AM307" s="241"/>
      <c r="AN307" s="241"/>
      <c r="AO307" s="241"/>
      <c r="AP307" s="241"/>
      <c r="AU307" s="263"/>
      <c r="BX307" s="327"/>
    </row>
    <row r="308" spans="1:76" s="240" customFormat="1">
      <c r="A308" s="392"/>
      <c r="B308" s="370"/>
      <c r="C308" s="392"/>
      <c r="H308" s="241"/>
      <c r="I308" s="241"/>
      <c r="J308" s="241"/>
      <c r="K308" s="241"/>
      <c r="L308" s="241"/>
      <c r="M308" s="241"/>
      <c r="N308" s="241"/>
      <c r="O308" s="241"/>
      <c r="P308" s="241"/>
      <c r="Q308" s="241"/>
      <c r="R308" s="241"/>
      <c r="S308" s="241"/>
      <c r="T308" s="241"/>
      <c r="U308" s="241"/>
      <c r="V308" s="241"/>
      <c r="W308" s="241"/>
      <c r="X308" s="241"/>
      <c r="Y308" s="241"/>
      <c r="Z308" s="241"/>
      <c r="AA308" s="241"/>
      <c r="AB308" s="241"/>
      <c r="AC308" s="241"/>
      <c r="AD308" s="241"/>
      <c r="AE308" s="241"/>
      <c r="AF308" s="241"/>
      <c r="AG308" s="241"/>
      <c r="AH308" s="241"/>
      <c r="AI308" s="241"/>
      <c r="AJ308" s="241"/>
      <c r="AK308" s="241"/>
      <c r="AL308" s="241"/>
      <c r="AM308" s="241"/>
      <c r="AN308" s="241"/>
      <c r="AO308" s="241"/>
      <c r="AP308" s="241"/>
      <c r="AU308" s="263"/>
      <c r="BX308" s="327"/>
    </row>
    <row r="309" spans="1:76" s="240" customFormat="1">
      <c r="A309" s="392"/>
      <c r="B309" s="370"/>
      <c r="C309" s="392"/>
      <c r="H309" s="241"/>
      <c r="I309" s="241"/>
      <c r="J309" s="241"/>
      <c r="K309" s="241"/>
      <c r="L309" s="241"/>
      <c r="M309" s="241"/>
      <c r="N309" s="241"/>
      <c r="O309" s="241"/>
      <c r="P309" s="241"/>
      <c r="Q309" s="241"/>
      <c r="R309" s="241"/>
      <c r="S309" s="241"/>
      <c r="T309" s="241"/>
      <c r="U309" s="241"/>
      <c r="V309" s="241"/>
      <c r="W309" s="241"/>
      <c r="X309" s="241"/>
      <c r="Y309" s="241"/>
      <c r="Z309" s="241"/>
      <c r="AA309" s="241"/>
      <c r="AB309" s="241"/>
      <c r="AC309" s="241"/>
      <c r="AD309" s="241"/>
      <c r="AE309" s="241"/>
      <c r="AF309" s="241"/>
      <c r="AG309" s="241"/>
      <c r="AH309" s="241"/>
      <c r="AI309" s="241"/>
      <c r="AJ309" s="241"/>
      <c r="AK309" s="241"/>
      <c r="AL309" s="241"/>
      <c r="AM309" s="241"/>
      <c r="AN309" s="241"/>
      <c r="AO309" s="241"/>
      <c r="AP309" s="241"/>
      <c r="AU309" s="263"/>
      <c r="BX309" s="327"/>
    </row>
    <row r="310" spans="1:76" s="240" customFormat="1">
      <c r="A310" s="392"/>
      <c r="B310" s="370"/>
      <c r="C310" s="392"/>
      <c r="H310" s="241"/>
      <c r="I310" s="241"/>
      <c r="J310" s="241"/>
      <c r="K310" s="241"/>
      <c r="L310" s="241"/>
      <c r="M310" s="241"/>
      <c r="N310" s="241"/>
      <c r="O310" s="241"/>
      <c r="P310" s="241"/>
      <c r="Q310" s="241"/>
      <c r="R310" s="241"/>
      <c r="S310" s="241"/>
      <c r="T310" s="241"/>
      <c r="U310" s="241"/>
      <c r="V310" s="241"/>
      <c r="W310" s="241"/>
      <c r="X310" s="241"/>
      <c r="Y310" s="241"/>
      <c r="Z310" s="241"/>
      <c r="AA310" s="241"/>
      <c r="AB310" s="241"/>
      <c r="AC310" s="241"/>
      <c r="AD310" s="241"/>
      <c r="AE310" s="241"/>
      <c r="AF310" s="241"/>
      <c r="AG310" s="241"/>
      <c r="AH310" s="241"/>
      <c r="AI310" s="241"/>
      <c r="AJ310" s="241"/>
      <c r="AK310" s="241"/>
      <c r="AL310" s="241"/>
      <c r="AM310" s="241"/>
      <c r="AN310" s="241"/>
      <c r="AO310" s="241"/>
      <c r="AP310" s="241"/>
      <c r="AU310" s="263"/>
      <c r="BX310" s="327"/>
    </row>
    <row r="311" spans="1:76" s="240" customFormat="1">
      <c r="A311" s="392"/>
      <c r="B311" s="370"/>
      <c r="C311" s="392"/>
      <c r="H311" s="241"/>
      <c r="I311" s="241"/>
      <c r="J311" s="241"/>
      <c r="K311" s="241"/>
      <c r="L311" s="241"/>
      <c r="M311" s="241"/>
      <c r="N311" s="241"/>
      <c r="O311" s="241"/>
      <c r="P311" s="241"/>
      <c r="Q311" s="241"/>
      <c r="R311" s="241"/>
      <c r="S311" s="241"/>
      <c r="T311" s="241"/>
      <c r="U311" s="241"/>
      <c r="V311" s="241"/>
      <c r="W311" s="241"/>
      <c r="X311" s="241"/>
      <c r="Y311" s="241"/>
      <c r="Z311" s="241"/>
      <c r="AA311" s="241"/>
      <c r="AB311" s="241"/>
      <c r="AC311" s="241"/>
      <c r="AD311" s="241"/>
      <c r="AE311" s="241"/>
      <c r="AF311" s="241"/>
      <c r="AG311" s="241"/>
      <c r="AH311" s="241"/>
      <c r="AI311" s="241"/>
      <c r="AJ311" s="241"/>
      <c r="AK311" s="241"/>
      <c r="AL311" s="241"/>
      <c r="AM311" s="241"/>
      <c r="AN311" s="241"/>
      <c r="AO311" s="241"/>
      <c r="AP311" s="241"/>
      <c r="AU311" s="263"/>
      <c r="BX311" s="327"/>
    </row>
    <row r="312" spans="1:76" s="240" customFormat="1">
      <c r="A312" s="392"/>
      <c r="B312" s="370"/>
      <c r="C312" s="392"/>
      <c r="H312" s="241"/>
      <c r="I312" s="241"/>
      <c r="J312" s="241"/>
      <c r="K312" s="241"/>
      <c r="L312" s="241"/>
      <c r="M312" s="241"/>
      <c r="N312" s="241"/>
      <c r="O312" s="241"/>
      <c r="P312" s="241"/>
      <c r="Q312" s="241"/>
      <c r="R312" s="241"/>
      <c r="S312" s="241"/>
      <c r="T312" s="241"/>
      <c r="U312" s="241"/>
      <c r="V312" s="241"/>
      <c r="W312" s="241"/>
      <c r="X312" s="241"/>
      <c r="Y312" s="241"/>
      <c r="Z312" s="241"/>
      <c r="AA312" s="241"/>
      <c r="AB312" s="241"/>
      <c r="AC312" s="241"/>
      <c r="AD312" s="241"/>
      <c r="AE312" s="241"/>
      <c r="AF312" s="241"/>
      <c r="AG312" s="241"/>
      <c r="AH312" s="241"/>
      <c r="AI312" s="241"/>
      <c r="AJ312" s="241"/>
      <c r="AK312" s="241"/>
      <c r="AL312" s="241"/>
      <c r="AM312" s="241"/>
      <c r="AN312" s="241"/>
      <c r="AO312" s="241"/>
      <c r="AP312" s="241"/>
      <c r="AU312" s="263"/>
      <c r="BX312" s="327"/>
    </row>
    <row r="313" spans="1:76" s="240" customFormat="1">
      <c r="A313" s="392"/>
      <c r="B313" s="370"/>
      <c r="C313" s="392"/>
      <c r="H313" s="241"/>
      <c r="I313" s="241"/>
      <c r="J313" s="241"/>
      <c r="K313" s="241"/>
      <c r="L313" s="241"/>
      <c r="M313" s="241"/>
      <c r="N313" s="241"/>
      <c r="O313" s="241"/>
      <c r="P313" s="241"/>
      <c r="Q313" s="241"/>
      <c r="R313" s="241"/>
      <c r="S313" s="241"/>
      <c r="T313" s="241"/>
      <c r="U313" s="241"/>
      <c r="V313" s="241"/>
      <c r="W313" s="241"/>
      <c r="X313" s="241"/>
      <c r="Y313" s="241"/>
      <c r="Z313" s="241"/>
      <c r="AA313" s="241"/>
      <c r="AB313" s="241"/>
      <c r="AC313" s="241"/>
      <c r="AD313" s="241"/>
      <c r="AE313" s="241"/>
      <c r="AF313" s="241"/>
      <c r="AG313" s="241"/>
      <c r="AH313" s="241"/>
      <c r="AI313" s="241"/>
      <c r="AJ313" s="241"/>
      <c r="AK313" s="241"/>
      <c r="AL313" s="241"/>
      <c r="AM313" s="241"/>
      <c r="AN313" s="241"/>
      <c r="AO313" s="241"/>
      <c r="AP313" s="241"/>
      <c r="AU313" s="263"/>
      <c r="BX313" s="327"/>
    </row>
    <row r="314" spans="1:76" s="240" customFormat="1">
      <c r="A314" s="392"/>
      <c r="B314" s="370"/>
      <c r="C314" s="392"/>
      <c r="H314" s="241"/>
      <c r="I314" s="241"/>
      <c r="J314" s="241"/>
      <c r="K314" s="241"/>
      <c r="L314" s="241"/>
      <c r="M314" s="241"/>
      <c r="N314" s="241"/>
      <c r="O314" s="241"/>
      <c r="P314" s="241"/>
      <c r="Q314" s="241"/>
      <c r="R314" s="241"/>
      <c r="S314" s="241"/>
      <c r="T314" s="241"/>
      <c r="U314" s="241"/>
      <c r="V314" s="241"/>
      <c r="W314" s="241"/>
      <c r="X314" s="241"/>
      <c r="Y314" s="241"/>
      <c r="Z314" s="241"/>
      <c r="AA314" s="241"/>
      <c r="AB314" s="241"/>
      <c r="AC314" s="241"/>
      <c r="AD314" s="241"/>
      <c r="AE314" s="241"/>
      <c r="AF314" s="241"/>
      <c r="AG314" s="241"/>
      <c r="AH314" s="241"/>
      <c r="AI314" s="241"/>
      <c r="AJ314" s="241"/>
      <c r="AK314" s="241"/>
      <c r="AL314" s="241"/>
      <c r="AM314" s="241"/>
      <c r="AN314" s="241"/>
      <c r="AO314" s="241"/>
      <c r="AP314" s="241"/>
      <c r="AU314" s="263"/>
      <c r="BX314" s="327"/>
    </row>
    <row r="315" spans="1:76" s="240" customFormat="1">
      <c r="A315" s="392"/>
      <c r="B315" s="370"/>
      <c r="C315" s="392"/>
      <c r="H315" s="241"/>
      <c r="I315" s="241"/>
      <c r="J315" s="241"/>
      <c r="K315" s="241"/>
      <c r="L315" s="241"/>
      <c r="M315" s="241"/>
      <c r="N315" s="241"/>
      <c r="O315" s="241"/>
      <c r="P315" s="241"/>
      <c r="Q315" s="241"/>
      <c r="R315" s="241"/>
      <c r="S315" s="241"/>
      <c r="T315" s="241"/>
      <c r="U315" s="241"/>
      <c r="V315" s="241"/>
      <c r="W315" s="241"/>
      <c r="X315" s="241"/>
      <c r="Y315" s="241"/>
      <c r="Z315" s="241"/>
      <c r="AA315" s="241"/>
      <c r="AB315" s="241"/>
      <c r="AC315" s="241"/>
      <c r="AD315" s="241"/>
      <c r="AE315" s="241"/>
      <c r="AF315" s="241"/>
      <c r="AG315" s="241"/>
      <c r="AH315" s="241"/>
      <c r="AI315" s="241"/>
      <c r="AJ315" s="241"/>
      <c r="AK315" s="241"/>
      <c r="AL315" s="241"/>
      <c r="AM315" s="241"/>
      <c r="AN315" s="241"/>
      <c r="AO315" s="241"/>
      <c r="AP315" s="241"/>
      <c r="AU315" s="263"/>
      <c r="BX315" s="327"/>
    </row>
    <row r="316" spans="1:76" s="240" customFormat="1">
      <c r="A316" s="392"/>
      <c r="B316" s="370"/>
      <c r="C316" s="392"/>
      <c r="H316" s="241"/>
      <c r="I316" s="241"/>
      <c r="J316" s="241"/>
      <c r="K316" s="241"/>
      <c r="L316" s="241"/>
      <c r="M316" s="241"/>
      <c r="N316" s="241"/>
      <c r="O316" s="241"/>
      <c r="P316" s="241"/>
      <c r="Q316" s="241"/>
      <c r="R316" s="241"/>
      <c r="S316" s="241"/>
      <c r="T316" s="241"/>
      <c r="U316" s="241"/>
      <c r="V316" s="241"/>
      <c r="W316" s="241"/>
      <c r="X316" s="241"/>
      <c r="Y316" s="241"/>
      <c r="Z316" s="241"/>
      <c r="AA316" s="241"/>
      <c r="AB316" s="241"/>
      <c r="AC316" s="241"/>
      <c r="AD316" s="241"/>
      <c r="AE316" s="241"/>
      <c r="AF316" s="241"/>
      <c r="AG316" s="241"/>
      <c r="AH316" s="241"/>
      <c r="AI316" s="241"/>
      <c r="AJ316" s="241"/>
      <c r="AK316" s="241"/>
      <c r="AL316" s="241"/>
      <c r="AM316" s="241"/>
      <c r="AN316" s="241"/>
      <c r="AO316" s="241"/>
      <c r="AP316" s="241"/>
      <c r="AU316" s="263"/>
      <c r="BX316" s="327"/>
    </row>
    <row r="317" spans="1:76" s="240" customFormat="1">
      <c r="A317" s="392"/>
      <c r="B317" s="370"/>
      <c r="C317" s="392"/>
      <c r="H317" s="241"/>
      <c r="I317" s="241"/>
      <c r="J317" s="241"/>
      <c r="K317" s="241"/>
      <c r="L317" s="241"/>
      <c r="M317" s="241"/>
      <c r="N317" s="241"/>
      <c r="O317" s="241"/>
      <c r="P317" s="241"/>
      <c r="Q317" s="241"/>
      <c r="R317" s="241"/>
      <c r="S317" s="241"/>
      <c r="T317" s="241"/>
      <c r="U317" s="241"/>
      <c r="V317" s="241"/>
      <c r="W317" s="241"/>
      <c r="X317" s="241"/>
      <c r="Y317" s="241"/>
      <c r="Z317" s="241"/>
      <c r="AA317" s="241"/>
      <c r="AB317" s="241"/>
      <c r="AC317" s="241"/>
      <c r="AD317" s="241"/>
      <c r="AE317" s="241"/>
      <c r="AF317" s="241"/>
      <c r="AG317" s="241"/>
      <c r="AH317" s="241"/>
      <c r="AI317" s="241"/>
      <c r="AJ317" s="241"/>
      <c r="AK317" s="241"/>
      <c r="AL317" s="241"/>
      <c r="AM317" s="241"/>
      <c r="AN317" s="241"/>
      <c r="AO317" s="241"/>
      <c r="AP317" s="241"/>
      <c r="AU317" s="263"/>
      <c r="BX317" s="327"/>
    </row>
    <row r="318" spans="1:76" s="240" customFormat="1">
      <c r="A318" s="392"/>
      <c r="B318" s="370"/>
      <c r="C318" s="392"/>
      <c r="H318" s="241"/>
      <c r="I318" s="241"/>
      <c r="J318" s="241"/>
      <c r="K318" s="241"/>
      <c r="L318" s="241"/>
      <c r="M318" s="241"/>
      <c r="N318" s="241"/>
      <c r="O318" s="241"/>
      <c r="P318" s="241"/>
      <c r="Q318" s="241"/>
      <c r="R318" s="241"/>
      <c r="S318" s="241"/>
      <c r="T318" s="241"/>
      <c r="U318" s="241"/>
      <c r="V318" s="241"/>
      <c r="W318" s="241"/>
      <c r="X318" s="241"/>
      <c r="Y318" s="241"/>
      <c r="Z318" s="241"/>
      <c r="AA318" s="241"/>
      <c r="AB318" s="241"/>
      <c r="AC318" s="241"/>
      <c r="AD318" s="241"/>
      <c r="AE318" s="241"/>
      <c r="AF318" s="241"/>
      <c r="AG318" s="241"/>
      <c r="AH318" s="241"/>
      <c r="AI318" s="241"/>
      <c r="AJ318" s="241"/>
      <c r="AK318" s="241"/>
      <c r="AL318" s="241"/>
      <c r="AM318" s="241"/>
      <c r="AN318" s="241"/>
      <c r="AO318" s="241"/>
      <c r="AP318" s="241"/>
      <c r="AU318" s="263"/>
      <c r="BX318" s="327"/>
    </row>
    <row r="319" spans="1:76" s="240" customFormat="1">
      <c r="A319" s="392"/>
      <c r="B319" s="370"/>
      <c r="C319" s="392"/>
      <c r="H319" s="241"/>
      <c r="I319" s="241"/>
      <c r="J319" s="241"/>
      <c r="K319" s="241"/>
      <c r="L319" s="241"/>
      <c r="M319" s="241"/>
      <c r="N319" s="241"/>
      <c r="O319" s="241"/>
      <c r="P319" s="241"/>
      <c r="Q319" s="241"/>
      <c r="R319" s="241"/>
      <c r="S319" s="241"/>
      <c r="T319" s="241"/>
      <c r="U319" s="241"/>
      <c r="V319" s="241"/>
      <c r="W319" s="241"/>
      <c r="X319" s="241"/>
      <c r="Y319" s="241"/>
      <c r="Z319" s="241"/>
      <c r="AA319" s="241"/>
      <c r="AB319" s="241"/>
      <c r="AC319" s="241"/>
      <c r="AD319" s="241"/>
      <c r="AE319" s="241"/>
      <c r="AF319" s="241"/>
      <c r="AG319" s="241"/>
      <c r="AH319" s="241"/>
      <c r="AI319" s="241"/>
      <c r="AJ319" s="241"/>
      <c r="AK319" s="241"/>
      <c r="AL319" s="241"/>
      <c r="AM319" s="241"/>
      <c r="AN319" s="241"/>
      <c r="AO319" s="241"/>
      <c r="AP319" s="241"/>
      <c r="AU319" s="263"/>
      <c r="BX319" s="327"/>
    </row>
    <row r="320" spans="1:76" s="240" customFormat="1">
      <c r="A320" s="392"/>
      <c r="B320" s="370"/>
      <c r="C320" s="392"/>
      <c r="H320" s="241"/>
      <c r="I320" s="241"/>
      <c r="J320" s="241"/>
      <c r="K320" s="241"/>
      <c r="L320" s="241"/>
      <c r="M320" s="241"/>
      <c r="N320" s="241"/>
      <c r="O320" s="241"/>
      <c r="P320" s="241"/>
      <c r="Q320" s="241"/>
      <c r="R320" s="241"/>
      <c r="S320" s="241"/>
      <c r="T320" s="241"/>
      <c r="U320" s="241"/>
      <c r="V320" s="241"/>
      <c r="W320" s="241"/>
      <c r="X320" s="241"/>
      <c r="Y320" s="241"/>
      <c r="Z320" s="241"/>
      <c r="AA320" s="241"/>
      <c r="AB320" s="241"/>
      <c r="AC320" s="241"/>
      <c r="AD320" s="241"/>
      <c r="AE320" s="241"/>
      <c r="AF320" s="241"/>
      <c r="AG320" s="241"/>
      <c r="AH320" s="241"/>
      <c r="AI320" s="241"/>
      <c r="AJ320" s="241"/>
      <c r="AK320" s="241"/>
      <c r="AL320" s="241"/>
      <c r="AM320" s="241"/>
      <c r="AN320" s="241"/>
      <c r="AO320" s="241"/>
      <c r="AP320" s="241"/>
      <c r="AU320" s="263"/>
      <c r="BX320" s="327"/>
    </row>
    <row r="321" spans="1:76" s="240" customFormat="1">
      <c r="A321" s="392"/>
      <c r="B321" s="370"/>
      <c r="C321" s="392"/>
      <c r="H321" s="241"/>
      <c r="I321" s="241"/>
      <c r="J321" s="241"/>
      <c r="K321" s="241"/>
      <c r="L321" s="241"/>
      <c r="M321" s="241"/>
      <c r="N321" s="241"/>
      <c r="O321" s="241"/>
      <c r="P321" s="241"/>
      <c r="Q321" s="241"/>
      <c r="R321" s="241"/>
      <c r="S321" s="241"/>
      <c r="T321" s="241"/>
      <c r="U321" s="241"/>
      <c r="V321" s="241"/>
      <c r="W321" s="241"/>
      <c r="X321" s="241"/>
      <c r="Y321" s="241"/>
      <c r="Z321" s="241"/>
      <c r="AA321" s="241"/>
      <c r="AB321" s="241"/>
      <c r="AC321" s="241"/>
      <c r="AD321" s="241"/>
      <c r="AE321" s="241"/>
      <c r="AF321" s="241"/>
      <c r="AG321" s="241"/>
      <c r="AH321" s="241"/>
      <c r="AI321" s="241"/>
      <c r="AJ321" s="241"/>
      <c r="AK321" s="241"/>
      <c r="AL321" s="241"/>
      <c r="AM321" s="241"/>
      <c r="AN321" s="241"/>
      <c r="AO321" s="241"/>
      <c r="AP321" s="241"/>
      <c r="AU321" s="263"/>
      <c r="BX321" s="327"/>
    </row>
    <row r="322" spans="1:76" s="240" customFormat="1">
      <c r="A322" s="392"/>
      <c r="B322" s="370"/>
      <c r="C322" s="392"/>
      <c r="H322" s="241"/>
      <c r="I322" s="241"/>
      <c r="J322" s="241"/>
      <c r="K322" s="241"/>
      <c r="L322" s="241"/>
      <c r="M322" s="241"/>
      <c r="N322" s="241"/>
      <c r="O322" s="241"/>
      <c r="P322" s="241"/>
      <c r="Q322" s="241"/>
      <c r="R322" s="241"/>
      <c r="S322" s="241"/>
      <c r="T322" s="241"/>
      <c r="U322" s="241"/>
      <c r="V322" s="241"/>
      <c r="W322" s="241"/>
      <c r="X322" s="241"/>
      <c r="Y322" s="241"/>
      <c r="Z322" s="241"/>
      <c r="AA322" s="241"/>
      <c r="AB322" s="241"/>
      <c r="AC322" s="241"/>
      <c r="AD322" s="241"/>
      <c r="AE322" s="241"/>
      <c r="AF322" s="241"/>
      <c r="AG322" s="241"/>
      <c r="AH322" s="241"/>
      <c r="AI322" s="241"/>
      <c r="AJ322" s="241"/>
      <c r="AK322" s="241"/>
      <c r="AL322" s="241"/>
      <c r="AM322" s="241"/>
      <c r="AN322" s="241"/>
      <c r="AO322" s="241"/>
      <c r="AP322" s="241"/>
      <c r="AU322" s="263"/>
      <c r="BX322" s="327"/>
    </row>
    <row r="323" spans="1:76" s="240" customFormat="1">
      <c r="A323" s="392"/>
      <c r="B323" s="370"/>
      <c r="C323" s="392"/>
      <c r="H323" s="241"/>
      <c r="I323" s="241"/>
      <c r="J323" s="241"/>
      <c r="K323" s="241"/>
      <c r="L323" s="241"/>
      <c r="M323" s="241"/>
      <c r="N323" s="241"/>
      <c r="O323" s="241"/>
      <c r="P323" s="241"/>
      <c r="Q323" s="241"/>
      <c r="R323" s="241"/>
      <c r="S323" s="241"/>
      <c r="T323" s="241"/>
      <c r="U323" s="241"/>
      <c r="V323" s="241"/>
      <c r="W323" s="241"/>
      <c r="X323" s="241"/>
      <c r="Y323" s="241"/>
      <c r="Z323" s="241"/>
      <c r="AA323" s="241"/>
      <c r="AB323" s="241"/>
      <c r="AC323" s="241"/>
      <c r="AD323" s="241"/>
      <c r="AE323" s="241"/>
      <c r="AF323" s="241"/>
      <c r="AG323" s="241"/>
      <c r="AH323" s="241"/>
      <c r="AI323" s="241"/>
      <c r="AJ323" s="241"/>
      <c r="AK323" s="241"/>
      <c r="AL323" s="241"/>
      <c r="AM323" s="241"/>
      <c r="AN323" s="241"/>
      <c r="AO323" s="241"/>
      <c r="AP323" s="241"/>
      <c r="AU323" s="263"/>
      <c r="BX323" s="327"/>
    </row>
    <row r="324" spans="1:76" s="240" customFormat="1">
      <c r="A324" s="392"/>
      <c r="B324" s="370"/>
      <c r="C324" s="392"/>
      <c r="H324" s="241"/>
      <c r="I324" s="241"/>
      <c r="J324" s="241"/>
      <c r="K324" s="241"/>
      <c r="L324" s="241"/>
      <c r="M324" s="241"/>
      <c r="N324" s="241"/>
      <c r="O324" s="241"/>
      <c r="P324" s="241"/>
      <c r="Q324" s="241"/>
      <c r="R324" s="241"/>
      <c r="S324" s="241"/>
      <c r="T324" s="241"/>
      <c r="U324" s="241"/>
      <c r="V324" s="241"/>
      <c r="W324" s="241"/>
      <c r="X324" s="241"/>
      <c r="Y324" s="241"/>
      <c r="Z324" s="241"/>
      <c r="AA324" s="241"/>
      <c r="AB324" s="241"/>
      <c r="AC324" s="241"/>
      <c r="AD324" s="241"/>
      <c r="AE324" s="241"/>
      <c r="AF324" s="241"/>
      <c r="AG324" s="241"/>
      <c r="AH324" s="241"/>
      <c r="AI324" s="241"/>
      <c r="AJ324" s="241"/>
      <c r="AK324" s="241"/>
      <c r="AL324" s="241"/>
      <c r="AM324" s="241"/>
      <c r="AN324" s="241"/>
      <c r="AO324" s="241"/>
      <c r="AP324" s="241"/>
      <c r="AU324" s="263"/>
      <c r="BX324" s="327"/>
    </row>
    <row r="325" spans="1:76" s="240" customFormat="1">
      <c r="A325" s="392"/>
      <c r="B325" s="370"/>
      <c r="C325" s="392"/>
      <c r="H325" s="241"/>
      <c r="I325" s="241"/>
      <c r="J325" s="241"/>
      <c r="K325" s="241"/>
      <c r="L325" s="241"/>
      <c r="M325" s="241"/>
      <c r="N325" s="241"/>
      <c r="O325" s="241"/>
      <c r="P325" s="241"/>
      <c r="Q325" s="241"/>
      <c r="R325" s="241"/>
      <c r="S325" s="241"/>
      <c r="T325" s="241"/>
      <c r="U325" s="241"/>
      <c r="V325" s="241"/>
      <c r="W325" s="241"/>
      <c r="X325" s="241"/>
      <c r="Y325" s="241"/>
      <c r="Z325" s="241"/>
      <c r="AA325" s="241"/>
      <c r="AB325" s="241"/>
      <c r="AC325" s="241"/>
      <c r="AD325" s="241"/>
      <c r="AE325" s="241"/>
      <c r="AF325" s="241"/>
      <c r="AG325" s="241"/>
      <c r="AH325" s="241"/>
      <c r="AI325" s="241"/>
      <c r="AJ325" s="241"/>
      <c r="AK325" s="241"/>
      <c r="AL325" s="241"/>
      <c r="AM325" s="241"/>
      <c r="AN325" s="241"/>
      <c r="AO325" s="241"/>
      <c r="AP325" s="241"/>
      <c r="AU325" s="263"/>
      <c r="BX325" s="327"/>
    </row>
    <row r="326" spans="1:76" s="240" customFormat="1">
      <c r="A326" s="392"/>
      <c r="B326" s="370"/>
      <c r="C326" s="392"/>
      <c r="H326" s="241"/>
      <c r="I326" s="241"/>
      <c r="J326" s="241"/>
      <c r="K326" s="241"/>
      <c r="L326" s="241"/>
      <c r="M326" s="241"/>
      <c r="N326" s="241"/>
      <c r="O326" s="241"/>
      <c r="P326" s="241"/>
      <c r="Q326" s="241"/>
      <c r="R326" s="241"/>
      <c r="S326" s="241"/>
      <c r="T326" s="241"/>
      <c r="U326" s="241"/>
      <c r="V326" s="241"/>
      <c r="W326" s="241"/>
      <c r="X326" s="241"/>
      <c r="Y326" s="241"/>
      <c r="Z326" s="241"/>
      <c r="AA326" s="241"/>
      <c r="AB326" s="241"/>
      <c r="AC326" s="241"/>
      <c r="AD326" s="241"/>
      <c r="AE326" s="241"/>
      <c r="AF326" s="241"/>
      <c r="AG326" s="241"/>
      <c r="AH326" s="241"/>
      <c r="AI326" s="241"/>
      <c r="AJ326" s="241"/>
      <c r="AK326" s="241"/>
      <c r="AL326" s="241"/>
      <c r="AM326" s="241"/>
      <c r="AN326" s="241"/>
      <c r="AO326" s="241"/>
      <c r="AP326" s="241"/>
      <c r="AU326" s="263"/>
      <c r="BX326" s="327"/>
    </row>
    <row r="327" spans="1:76" s="240" customFormat="1">
      <c r="A327" s="392"/>
      <c r="B327" s="370"/>
      <c r="C327" s="392"/>
      <c r="H327" s="241"/>
      <c r="I327" s="241"/>
      <c r="J327" s="241"/>
      <c r="K327" s="241"/>
      <c r="L327" s="241"/>
      <c r="M327" s="241"/>
      <c r="N327" s="241"/>
      <c r="O327" s="241"/>
      <c r="P327" s="241"/>
      <c r="Q327" s="241"/>
      <c r="R327" s="241"/>
      <c r="S327" s="241"/>
      <c r="T327" s="241"/>
      <c r="U327" s="241"/>
      <c r="V327" s="241"/>
      <c r="W327" s="241"/>
      <c r="X327" s="241"/>
      <c r="Y327" s="241"/>
      <c r="Z327" s="241"/>
      <c r="AA327" s="241"/>
      <c r="AB327" s="241"/>
      <c r="AC327" s="241"/>
      <c r="AD327" s="241"/>
      <c r="AE327" s="241"/>
      <c r="AF327" s="241"/>
      <c r="AG327" s="241"/>
      <c r="AH327" s="241"/>
      <c r="AI327" s="241"/>
      <c r="AJ327" s="241"/>
      <c r="AK327" s="241"/>
      <c r="AL327" s="241"/>
      <c r="AM327" s="241"/>
      <c r="AN327" s="241"/>
      <c r="AO327" s="241"/>
      <c r="AP327" s="241"/>
      <c r="AU327" s="263"/>
      <c r="BX327" s="327"/>
    </row>
    <row r="328" spans="1:76" s="240" customFormat="1">
      <c r="A328" s="392"/>
      <c r="B328" s="370"/>
      <c r="C328" s="392"/>
      <c r="H328" s="241"/>
      <c r="I328" s="241"/>
      <c r="J328" s="241"/>
      <c r="K328" s="241"/>
      <c r="L328" s="241"/>
      <c r="M328" s="241"/>
      <c r="N328" s="241"/>
      <c r="O328" s="241"/>
      <c r="P328" s="241"/>
      <c r="Q328" s="241"/>
      <c r="R328" s="241"/>
      <c r="S328" s="241"/>
      <c r="T328" s="241"/>
      <c r="U328" s="241"/>
      <c r="V328" s="241"/>
      <c r="W328" s="241"/>
      <c r="X328" s="241"/>
      <c r="Y328" s="241"/>
      <c r="Z328" s="241"/>
      <c r="AA328" s="241"/>
      <c r="AB328" s="241"/>
      <c r="AC328" s="241"/>
      <c r="AD328" s="241"/>
      <c r="AE328" s="241"/>
      <c r="AF328" s="241"/>
      <c r="AG328" s="241"/>
      <c r="AH328" s="241"/>
      <c r="AI328" s="241"/>
      <c r="AJ328" s="241"/>
      <c r="AK328" s="241"/>
      <c r="AL328" s="241"/>
      <c r="AM328" s="241"/>
      <c r="AN328" s="241"/>
      <c r="AO328" s="241"/>
      <c r="AP328" s="241"/>
      <c r="AU328" s="263"/>
      <c r="BX328" s="327"/>
    </row>
    <row r="329" spans="1:76" s="240" customFormat="1">
      <c r="A329" s="392"/>
      <c r="B329" s="370"/>
      <c r="C329" s="392"/>
      <c r="H329" s="241"/>
      <c r="I329" s="241"/>
      <c r="J329" s="241"/>
      <c r="K329" s="241"/>
      <c r="L329" s="241"/>
      <c r="M329" s="241"/>
      <c r="N329" s="241"/>
      <c r="O329" s="241"/>
      <c r="P329" s="241"/>
      <c r="Q329" s="241"/>
      <c r="R329" s="241"/>
      <c r="S329" s="241"/>
      <c r="T329" s="241"/>
      <c r="U329" s="241"/>
      <c r="V329" s="241"/>
      <c r="W329" s="241"/>
      <c r="X329" s="241"/>
      <c r="Y329" s="241"/>
      <c r="Z329" s="241"/>
      <c r="AA329" s="241"/>
      <c r="AB329" s="241"/>
      <c r="AC329" s="241"/>
      <c r="AD329" s="241"/>
      <c r="AE329" s="241"/>
      <c r="AF329" s="241"/>
      <c r="AG329" s="241"/>
      <c r="AH329" s="241"/>
      <c r="AI329" s="241"/>
      <c r="AJ329" s="241"/>
      <c r="AK329" s="241"/>
      <c r="AL329" s="241"/>
      <c r="AM329" s="241"/>
      <c r="AN329" s="241"/>
      <c r="AO329" s="241"/>
      <c r="AP329" s="241"/>
      <c r="AU329" s="263"/>
      <c r="BX329" s="327"/>
    </row>
    <row r="330" spans="1:76" s="240" customFormat="1">
      <c r="A330" s="392"/>
      <c r="B330" s="370"/>
      <c r="C330" s="392"/>
      <c r="H330" s="241"/>
      <c r="I330" s="241"/>
      <c r="J330" s="241"/>
      <c r="K330" s="241"/>
      <c r="L330" s="241"/>
      <c r="M330" s="241"/>
      <c r="N330" s="241"/>
      <c r="O330" s="241"/>
      <c r="P330" s="241"/>
      <c r="Q330" s="241"/>
      <c r="R330" s="241"/>
      <c r="S330" s="241"/>
      <c r="T330" s="241"/>
      <c r="U330" s="241"/>
      <c r="V330" s="241"/>
      <c r="W330" s="241"/>
      <c r="X330" s="241"/>
      <c r="Y330" s="241"/>
      <c r="Z330" s="241"/>
      <c r="AA330" s="241"/>
      <c r="AB330" s="241"/>
      <c r="AC330" s="241"/>
      <c r="AD330" s="241"/>
      <c r="AE330" s="241"/>
      <c r="AF330" s="241"/>
      <c r="AG330" s="241"/>
      <c r="AH330" s="241"/>
      <c r="AI330" s="241"/>
      <c r="AJ330" s="241"/>
      <c r="AK330" s="241"/>
      <c r="AL330" s="241"/>
      <c r="AM330" s="241"/>
      <c r="AN330" s="241"/>
      <c r="AO330" s="241"/>
      <c r="AP330" s="241"/>
      <c r="AU330" s="263"/>
      <c r="BX330" s="327"/>
    </row>
    <row r="331" spans="1:76" s="240" customFormat="1">
      <c r="A331" s="392"/>
      <c r="B331" s="370"/>
      <c r="C331" s="392"/>
      <c r="H331" s="241"/>
      <c r="I331" s="241"/>
      <c r="J331" s="241"/>
      <c r="K331" s="241"/>
      <c r="L331" s="241"/>
      <c r="M331" s="241"/>
      <c r="N331" s="241"/>
      <c r="O331" s="241"/>
      <c r="P331" s="241"/>
      <c r="Q331" s="241"/>
      <c r="R331" s="241"/>
      <c r="S331" s="241"/>
      <c r="T331" s="241"/>
      <c r="U331" s="241"/>
      <c r="V331" s="241"/>
      <c r="W331" s="241"/>
      <c r="X331" s="241"/>
      <c r="Y331" s="241"/>
      <c r="Z331" s="241"/>
      <c r="AA331" s="241"/>
      <c r="AB331" s="241"/>
      <c r="AC331" s="241"/>
      <c r="AD331" s="241"/>
      <c r="AE331" s="241"/>
      <c r="AF331" s="241"/>
      <c r="AG331" s="241"/>
      <c r="AH331" s="241"/>
      <c r="AI331" s="241"/>
      <c r="AJ331" s="241"/>
      <c r="AK331" s="241"/>
      <c r="AL331" s="241"/>
      <c r="AM331" s="241"/>
      <c r="AN331" s="241"/>
      <c r="AO331" s="241"/>
      <c r="AP331" s="241"/>
      <c r="AU331" s="263"/>
      <c r="BX331" s="327"/>
    </row>
    <row r="332" spans="1:76" s="240" customFormat="1">
      <c r="A332" s="392"/>
      <c r="B332" s="370"/>
      <c r="C332" s="392"/>
      <c r="H332" s="241"/>
      <c r="I332" s="241"/>
      <c r="J332" s="241"/>
      <c r="K332" s="241"/>
      <c r="L332" s="241"/>
      <c r="M332" s="241"/>
      <c r="N332" s="241"/>
      <c r="O332" s="241"/>
      <c r="P332" s="241"/>
      <c r="Q332" s="241"/>
      <c r="R332" s="241"/>
      <c r="S332" s="241"/>
      <c r="T332" s="241"/>
      <c r="U332" s="241"/>
      <c r="V332" s="241"/>
      <c r="W332" s="241"/>
      <c r="X332" s="241"/>
      <c r="Y332" s="241"/>
      <c r="Z332" s="241"/>
      <c r="AA332" s="241"/>
      <c r="AB332" s="241"/>
      <c r="AC332" s="241"/>
      <c r="AD332" s="241"/>
      <c r="AE332" s="241"/>
      <c r="AF332" s="241"/>
      <c r="AG332" s="241"/>
      <c r="AH332" s="241"/>
      <c r="AI332" s="241"/>
      <c r="AJ332" s="241"/>
      <c r="AK332" s="241"/>
      <c r="AL332" s="241"/>
      <c r="AM332" s="241"/>
      <c r="AN332" s="241"/>
      <c r="AO332" s="241"/>
      <c r="AP332" s="241"/>
      <c r="AU332" s="263"/>
      <c r="BX332" s="327"/>
    </row>
    <row r="333" spans="1:76" s="240" customFormat="1">
      <c r="A333" s="392"/>
      <c r="B333" s="370"/>
      <c r="C333" s="392"/>
      <c r="H333" s="241"/>
      <c r="I333" s="241"/>
      <c r="J333" s="241"/>
      <c r="K333" s="241"/>
      <c r="L333" s="241"/>
      <c r="M333" s="241"/>
      <c r="N333" s="241"/>
      <c r="O333" s="241"/>
      <c r="P333" s="241"/>
      <c r="Q333" s="241"/>
      <c r="R333" s="241"/>
      <c r="S333" s="241"/>
      <c r="T333" s="241"/>
      <c r="U333" s="241"/>
      <c r="V333" s="241"/>
      <c r="W333" s="241"/>
      <c r="X333" s="241"/>
      <c r="Y333" s="241"/>
      <c r="Z333" s="241"/>
      <c r="AA333" s="241"/>
      <c r="AB333" s="241"/>
      <c r="AC333" s="241"/>
      <c r="AD333" s="241"/>
      <c r="AE333" s="241"/>
      <c r="AF333" s="241"/>
      <c r="AG333" s="241"/>
      <c r="AH333" s="241"/>
      <c r="AI333" s="241"/>
      <c r="AJ333" s="241"/>
      <c r="AK333" s="241"/>
      <c r="AL333" s="241"/>
      <c r="AM333" s="241"/>
      <c r="AN333" s="241"/>
      <c r="AO333" s="241"/>
      <c r="AP333" s="241"/>
      <c r="AU333" s="263"/>
      <c r="BX333" s="327"/>
    </row>
    <row r="334" spans="1:76" s="240" customFormat="1">
      <c r="A334" s="392"/>
      <c r="B334" s="370"/>
      <c r="C334" s="392"/>
      <c r="H334" s="241"/>
      <c r="I334" s="241"/>
      <c r="J334" s="241"/>
      <c r="K334" s="241"/>
      <c r="L334" s="241"/>
      <c r="M334" s="241"/>
      <c r="N334" s="241"/>
      <c r="O334" s="241"/>
      <c r="P334" s="241"/>
      <c r="Q334" s="241"/>
      <c r="R334" s="241"/>
      <c r="S334" s="241"/>
      <c r="T334" s="241"/>
      <c r="U334" s="241"/>
      <c r="V334" s="241"/>
      <c r="W334" s="241"/>
      <c r="X334" s="241"/>
      <c r="Y334" s="241"/>
      <c r="Z334" s="241"/>
      <c r="AA334" s="241"/>
      <c r="AB334" s="241"/>
      <c r="AC334" s="241"/>
      <c r="AD334" s="241"/>
      <c r="AE334" s="241"/>
      <c r="AF334" s="241"/>
      <c r="AG334" s="241"/>
      <c r="AH334" s="241"/>
      <c r="AI334" s="241"/>
      <c r="AJ334" s="241"/>
      <c r="AK334" s="241"/>
      <c r="AL334" s="241"/>
      <c r="AM334" s="241"/>
      <c r="AN334" s="241"/>
      <c r="AO334" s="241"/>
      <c r="AP334" s="241"/>
      <c r="AU334" s="263"/>
      <c r="BX334" s="327"/>
    </row>
    <row r="335" spans="1:76" s="240" customFormat="1">
      <c r="A335" s="392"/>
      <c r="B335" s="370"/>
      <c r="C335" s="392"/>
      <c r="H335" s="241"/>
      <c r="I335" s="241"/>
      <c r="J335" s="241"/>
      <c r="K335" s="241"/>
      <c r="L335" s="241"/>
      <c r="M335" s="241"/>
      <c r="N335" s="241"/>
      <c r="O335" s="241"/>
      <c r="P335" s="241"/>
      <c r="Q335" s="241"/>
      <c r="R335" s="241"/>
      <c r="S335" s="241"/>
      <c r="T335" s="241"/>
      <c r="U335" s="241"/>
      <c r="V335" s="241"/>
      <c r="W335" s="241"/>
      <c r="X335" s="241"/>
      <c r="Y335" s="241"/>
      <c r="Z335" s="241"/>
      <c r="AA335" s="241"/>
      <c r="AB335" s="241"/>
      <c r="AC335" s="241"/>
      <c r="AD335" s="241"/>
      <c r="AE335" s="241"/>
      <c r="AF335" s="241"/>
      <c r="AG335" s="241"/>
      <c r="AH335" s="241"/>
      <c r="AI335" s="241"/>
      <c r="AJ335" s="241"/>
      <c r="AK335" s="241"/>
      <c r="AL335" s="241"/>
      <c r="AM335" s="241"/>
      <c r="AN335" s="241"/>
      <c r="AO335" s="241"/>
      <c r="AP335" s="241"/>
      <c r="AU335" s="263"/>
      <c r="BX335" s="327"/>
    </row>
    <row r="336" spans="1:76" s="240" customFormat="1">
      <c r="A336" s="392"/>
      <c r="B336" s="370"/>
      <c r="C336" s="392"/>
      <c r="H336" s="241"/>
      <c r="I336" s="241"/>
      <c r="J336" s="241"/>
      <c r="K336" s="241"/>
      <c r="L336" s="241"/>
      <c r="M336" s="241"/>
      <c r="N336" s="241"/>
      <c r="O336" s="241"/>
      <c r="P336" s="241"/>
      <c r="Q336" s="241"/>
      <c r="R336" s="241"/>
      <c r="S336" s="241"/>
      <c r="T336" s="241"/>
      <c r="U336" s="241"/>
      <c r="V336" s="241"/>
      <c r="W336" s="241"/>
      <c r="X336" s="241"/>
      <c r="Y336" s="241"/>
      <c r="Z336" s="241"/>
      <c r="AA336" s="241"/>
      <c r="AB336" s="241"/>
      <c r="AC336" s="241"/>
      <c r="AD336" s="241"/>
      <c r="AE336" s="241"/>
      <c r="AF336" s="241"/>
      <c r="AG336" s="241"/>
      <c r="AH336" s="241"/>
      <c r="AI336" s="241"/>
      <c r="AJ336" s="241"/>
      <c r="AK336" s="241"/>
      <c r="AL336" s="241"/>
      <c r="AM336" s="241"/>
      <c r="AN336" s="241"/>
      <c r="AO336" s="241"/>
      <c r="AP336" s="241"/>
      <c r="AU336" s="263"/>
      <c r="BX336" s="327"/>
    </row>
    <row r="337" spans="1:76" s="240" customFormat="1">
      <c r="A337" s="392"/>
      <c r="B337" s="370"/>
      <c r="C337" s="392"/>
      <c r="H337" s="241"/>
      <c r="I337" s="241"/>
      <c r="J337" s="241"/>
      <c r="K337" s="241"/>
      <c r="L337" s="241"/>
      <c r="M337" s="241"/>
      <c r="N337" s="241"/>
      <c r="O337" s="241"/>
      <c r="P337" s="241"/>
      <c r="Q337" s="241"/>
      <c r="R337" s="241"/>
      <c r="S337" s="241"/>
      <c r="T337" s="241"/>
      <c r="U337" s="241"/>
      <c r="V337" s="241"/>
      <c r="W337" s="241"/>
      <c r="X337" s="241"/>
      <c r="Y337" s="241"/>
      <c r="Z337" s="241"/>
      <c r="AA337" s="241"/>
      <c r="AB337" s="241"/>
      <c r="AC337" s="241"/>
      <c r="AD337" s="241"/>
      <c r="AE337" s="241"/>
      <c r="AF337" s="241"/>
      <c r="AG337" s="241"/>
      <c r="AH337" s="241"/>
      <c r="AI337" s="241"/>
      <c r="AJ337" s="241"/>
      <c r="AK337" s="241"/>
      <c r="AL337" s="241"/>
      <c r="AM337" s="241"/>
      <c r="AN337" s="241"/>
      <c r="AO337" s="241"/>
      <c r="AP337" s="241"/>
      <c r="AU337" s="263"/>
      <c r="BX337" s="327"/>
    </row>
    <row r="338" spans="1:76" s="240" customFormat="1">
      <c r="A338" s="392"/>
      <c r="B338" s="370"/>
      <c r="C338" s="392"/>
      <c r="H338" s="241"/>
      <c r="I338" s="241"/>
      <c r="J338" s="241"/>
      <c r="K338" s="241"/>
      <c r="L338" s="241"/>
      <c r="M338" s="241"/>
      <c r="N338" s="241"/>
      <c r="O338" s="241"/>
      <c r="P338" s="241"/>
      <c r="Q338" s="241"/>
      <c r="R338" s="241"/>
      <c r="S338" s="241"/>
      <c r="T338" s="241"/>
      <c r="U338" s="241"/>
      <c r="V338" s="241"/>
      <c r="W338" s="241"/>
      <c r="X338" s="241"/>
      <c r="Y338" s="241"/>
      <c r="Z338" s="241"/>
      <c r="AA338" s="241"/>
      <c r="AB338" s="241"/>
      <c r="AC338" s="241"/>
      <c r="AD338" s="241"/>
      <c r="AE338" s="241"/>
      <c r="AF338" s="241"/>
      <c r="AG338" s="241"/>
      <c r="AH338" s="241"/>
      <c r="AI338" s="241"/>
      <c r="AJ338" s="241"/>
      <c r="AK338" s="241"/>
      <c r="AL338" s="241"/>
      <c r="AM338" s="241"/>
      <c r="AN338" s="241"/>
      <c r="AO338" s="241"/>
      <c r="AP338" s="241"/>
      <c r="AU338" s="263"/>
      <c r="BX338" s="327"/>
    </row>
    <row r="339" spans="1:76" s="240" customFormat="1">
      <c r="A339" s="392"/>
      <c r="B339" s="370"/>
      <c r="C339" s="392"/>
      <c r="H339" s="241"/>
      <c r="I339" s="241"/>
      <c r="J339" s="241"/>
      <c r="K339" s="241"/>
      <c r="L339" s="241"/>
      <c r="M339" s="241"/>
      <c r="N339" s="241"/>
      <c r="O339" s="241"/>
      <c r="P339" s="241"/>
      <c r="Q339" s="241"/>
      <c r="R339" s="241"/>
      <c r="S339" s="241"/>
      <c r="T339" s="241"/>
      <c r="U339" s="241"/>
      <c r="V339" s="241"/>
      <c r="W339" s="241"/>
      <c r="X339" s="241"/>
      <c r="Y339" s="241"/>
      <c r="Z339" s="241"/>
      <c r="AA339" s="241"/>
      <c r="AB339" s="241"/>
      <c r="AC339" s="241"/>
      <c r="AD339" s="241"/>
      <c r="AE339" s="241"/>
      <c r="AF339" s="241"/>
      <c r="AG339" s="241"/>
      <c r="AH339" s="241"/>
      <c r="AI339" s="241"/>
      <c r="AJ339" s="241"/>
      <c r="AK339" s="241"/>
      <c r="AL339" s="241"/>
      <c r="AM339" s="241"/>
      <c r="AN339" s="241"/>
      <c r="AO339" s="241"/>
      <c r="AP339" s="241"/>
      <c r="AU339" s="263"/>
      <c r="BX339" s="327"/>
    </row>
    <row r="340" spans="1:76" s="240" customFormat="1">
      <c r="A340" s="392"/>
      <c r="B340" s="370"/>
      <c r="C340" s="392"/>
      <c r="H340" s="241"/>
      <c r="I340" s="241"/>
      <c r="J340" s="241"/>
      <c r="K340" s="241"/>
      <c r="L340" s="241"/>
      <c r="M340" s="241"/>
      <c r="N340" s="241"/>
      <c r="O340" s="241"/>
      <c r="P340" s="241"/>
      <c r="Q340" s="241"/>
      <c r="R340" s="241"/>
      <c r="S340" s="241"/>
      <c r="T340" s="241"/>
      <c r="U340" s="241"/>
      <c r="V340" s="241"/>
      <c r="W340" s="241"/>
      <c r="X340" s="241"/>
      <c r="Y340" s="241"/>
      <c r="Z340" s="241"/>
      <c r="AA340" s="241"/>
      <c r="AB340" s="241"/>
      <c r="AC340" s="241"/>
      <c r="AD340" s="241"/>
      <c r="AE340" s="241"/>
      <c r="AF340" s="241"/>
      <c r="AG340" s="241"/>
      <c r="AH340" s="241"/>
      <c r="AI340" s="241"/>
      <c r="AJ340" s="241"/>
      <c r="AK340" s="241"/>
      <c r="AL340" s="241"/>
      <c r="AM340" s="241"/>
      <c r="AN340" s="241"/>
      <c r="AO340" s="241"/>
      <c r="AP340" s="241"/>
      <c r="AU340" s="263"/>
      <c r="BX340" s="327"/>
    </row>
    <row r="341" spans="1:76" s="240" customFormat="1">
      <c r="A341" s="392"/>
      <c r="B341" s="370"/>
      <c r="C341" s="392"/>
      <c r="H341" s="241"/>
      <c r="I341" s="241"/>
      <c r="J341" s="241"/>
      <c r="K341" s="241"/>
      <c r="L341" s="241"/>
      <c r="M341" s="241"/>
      <c r="N341" s="241"/>
      <c r="O341" s="241"/>
      <c r="P341" s="241"/>
      <c r="Q341" s="241"/>
      <c r="R341" s="241"/>
      <c r="S341" s="241"/>
      <c r="T341" s="241"/>
      <c r="U341" s="241"/>
      <c r="V341" s="241"/>
      <c r="W341" s="241"/>
      <c r="X341" s="241"/>
      <c r="Y341" s="241"/>
      <c r="Z341" s="241"/>
      <c r="AA341" s="241"/>
      <c r="AB341" s="241"/>
      <c r="AC341" s="241"/>
      <c r="AD341" s="241"/>
      <c r="AE341" s="241"/>
      <c r="AF341" s="241"/>
      <c r="AG341" s="241"/>
      <c r="AH341" s="241"/>
      <c r="AI341" s="241"/>
      <c r="AJ341" s="241"/>
      <c r="AK341" s="241"/>
      <c r="AL341" s="241"/>
      <c r="AM341" s="241"/>
      <c r="AN341" s="241"/>
      <c r="AO341" s="241"/>
      <c r="AP341" s="241"/>
      <c r="AU341" s="263"/>
      <c r="BX341" s="327"/>
    </row>
    <row r="342" spans="1:76" s="240" customFormat="1">
      <c r="A342" s="392"/>
      <c r="B342" s="370"/>
      <c r="C342" s="392"/>
      <c r="H342" s="241"/>
      <c r="I342" s="241"/>
      <c r="J342" s="241"/>
      <c r="K342" s="241"/>
      <c r="L342" s="241"/>
      <c r="M342" s="241"/>
      <c r="N342" s="241"/>
      <c r="O342" s="241"/>
      <c r="P342" s="241"/>
      <c r="Q342" s="241"/>
      <c r="R342" s="241"/>
      <c r="S342" s="241"/>
      <c r="T342" s="241"/>
      <c r="U342" s="241"/>
      <c r="V342" s="241"/>
      <c r="W342" s="241"/>
      <c r="X342" s="241"/>
      <c r="Y342" s="241"/>
      <c r="Z342" s="241"/>
      <c r="AA342" s="241"/>
      <c r="AB342" s="241"/>
      <c r="AC342" s="241"/>
      <c r="AD342" s="241"/>
      <c r="AE342" s="241"/>
      <c r="AF342" s="241"/>
      <c r="AG342" s="241"/>
      <c r="AH342" s="241"/>
      <c r="AI342" s="241"/>
      <c r="AJ342" s="241"/>
      <c r="AK342" s="241"/>
      <c r="AL342" s="241"/>
      <c r="AM342" s="241"/>
      <c r="AN342" s="241"/>
      <c r="AO342" s="241"/>
      <c r="AP342" s="241"/>
      <c r="AU342" s="263"/>
      <c r="BX342" s="327"/>
    </row>
    <row r="343" spans="1:76" s="240" customFormat="1">
      <c r="A343" s="392"/>
      <c r="B343" s="370"/>
      <c r="C343" s="392"/>
      <c r="H343" s="241"/>
      <c r="I343" s="241"/>
      <c r="J343" s="241"/>
      <c r="K343" s="241"/>
      <c r="L343" s="241"/>
      <c r="M343" s="241"/>
      <c r="N343" s="241"/>
      <c r="O343" s="241"/>
      <c r="P343" s="241"/>
      <c r="Q343" s="241"/>
      <c r="R343" s="241"/>
      <c r="S343" s="241"/>
      <c r="T343" s="241"/>
      <c r="U343" s="241"/>
      <c r="V343" s="241"/>
      <c r="W343" s="241"/>
      <c r="X343" s="241"/>
      <c r="Y343" s="241"/>
      <c r="Z343" s="241"/>
      <c r="AA343" s="241"/>
      <c r="AB343" s="241"/>
      <c r="AC343" s="241"/>
      <c r="AD343" s="241"/>
      <c r="AE343" s="241"/>
      <c r="AF343" s="241"/>
      <c r="AG343" s="241"/>
      <c r="AH343" s="241"/>
      <c r="AI343" s="241"/>
      <c r="AJ343" s="241"/>
      <c r="AK343" s="241"/>
      <c r="AL343" s="241"/>
      <c r="AM343" s="241"/>
      <c r="AN343" s="241"/>
      <c r="AO343" s="241"/>
      <c r="AP343" s="241"/>
      <c r="AU343" s="263"/>
      <c r="BX343" s="327"/>
    </row>
    <row r="344" spans="1:76" s="240" customFormat="1">
      <c r="A344" s="392"/>
      <c r="B344" s="370"/>
      <c r="C344" s="392"/>
      <c r="H344" s="241"/>
      <c r="I344" s="241"/>
      <c r="J344" s="241"/>
      <c r="K344" s="241"/>
      <c r="L344" s="241"/>
      <c r="M344" s="241"/>
      <c r="N344" s="241"/>
      <c r="O344" s="241"/>
      <c r="P344" s="241"/>
      <c r="Q344" s="241"/>
      <c r="R344" s="241"/>
      <c r="S344" s="241"/>
      <c r="T344" s="241"/>
      <c r="U344" s="241"/>
      <c r="V344" s="241"/>
      <c r="W344" s="241"/>
      <c r="X344" s="241"/>
      <c r="Y344" s="241"/>
      <c r="Z344" s="241"/>
      <c r="AA344" s="241"/>
      <c r="AB344" s="241"/>
      <c r="AC344" s="241"/>
      <c r="AD344" s="241"/>
      <c r="AE344" s="241"/>
      <c r="AF344" s="241"/>
      <c r="AG344" s="241"/>
      <c r="AH344" s="241"/>
      <c r="AI344" s="241"/>
      <c r="AJ344" s="241"/>
      <c r="AK344" s="241"/>
      <c r="AL344" s="241"/>
      <c r="AM344" s="241"/>
      <c r="AN344" s="241"/>
      <c r="AO344" s="241"/>
      <c r="AP344" s="241"/>
      <c r="AU344" s="263"/>
      <c r="BX344" s="327"/>
    </row>
    <row r="345" spans="1:76" s="240" customFormat="1">
      <c r="A345" s="392"/>
      <c r="B345" s="370"/>
      <c r="C345" s="392"/>
      <c r="H345" s="241"/>
      <c r="I345" s="241"/>
      <c r="J345" s="241"/>
      <c r="K345" s="241"/>
      <c r="L345" s="241"/>
      <c r="M345" s="241"/>
      <c r="N345" s="241"/>
      <c r="O345" s="241"/>
      <c r="P345" s="241"/>
      <c r="Q345" s="241"/>
      <c r="R345" s="241"/>
      <c r="S345" s="241"/>
      <c r="T345" s="241"/>
      <c r="U345" s="241"/>
      <c r="V345" s="241"/>
      <c r="W345" s="241"/>
      <c r="X345" s="241"/>
      <c r="Y345" s="241"/>
      <c r="Z345" s="241"/>
      <c r="AA345" s="241"/>
      <c r="AB345" s="241"/>
      <c r="AC345" s="241"/>
      <c r="AD345" s="241"/>
      <c r="AE345" s="241"/>
      <c r="AF345" s="241"/>
      <c r="AG345" s="241"/>
      <c r="AH345" s="241"/>
      <c r="AI345" s="241"/>
      <c r="AJ345" s="241"/>
      <c r="AK345" s="241"/>
      <c r="AL345" s="241"/>
      <c r="AM345" s="241"/>
      <c r="AN345" s="241"/>
      <c r="AO345" s="241"/>
      <c r="AP345" s="241"/>
      <c r="AU345" s="263"/>
      <c r="BX345" s="327"/>
    </row>
    <row r="346" spans="1:76" s="240" customFormat="1">
      <c r="A346" s="392"/>
      <c r="B346" s="370"/>
      <c r="C346" s="392"/>
      <c r="H346" s="241"/>
      <c r="I346" s="241"/>
      <c r="J346" s="241"/>
      <c r="K346" s="241"/>
      <c r="L346" s="241"/>
      <c r="M346" s="241"/>
      <c r="N346" s="241"/>
      <c r="O346" s="241"/>
      <c r="P346" s="241"/>
      <c r="Q346" s="241"/>
      <c r="R346" s="241"/>
      <c r="S346" s="241"/>
      <c r="T346" s="241"/>
      <c r="U346" s="241"/>
      <c r="V346" s="241"/>
      <c r="W346" s="241"/>
      <c r="X346" s="241"/>
      <c r="Y346" s="241"/>
      <c r="Z346" s="241"/>
      <c r="AA346" s="241"/>
      <c r="AB346" s="241"/>
      <c r="AC346" s="241"/>
      <c r="AD346" s="241"/>
      <c r="AE346" s="241"/>
      <c r="AF346" s="241"/>
      <c r="AG346" s="241"/>
      <c r="AH346" s="241"/>
      <c r="AI346" s="241"/>
      <c r="AJ346" s="241"/>
      <c r="AK346" s="241"/>
      <c r="AL346" s="241"/>
      <c r="AM346" s="241"/>
      <c r="AN346" s="241"/>
      <c r="AO346" s="241"/>
      <c r="AP346" s="241"/>
      <c r="AU346" s="263"/>
      <c r="BX346" s="327"/>
    </row>
    <row r="347" spans="1:76" s="240" customFormat="1">
      <c r="A347" s="392"/>
      <c r="B347" s="370"/>
      <c r="C347" s="392"/>
      <c r="H347" s="241"/>
      <c r="I347" s="241"/>
      <c r="J347" s="241"/>
      <c r="K347" s="241"/>
      <c r="L347" s="241"/>
      <c r="M347" s="241"/>
      <c r="N347" s="241"/>
      <c r="O347" s="241"/>
      <c r="P347" s="241"/>
      <c r="Q347" s="241"/>
      <c r="R347" s="241"/>
      <c r="S347" s="241"/>
      <c r="T347" s="241"/>
      <c r="U347" s="241"/>
      <c r="V347" s="241"/>
      <c r="W347" s="241"/>
      <c r="X347" s="241"/>
      <c r="Y347" s="241"/>
      <c r="Z347" s="241"/>
      <c r="AA347" s="241"/>
      <c r="AB347" s="241"/>
      <c r="AC347" s="241"/>
      <c r="AD347" s="241"/>
      <c r="AE347" s="241"/>
      <c r="AF347" s="241"/>
      <c r="AG347" s="241"/>
      <c r="AH347" s="241"/>
      <c r="AI347" s="241"/>
      <c r="AJ347" s="241"/>
      <c r="AK347" s="241"/>
      <c r="AL347" s="241"/>
      <c r="AM347" s="241"/>
      <c r="AN347" s="241"/>
      <c r="AO347" s="241"/>
      <c r="AP347" s="241"/>
      <c r="AU347" s="263"/>
      <c r="BX347" s="327"/>
    </row>
    <row r="348" spans="1:76" s="240" customFormat="1">
      <c r="A348" s="392"/>
      <c r="B348" s="370"/>
      <c r="C348" s="392"/>
      <c r="H348" s="241"/>
      <c r="I348" s="241"/>
      <c r="J348" s="241"/>
      <c r="K348" s="241"/>
      <c r="L348" s="241"/>
      <c r="M348" s="241"/>
      <c r="N348" s="241"/>
      <c r="O348" s="241"/>
      <c r="P348" s="241"/>
      <c r="Q348" s="241"/>
      <c r="R348" s="241"/>
      <c r="S348" s="241"/>
      <c r="T348" s="241"/>
      <c r="U348" s="241"/>
      <c r="V348" s="241"/>
      <c r="W348" s="241"/>
      <c r="X348" s="241"/>
      <c r="Y348" s="241"/>
      <c r="Z348" s="241"/>
      <c r="AA348" s="241"/>
      <c r="AB348" s="241"/>
      <c r="AC348" s="241"/>
      <c r="AD348" s="241"/>
      <c r="AE348" s="241"/>
      <c r="AF348" s="241"/>
      <c r="AG348" s="241"/>
      <c r="AH348" s="241"/>
      <c r="AI348" s="241"/>
      <c r="AJ348" s="241"/>
      <c r="AK348" s="241"/>
      <c r="AL348" s="241"/>
      <c r="AM348" s="241"/>
      <c r="AN348" s="241"/>
      <c r="AO348" s="241"/>
      <c r="AP348" s="241"/>
      <c r="AU348" s="263"/>
      <c r="BX348" s="327"/>
    </row>
    <row r="349" spans="1:76" s="240" customFormat="1">
      <c r="A349" s="392"/>
      <c r="B349" s="370"/>
      <c r="C349" s="392"/>
      <c r="H349" s="241"/>
      <c r="I349" s="241"/>
      <c r="J349" s="241"/>
      <c r="K349" s="241"/>
      <c r="L349" s="241"/>
      <c r="M349" s="241"/>
      <c r="N349" s="241"/>
      <c r="O349" s="241"/>
      <c r="P349" s="241"/>
      <c r="Q349" s="241"/>
      <c r="R349" s="241"/>
      <c r="S349" s="241"/>
      <c r="T349" s="241"/>
      <c r="U349" s="241"/>
      <c r="V349" s="241"/>
      <c r="W349" s="241"/>
      <c r="X349" s="241"/>
      <c r="Y349" s="241"/>
      <c r="Z349" s="241"/>
      <c r="AA349" s="241"/>
      <c r="AB349" s="241"/>
      <c r="AC349" s="241"/>
      <c r="AD349" s="241"/>
      <c r="AE349" s="241"/>
      <c r="AF349" s="241"/>
      <c r="AG349" s="241"/>
      <c r="AH349" s="241"/>
      <c r="AI349" s="241"/>
      <c r="AJ349" s="241"/>
      <c r="AK349" s="241"/>
      <c r="AL349" s="241"/>
      <c r="AM349" s="241"/>
      <c r="AN349" s="241"/>
      <c r="AO349" s="241"/>
      <c r="AP349" s="241"/>
      <c r="AU349" s="263"/>
      <c r="BX349" s="327"/>
    </row>
    <row r="350" spans="1:76" s="240" customFormat="1">
      <c r="A350" s="392"/>
      <c r="B350" s="370"/>
      <c r="C350" s="392"/>
      <c r="H350" s="241"/>
      <c r="I350" s="241"/>
      <c r="J350" s="241"/>
      <c r="K350" s="241"/>
      <c r="L350" s="241"/>
      <c r="M350" s="241"/>
      <c r="N350" s="241"/>
      <c r="O350" s="241"/>
      <c r="P350" s="241"/>
      <c r="Q350" s="241"/>
      <c r="R350" s="241"/>
      <c r="S350" s="241"/>
      <c r="T350" s="241"/>
      <c r="U350" s="241"/>
      <c r="V350" s="241"/>
      <c r="W350" s="241"/>
      <c r="X350" s="241"/>
      <c r="Y350" s="241"/>
      <c r="Z350" s="241"/>
      <c r="AA350" s="241"/>
      <c r="AB350" s="241"/>
      <c r="AC350" s="241"/>
      <c r="AD350" s="241"/>
      <c r="AE350" s="241"/>
      <c r="AF350" s="241"/>
      <c r="AG350" s="241"/>
      <c r="AH350" s="241"/>
      <c r="AI350" s="241"/>
      <c r="AJ350" s="241"/>
      <c r="AK350" s="241"/>
      <c r="AL350" s="241"/>
      <c r="AM350" s="241"/>
      <c r="AN350" s="241"/>
      <c r="AO350" s="241"/>
      <c r="AP350" s="241"/>
      <c r="AU350" s="263"/>
      <c r="BX350" s="327"/>
    </row>
    <row r="351" spans="1:76" s="240" customFormat="1">
      <c r="A351" s="392"/>
      <c r="B351" s="370"/>
      <c r="C351" s="392"/>
      <c r="H351" s="241"/>
      <c r="I351" s="241"/>
      <c r="J351" s="241"/>
      <c r="K351" s="241"/>
      <c r="L351" s="241"/>
      <c r="M351" s="241"/>
      <c r="N351" s="241"/>
      <c r="O351" s="241"/>
      <c r="P351" s="241"/>
      <c r="Q351" s="241"/>
      <c r="R351" s="241"/>
      <c r="S351" s="241"/>
      <c r="T351" s="241"/>
      <c r="U351" s="241"/>
      <c r="V351" s="241"/>
      <c r="W351" s="241"/>
      <c r="X351" s="241"/>
      <c r="Y351" s="241"/>
      <c r="Z351" s="241"/>
      <c r="AA351" s="241"/>
      <c r="AB351" s="241"/>
      <c r="AC351" s="241"/>
      <c r="AD351" s="241"/>
      <c r="AE351" s="241"/>
      <c r="AF351" s="241"/>
      <c r="AG351" s="241"/>
      <c r="AH351" s="241"/>
      <c r="AI351" s="241"/>
      <c r="AJ351" s="241"/>
      <c r="AK351" s="241"/>
      <c r="AL351" s="241"/>
      <c r="AM351" s="241"/>
      <c r="AN351" s="241"/>
      <c r="AO351" s="241"/>
      <c r="AP351" s="241"/>
      <c r="AU351" s="263"/>
      <c r="BX351" s="327"/>
    </row>
    <row r="352" spans="1:76" s="240" customFormat="1">
      <c r="A352" s="392"/>
      <c r="B352" s="370"/>
      <c r="C352" s="392"/>
      <c r="H352" s="241"/>
      <c r="I352" s="241"/>
      <c r="J352" s="241"/>
      <c r="K352" s="241"/>
      <c r="L352" s="241"/>
      <c r="M352" s="241"/>
      <c r="N352" s="241"/>
      <c r="O352" s="241"/>
      <c r="P352" s="241"/>
      <c r="Q352" s="241"/>
      <c r="R352" s="241"/>
      <c r="S352" s="241"/>
      <c r="T352" s="241"/>
      <c r="U352" s="241"/>
      <c r="V352" s="241"/>
      <c r="W352" s="241"/>
      <c r="X352" s="241"/>
      <c r="Y352" s="241"/>
      <c r="Z352" s="241"/>
      <c r="AA352" s="241"/>
      <c r="AB352" s="241"/>
      <c r="AC352" s="241"/>
      <c r="AD352" s="241"/>
      <c r="AE352" s="241"/>
      <c r="AF352" s="241"/>
      <c r="AG352" s="241"/>
      <c r="AH352" s="241"/>
      <c r="AI352" s="241"/>
      <c r="AJ352" s="241"/>
      <c r="AK352" s="241"/>
      <c r="AL352" s="241"/>
      <c r="AM352" s="241"/>
      <c r="AN352" s="241"/>
      <c r="AO352" s="241"/>
      <c r="AP352" s="241"/>
      <c r="AU352" s="263"/>
      <c r="BX352" s="327"/>
    </row>
    <row r="353" spans="1:76" s="240" customFormat="1">
      <c r="A353" s="392"/>
      <c r="B353" s="370"/>
      <c r="C353" s="392"/>
      <c r="H353" s="241"/>
      <c r="I353" s="241"/>
      <c r="J353" s="241"/>
      <c r="K353" s="241"/>
      <c r="L353" s="241"/>
      <c r="M353" s="241"/>
      <c r="N353" s="241"/>
      <c r="O353" s="241"/>
      <c r="P353" s="241"/>
      <c r="Q353" s="241"/>
      <c r="R353" s="241"/>
      <c r="S353" s="241"/>
      <c r="T353" s="241"/>
      <c r="U353" s="241"/>
      <c r="V353" s="241"/>
      <c r="W353" s="241"/>
      <c r="X353" s="241"/>
      <c r="Y353" s="241"/>
      <c r="Z353" s="241"/>
      <c r="AA353" s="241"/>
      <c r="AB353" s="241"/>
      <c r="AC353" s="241"/>
      <c r="AD353" s="241"/>
      <c r="AE353" s="241"/>
      <c r="AF353" s="241"/>
      <c r="AG353" s="241"/>
      <c r="AH353" s="241"/>
      <c r="AI353" s="241"/>
      <c r="AJ353" s="241"/>
      <c r="AK353" s="241"/>
      <c r="AL353" s="241"/>
      <c r="AM353" s="241"/>
      <c r="AN353" s="241"/>
      <c r="AO353" s="241"/>
      <c r="AP353" s="241"/>
      <c r="AU353" s="263"/>
      <c r="BX353" s="327"/>
    </row>
    <row r="354" spans="1:76" s="240" customFormat="1">
      <c r="A354" s="392"/>
      <c r="B354" s="370"/>
      <c r="C354" s="392"/>
      <c r="H354" s="241"/>
      <c r="I354" s="241"/>
      <c r="J354" s="241"/>
      <c r="K354" s="241"/>
      <c r="L354" s="241"/>
      <c r="M354" s="241"/>
      <c r="N354" s="241"/>
      <c r="O354" s="241"/>
      <c r="P354" s="241"/>
      <c r="Q354" s="241"/>
      <c r="R354" s="241"/>
      <c r="S354" s="241"/>
      <c r="T354" s="241"/>
      <c r="U354" s="241"/>
      <c r="V354" s="241"/>
      <c r="W354" s="241"/>
      <c r="X354" s="241"/>
      <c r="Y354" s="241"/>
      <c r="Z354" s="241"/>
      <c r="AA354" s="241"/>
      <c r="AB354" s="241"/>
      <c r="AC354" s="241"/>
      <c r="AD354" s="241"/>
      <c r="AE354" s="241"/>
      <c r="AF354" s="241"/>
      <c r="AG354" s="241"/>
      <c r="AH354" s="241"/>
      <c r="AI354" s="241"/>
      <c r="AJ354" s="241"/>
      <c r="AK354" s="241"/>
      <c r="AL354" s="241"/>
      <c r="AM354" s="241"/>
      <c r="AN354" s="241"/>
      <c r="AO354" s="241"/>
      <c r="AP354" s="241"/>
      <c r="AU354" s="263"/>
      <c r="BX354" s="327"/>
    </row>
    <row r="355" spans="1:76" s="240" customFormat="1">
      <c r="A355" s="392"/>
      <c r="B355" s="370"/>
      <c r="C355" s="392"/>
      <c r="H355" s="241"/>
      <c r="I355" s="241"/>
      <c r="J355" s="241"/>
      <c r="K355" s="241"/>
      <c r="L355" s="241"/>
      <c r="M355" s="241"/>
      <c r="N355" s="241"/>
      <c r="O355" s="241"/>
      <c r="P355" s="241"/>
      <c r="Q355" s="241"/>
      <c r="R355" s="241"/>
      <c r="S355" s="241"/>
      <c r="T355" s="241"/>
      <c r="U355" s="241"/>
      <c r="V355" s="241"/>
      <c r="W355" s="241"/>
      <c r="X355" s="241"/>
      <c r="Y355" s="241"/>
      <c r="Z355" s="241"/>
      <c r="AA355" s="241"/>
      <c r="AB355" s="241"/>
      <c r="AC355" s="241"/>
      <c r="AD355" s="241"/>
      <c r="AE355" s="241"/>
      <c r="AF355" s="241"/>
      <c r="AG355" s="241"/>
      <c r="AH355" s="241"/>
      <c r="AI355" s="241"/>
      <c r="AJ355" s="241"/>
      <c r="AK355" s="241"/>
      <c r="AL355" s="241"/>
      <c r="AM355" s="241"/>
      <c r="AN355" s="241"/>
      <c r="AO355" s="241"/>
      <c r="AP355" s="241"/>
      <c r="AU355" s="263"/>
      <c r="BX355" s="327"/>
    </row>
    <row r="356" spans="1:76" s="240" customFormat="1">
      <c r="A356" s="392"/>
      <c r="B356" s="370"/>
      <c r="C356" s="392"/>
      <c r="H356" s="241"/>
      <c r="I356" s="241"/>
      <c r="J356" s="241"/>
      <c r="K356" s="241"/>
      <c r="L356" s="241"/>
      <c r="M356" s="241"/>
      <c r="N356" s="241"/>
      <c r="O356" s="241"/>
      <c r="P356" s="241"/>
      <c r="Q356" s="241"/>
      <c r="R356" s="241"/>
      <c r="S356" s="241"/>
      <c r="T356" s="241"/>
      <c r="U356" s="241"/>
      <c r="V356" s="241"/>
      <c r="W356" s="241"/>
      <c r="X356" s="241"/>
      <c r="Y356" s="241"/>
      <c r="Z356" s="241"/>
      <c r="AA356" s="241"/>
      <c r="AB356" s="241"/>
      <c r="AC356" s="241"/>
      <c r="AD356" s="241"/>
      <c r="AE356" s="241"/>
      <c r="AF356" s="241"/>
      <c r="AG356" s="241"/>
      <c r="AH356" s="241"/>
      <c r="AI356" s="241"/>
      <c r="AJ356" s="241"/>
      <c r="AK356" s="241"/>
      <c r="AL356" s="241"/>
      <c r="AM356" s="241"/>
      <c r="AN356" s="241"/>
      <c r="AO356" s="241"/>
      <c r="AP356" s="241"/>
      <c r="AU356" s="263"/>
      <c r="BX356" s="327"/>
    </row>
    <row r="357" spans="1:76" s="240" customFormat="1">
      <c r="A357" s="392"/>
      <c r="B357" s="370"/>
      <c r="C357" s="392"/>
      <c r="H357" s="241"/>
      <c r="I357" s="241"/>
      <c r="J357" s="241"/>
      <c r="K357" s="241"/>
      <c r="L357" s="241"/>
      <c r="M357" s="241"/>
      <c r="N357" s="241"/>
      <c r="O357" s="241"/>
      <c r="P357" s="241"/>
      <c r="Q357" s="241"/>
      <c r="R357" s="241"/>
      <c r="S357" s="241"/>
      <c r="T357" s="241"/>
      <c r="U357" s="241"/>
      <c r="V357" s="241"/>
      <c r="W357" s="241"/>
      <c r="X357" s="241"/>
      <c r="Y357" s="241"/>
      <c r="Z357" s="241"/>
      <c r="AA357" s="241"/>
      <c r="AB357" s="241"/>
      <c r="AC357" s="241"/>
      <c r="AD357" s="241"/>
      <c r="AE357" s="241"/>
      <c r="AF357" s="241"/>
      <c r="AG357" s="241"/>
      <c r="AH357" s="241"/>
      <c r="AI357" s="241"/>
      <c r="AJ357" s="241"/>
      <c r="AK357" s="241"/>
      <c r="AL357" s="241"/>
      <c r="AM357" s="241"/>
      <c r="AN357" s="241"/>
      <c r="AO357" s="241"/>
      <c r="AP357" s="241"/>
      <c r="AU357" s="263"/>
      <c r="BX357" s="327"/>
    </row>
    <row r="358" spans="1:76" s="240" customFormat="1">
      <c r="A358" s="392"/>
      <c r="B358" s="370"/>
      <c r="C358" s="392"/>
      <c r="H358" s="241"/>
      <c r="I358" s="241"/>
      <c r="J358" s="241"/>
      <c r="K358" s="241"/>
      <c r="L358" s="241"/>
      <c r="M358" s="241"/>
      <c r="N358" s="241"/>
      <c r="O358" s="241"/>
      <c r="P358" s="241"/>
      <c r="Q358" s="241"/>
      <c r="R358" s="241"/>
      <c r="S358" s="241"/>
      <c r="T358" s="241"/>
      <c r="U358" s="241"/>
      <c r="V358" s="241"/>
      <c r="W358" s="241"/>
      <c r="X358" s="241"/>
      <c r="Y358" s="241"/>
      <c r="Z358" s="241"/>
      <c r="AA358" s="241"/>
      <c r="AB358" s="241"/>
      <c r="AC358" s="241"/>
      <c r="AD358" s="241"/>
      <c r="AE358" s="241"/>
      <c r="AF358" s="241"/>
      <c r="AG358" s="241"/>
      <c r="AH358" s="241"/>
      <c r="AI358" s="241"/>
      <c r="AJ358" s="241"/>
      <c r="AK358" s="241"/>
      <c r="AL358" s="241"/>
      <c r="AM358" s="241"/>
      <c r="AN358" s="241"/>
      <c r="AO358" s="241"/>
      <c r="AP358" s="241"/>
      <c r="AU358" s="263"/>
      <c r="BX358" s="327"/>
    </row>
    <row r="359" spans="1:76" s="240" customFormat="1">
      <c r="A359" s="392"/>
      <c r="B359" s="370"/>
      <c r="C359" s="392"/>
      <c r="H359" s="241"/>
      <c r="I359" s="241"/>
      <c r="J359" s="241"/>
      <c r="K359" s="241"/>
      <c r="L359" s="241"/>
      <c r="M359" s="241"/>
      <c r="N359" s="241"/>
      <c r="O359" s="241"/>
      <c r="P359" s="241"/>
      <c r="Q359" s="241"/>
      <c r="R359" s="241"/>
      <c r="S359" s="241"/>
      <c r="T359" s="241"/>
      <c r="U359" s="241"/>
      <c r="V359" s="241"/>
      <c r="W359" s="241"/>
      <c r="X359" s="241"/>
      <c r="Y359" s="241"/>
      <c r="Z359" s="241"/>
      <c r="AA359" s="241"/>
      <c r="AB359" s="241"/>
      <c r="AC359" s="241"/>
      <c r="AD359" s="241"/>
      <c r="AE359" s="241"/>
      <c r="AF359" s="241"/>
      <c r="AG359" s="241"/>
      <c r="AH359" s="241"/>
      <c r="AI359" s="241"/>
      <c r="AJ359" s="241"/>
      <c r="AK359" s="241"/>
      <c r="AL359" s="241"/>
      <c r="AM359" s="241"/>
      <c r="AN359" s="241"/>
      <c r="AO359" s="241"/>
      <c r="AP359" s="241"/>
      <c r="AU359" s="263"/>
      <c r="BX359" s="327"/>
    </row>
    <row r="360" spans="1:76" s="240" customFormat="1">
      <c r="A360" s="392"/>
      <c r="B360" s="370"/>
      <c r="C360" s="392"/>
      <c r="H360" s="241"/>
      <c r="I360" s="241"/>
      <c r="J360" s="241"/>
      <c r="K360" s="241"/>
      <c r="L360" s="241"/>
      <c r="M360" s="241"/>
      <c r="N360" s="241"/>
      <c r="O360" s="241"/>
      <c r="P360" s="241"/>
      <c r="Q360" s="241"/>
      <c r="R360" s="241"/>
      <c r="S360" s="241"/>
      <c r="T360" s="241"/>
      <c r="U360" s="241"/>
      <c r="V360" s="241"/>
      <c r="W360" s="241"/>
      <c r="X360" s="241"/>
      <c r="Y360" s="241"/>
      <c r="Z360" s="241"/>
      <c r="AA360" s="241"/>
      <c r="AB360" s="241"/>
      <c r="AC360" s="241"/>
      <c r="AD360" s="241"/>
      <c r="AE360" s="241"/>
      <c r="AF360" s="241"/>
      <c r="AG360" s="241"/>
      <c r="AH360" s="241"/>
      <c r="AI360" s="241"/>
      <c r="AJ360" s="241"/>
      <c r="AK360" s="241"/>
      <c r="AL360" s="241"/>
      <c r="AM360" s="241"/>
      <c r="AN360" s="241"/>
      <c r="AO360" s="241"/>
      <c r="AP360" s="241"/>
      <c r="AU360" s="263"/>
      <c r="BX360" s="327"/>
    </row>
    <row r="361" spans="1:76" s="240" customFormat="1">
      <c r="A361" s="392"/>
      <c r="B361" s="370"/>
      <c r="C361" s="392"/>
      <c r="H361" s="241"/>
      <c r="I361" s="241"/>
      <c r="J361" s="241"/>
      <c r="K361" s="241"/>
      <c r="L361" s="241"/>
      <c r="M361" s="241"/>
      <c r="N361" s="241"/>
      <c r="O361" s="241"/>
      <c r="P361" s="241"/>
      <c r="Q361" s="241"/>
      <c r="R361" s="241"/>
      <c r="S361" s="241"/>
      <c r="T361" s="241"/>
      <c r="U361" s="241"/>
      <c r="V361" s="241"/>
      <c r="W361" s="241"/>
      <c r="X361" s="241"/>
      <c r="Y361" s="241"/>
      <c r="Z361" s="241"/>
      <c r="AA361" s="241"/>
      <c r="AB361" s="241"/>
      <c r="AC361" s="241"/>
      <c r="AD361" s="241"/>
      <c r="AE361" s="241"/>
      <c r="AF361" s="241"/>
      <c r="AG361" s="241"/>
      <c r="AH361" s="241"/>
      <c r="AI361" s="241"/>
      <c r="AJ361" s="241"/>
      <c r="AK361" s="241"/>
      <c r="AL361" s="241"/>
      <c r="AM361" s="241"/>
      <c r="AN361" s="241"/>
      <c r="AO361" s="241"/>
      <c r="AP361" s="241"/>
      <c r="AU361" s="263"/>
      <c r="BX361" s="327"/>
    </row>
    <row r="362" spans="1:76" s="240" customFormat="1">
      <c r="A362" s="392"/>
      <c r="B362" s="370"/>
      <c r="C362" s="392"/>
      <c r="H362" s="241"/>
      <c r="I362" s="241"/>
      <c r="J362" s="241"/>
      <c r="K362" s="241"/>
      <c r="L362" s="241"/>
      <c r="M362" s="241"/>
      <c r="N362" s="241"/>
      <c r="O362" s="241"/>
      <c r="P362" s="241"/>
      <c r="Q362" s="241"/>
      <c r="R362" s="241"/>
      <c r="S362" s="241"/>
      <c r="T362" s="241"/>
      <c r="U362" s="241"/>
      <c r="V362" s="241"/>
      <c r="W362" s="241"/>
      <c r="X362" s="241"/>
      <c r="Y362" s="241"/>
      <c r="Z362" s="241"/>
      <c r="AA362" s="241"/>
      <c r="AB362" s="241"/>
      <c r="AC362" s="241"/>
      <c r="AD362" s="241"/>
      <c r="AE362" s="241"/>
      <c r="AF362" s="241"/>
      <c r="AG362" s="241"/>
      <c r="AH362" s="241"/>
      <c r="AI362" s="241"/>
      <c r="AJ362" s="241"/>
      <c r="AK362" s="241"/>
      <c r="AL362" s="241"/>
      <c r="AM362" s="241"/>
      <c r="AN362" s="241"/>
      <c r="AO362" s="241"/>
      <c r="AP362" s="241"/>
      <c r="AU362" s="263"/>
      <c r="BX362" s="327"/>
    </row>
    <row r="363" spans="1:76" s="240" customFormat="1">
      <c r="A363" s="392"/>
      <c r="B363" s="370"/>
      <c r="C363" s="392"/>
      <c r="H363" s="241"/>
      <c r="I363" s="241"/>
      <c r="J363" s="241"/>
      <c r="K363" s="241"/>
      <c r="L363" s="241"/>
      <c r="M363" s="241"/>
      <c r="N363" s="241"/>
      <c r="O363" s="241"/>
      <c r="P363" s="241"/>
      <c r="Q363" s="241"/>
      <c r="R363" s="241"/>
      <c r="S363" s="241"/>
      <c r="T363" s="241"/>
      <c r="U363" s="241"/>
      <c r="V363" s="241"/>
      <c r="W363" s="241"/>
      <c r="X363" s="241"/>
      <c r="Y363" s="241"/>
      <c r="Z363" s="241"/>
      <c r="AA363" s="241"/>
      <c r="AB363" s="241"/>
      <c r="AC363" s="241"/>
      <c r="AD363" s="241"/>
      <c r="AE363" s="241"/>
      <c r="AF363" s="241"/>
      <c r="AG363" s="241"/>
      <c r="AH363" s="241"/>
      <c r="AI363" s="241"/>
      <c r="AJ363" s="241"/>
      <c r="AK363" s="241"/>
      <c r="AL363" s="241"/>
      <c r="AM363" s="241"/>
      <c r="AN363" s="241"/>
      <c r="AO363" s="241"/>
      <c r="AP363" s="241"/>
      <c r="AU363" s="263"/>
      <c r="BX363" s="327"/>
    </row>
    <row r="364" spans="1:76" s="240" customFormat="1">
      <c r="A364" s="392"/>
      <c r="B364" s="370"/>
      <c r="C364" s="392"/>
      <c r="H364" s="241"/>
      <c r="I364" s="241"/>
      <c r="J364" s="241"/>
      <c r="K364" s="241"/>
      <c r="L364" s="241"/>
      <c r="M364" s="241"/>
      <c r="N364" s="241"/>
      <c r="O364" s="241"/>
      <c r="P364" s="241"/>
      <c r="Q364" s="241"/>
      <c r="R364" s="241"/>
      <c r="S364" s="241"/>
      <c r="T364" s="241"/>
      <c r="U364" s="241"/>
      <c r="V364" s="241"/>
      <c r="W364" s="241"/>
      <c r="X364" s="241"/>
      <c r="Y364" s="241"/>
      <c r="Z364" s="241"/>
      <c r="AA364" s="241"/>
      <c r="AB364" s="241"/>
      <c r="AC364" s="241"/>
      <c r="AD364" s="241"/>
      <c r="AE364" s="241"/>
      <c r="AF364" s="241"/>
      <c r="AG364" s="241"/>
      <c r="AH364" s="241"/>
      <c r="AI364" s="241"/>
      <c r="AJ364" s="241"/>
      <c r="AK364" s="241"/>
      <c r="AL364" s="241"/>
      <c r="AM364" s="241"/>
      <c r="AN364" s="241"/>
      <c r="AO364" s="241"/>
      <c r="AP364" s="241"/>
      <c r="AU364" s="263"/>
      <c r="BX364" s="327"/>
    </row>
    <row r="365" spans="1:76" s="240" customFormat="1">
      <c r="A365" s="392"/>
      <c r="B365" s="370"/>
      <c r="C365" s="392"/>
      <c r="H365" s="241"/>
      <c r="I365" s="241"/>
      <c r="J365" s="241"/>
      <c r="K365" s="241"/>
      <c r="L365" s="241"/>
      <c r="M365" s="241"/>
      <c r="N365" s="241"/>
      <c r="O365" s="241"/>
      <c r="P365" s="241"/>
      <c r="Q365" s="241"/>
      <c r="R365" s="241"/>
      <c r="S365" s="241"/>
      <c r="T365" s="241"/>
      <c r="U365" s="241"/>
      <c r="V365" s="241"/>
      <c r="W365" s="241"/>
      <c r="X365" s="241"/>
      <c r="Y365" s="241"/>
      <c r="Z365" s="241"/>
      <c r="AA365" s="241"/>
      <c r="AB365" s="241"/>
      <c r="AC365" s="241"/>
      <c r="AD365" s="241"/>
      <c r="AE365" s="241"/>
      <c r="AF365" s="241"/>
      <c r="AG365" s="241"/>
      <c r="AH365" s="241"/>
      <c r="AI365" s="241"/>
      <c r="AJ365" s="241"/>
      <c r="AK365" s="241"/>
      <c r="AL365" s="241"/>
      <c r="AM365" s="241"/>
      <c r="AN365" s="241"/>
      <c r="AO365" s="241"/>
      <c r="AP365" s="241"/>
      <c r="AU365" s="263"/>
      <c r="BX365" s="327"/>
    </row>
    <row r="366" spans="1:76" s="240" customFormat="1">
      <c r="A366" s="392"/>
      <c r="B366" s="370"/>
      <c r="C366" s="392"/>
      <c r="H366" s="241"/>
      <c r="I366" s="241"/>
      <c r="J366" s="241"/>
      <c r="K366" s="241"/>
      <c r="L366" s="241"/>
      <c r="M366" s="241"/>
      <c r="N366" s="241"/>
      <c r="O366" s="241"/>
      <c r="P366" s="241"/>
      <c r="Q366" s="241"/>
      <c r="R366" s="241"/>
      <c r="S366" s="241"/>
      <c r="T366" s="241"/>
      <c r="U366" s="241"/>
      <c r="V366" s="241"/>
      <c r="W366" s="241"/>
      <c r="X366" s="241"/>
      <c r="Y366" s="241"/>
      <c r="Z366" s="241"/>
      <c r="AA366" s="241"/>
      <c r="AB366" s="241"/>
      <c r="AC366" s="241"/>
      <c r="AD366" s="241"/>
      <c r="AE366" s="241"/>
      <c r="AF366" s="241"/>
      <c r="AG366" s="241"/>
      <c r="AH366" s="241"/>
      <c r="AI366" s="241"/>
      <c r="AJ366" s="241"/>
      <c r="AK366" s="241"/>
      <c r="AL366" s="241"/>
      <c r="AM366" s="241"/>
      <c r="AN366" s="241"/>
      <c r="AO366" s="241"/>
      <c r="AP366" s="241"/>
      <c r="AU366" s="263"/>
      <c r="BX366" s="327"/>
    </row>
    <row r="367" spans="1:76" s="240" customFormat="1">
      <c r="A367" s="392"/>
      <c r="B367" s="370"/>
      <c r="C367" s="392"/>
      <c r="H367" s="241"/>
      <c r="I367" s="241"/>
      <c r="J367" s="241"/>
      <c r="K367" s="241"/>
      <c r="L367" s="241"/>
      <c r="M367" s="241"/>
      <c r="N367" s="241"/>
      <c r="O367" s="241"/>
      <c r="P367" s="241"/>
      <c r="Q367" s="241"/>
      <c r="R367" s="241"/>
      <c r="S367" s="241"/>
      <c r="T367" s="241"/>
      <c r="U367" s="241"/>
      <c r="V367" s="241"/>
      <c r="W367" s="241"/>
      <c r="X367" s="241"/>
      <c r="Y367" s="241"/>
      <c r="Z367" s="241"/>
      <c r="AA367" s="241"/>
      <c r="AB367" s="241"/>
      <c r="AC367" s="241"/>
      <c r="AD367" s="241"/>
      <c r="AE367" s="241"/>
      <c r="AF367" s="241"/>
      <c r="AG367" s="241"/>
      <c r="AH367" s="241"/>
      <c r="AI367" s="241"/>
      <c r="AJ367" s="241"/>
      <c r="AK367" s="241"/>
      <c r="AL367" s="241"/>
      <c r="AM367" s="241"/>
      <c r="AN367" s="241"/>
      <c r="AO367" s="241"/>
      <c r="AP367" s="241"/>
      <c r="AU367" s="263"/>
      <c r="BX367" s="327"/>
    </row>
    <row r="368" spans="1:76" s="240" customFormat="1">
      <c r="A368" s="392"/>
      <c r="B368" s="370"/>
      <c r="C368" s="392"/>
      <c r="H368" s="241"/>
      <c r="I368" s="241"/>
      <c r="J368" s="241"/>
      <c r="K368" s="241"/>
      <c r="L368" s="241"/>
      <c r="M368" s="241"/>
      <c r="N368" s="241"/>
      <c r="O368" s="241"/>
      <c r="P368" s="241"/>
      <c r="Q368" s="241"/>
      <c r="R368" s="241"/>
      <c r="S368" s="241"/>
      <c r="T368" s="241"/>
      <c r="U368" s="241"/>
      <c r="V368" s="241"/>
      <c r="W368" s="241"/>
      <c r="X368" s="241"/>
      <c r="Y368" s="241"/>
      <c r="Z368" s="241"/>
      <c r="AA368" s="241"/>
      <c r="AB368" s="241"/>
      <c r="AC368" s="241"/>
      <c r="AD368" s="241"/>
      <c r="AE368" s="241"/>
      <c r="AF368" s="241"/>
      <c r="AG368" s="241"/>
      <c r="AH368" s="241"/>
      <c r="AI368" s="241"/>
      <c r="AJ368" s="241"/>
      <c r="AK368" s="241"/>
      <c r="AL368" s="241"/>
      <c r="AM368" s="241"/>
      <c r="AN368" s="241"/>
      <c r="AO368" s="241"/>
      <c r="AP368" s="241"/>
      <c r="AU368" s="263"/>
      <c r="BX368" s="327"/>
    </row>
    <row r="369" spans="1:76" s="240" customFormat="1">
      <c r="A369" s="392"/>
      <c r="B369" s="370"/>
      <c r="C369" s="392"/>
      <c r="H369" s="241"/>
      <c r="I369" s="241"/>
      <c r="J369" s="241"/>
      <c r="K369" s="241"/>
      <c r="L369" s="241"/>
      <c r="M369" s="241"/>
      <c r="N369" s="241"/>
      <c r="O369" s="241"/>
      <c r="P369" s="241"/>
      <c r="Q369" s="241"/>
      <c r="R369" s="241"/>
      <c r="S369" s="241"/>
      <c r="T369" s="241"/>
      <c r="U369" s="241"/>
      <c r="V369" s="241"/>
      <c r="W369" s="241"/>
      <c r="X369" s="241"/>
      <c r="Y369" s="241"/>
      <c r="Z369" s="241"/>
      <c r="AA369" s="241"/>
      <c r="AB369" s="241"/>
      <c r="AC369" s="241"/>
      <c r="AD369" s="241"/>
      <c r="AE369" s="241"/>
      <c r="AF369" s="241"/>
      <c r="AG369" s="241"/>
      <c r="AH369" s="241"/>
      <c r="AI369" s="241"/>
      <c r="AJ369" s="241"/>
      <c r="AK369" s="241"/>
      <c r="AL369" s="241"/>
      <c r="AM369" s="241"/>
      <c r="AN369" s="241"/>
      <c r="AO369" s="241"/>
      <c r="AP369" s="241"/>
      <c r="AU369" s="263"/>
      <c r="BX369" s="327"/>
    </row>
    <row r="370" spans="1:76" s="240" customFormat="1">
      <c r="A370" s="392"/>
      <c r="B370" s="370"/>
      <c r="C370" s="392"/>
      <c r="H370" s="241"/>
      <c r="I370" s="241"/>
      <c r="J370" s="241"/>
      <c r="K370" s="241"/>
      <c r="L370" s="241"/>
      <c r="M370" s="241"/>
      <c r="N370" s="241"/>
      <c r="O370" s="241"/>
      <c r="P370" s="241"/>
      <c r="Q370" s="241"/>
      <c r="R370" s="241"/>
      <c r="S370" s="241"/>
      <c r="T370" s="241"/>
      <c r="U370" s="241"/>
      <c r="V370" s="241"/>
      <c r="W370" s="241"/>
      <c r="X370" s="241"/>
      <c r="Y370" s="241"/>
      <c r="Z370" s="241"/>
      <c r="AA370" s="241"/>
      <c r="AB370" s="241"/>
      <c r="AC370" s="241"/>
      <c r="AD370" s="241"/>
      <c r="AE370" s="241"/>
      <c r="AF370" s="241"/>
      <c r="AG370" s="241"/>
      <c r="AH370" s="241"/>
      <c r="AI370" s="241"/>
      <c r="AJ370" s="241"/>
      <c r="AK370" s="241"/>
      <c r="AL370" s="241"/>
      <c r="AM370" s="241"/>
      <c r="AN370" s="241"/>
      <c r="AO370" s="241"/>
      <c r="AP370" s="241"/>
      <c r="AU370" s="263"/>
      <c r="BX370" s="327"/>
    </row>
    <row r="371" spans="1:76" s="240" customFormat="1">
      <c r="A371" s="392"/>
      <c r="B371" s="370"/>
      <c r="C371" s="392"/>
      <c r="H371" s="241"/>
      <c r="I371" s="241"/>
      <c r="J371" s="241"/>
      <c r="K371" s="241"/>
      <c r="L371" s="241"/>
      <c r="M371" s="241"/>
      <c r="N371" s="241"/>
      <c r="O371" s="241"/>
      <c r="P371" s="241"/>
      <c r="Q371" s="241"/>
      <c r="R371" s="241"/>
      <c r="S371" s="241"/>
      <c r="T371" s="241"/>
      <c r="U371" s="241"/>
      <c r="V371" s="241"/>
      <c r="W371" s="241"/>
      <c r="X371" s="241"/>
      <c r="Y371" s="241"/>
      <c r="Z371" s="241"/>
      <c r="AA371" s="241"/>
      <c r="AB371" s="241"/>
      <c r="AC371" s="241"/>
      <c r="AD371" s="241"/>
      <c r="AE371" s="241"/>
      <c r="AF371" s="241"/>
      <c r="AG371" s="241"/>
      <c r="AH371" s="241"/>
      <c r="AI371" s="241"/>
      <c r="AJ371" s="241"/>
      <c r="AK371" s="241"/>
      <c r="AL371" s="241"/>
      <c r="AM371" s="241"/>
      <c r="AN371" s="241"/>
      <c r="AO371" s="241"/>
      <c r="AP371" s="241"/>
      <c r="AU371" s="263"/>
      <c r="BX371" s="327"/>
    </row>
    <row r="372" spans="1:76" s="240" customFormat="1">
      <c r="A372" s="392"/>
      <c r="B372" s="370"/>
      <c r="C372" s="392"/>
      <c r="H372" s="241"/>
      <c r="I372" s="241"/>
      <c r="J372" s="241"/>
      <c r="K372" s="241"/>
      <c r="L372" s="241"/>
      <c r="M372" s="241"/>
      <c r="N372" s="241"/>
      <c r="O372" s="241"/>
      <c r="P372" s="241"/>
      <c r="Q372" s="241"/>
      <c r="R372" s="241"/>
      <c r="S372" s="241"/>
      <c r="T372" s="241"/>
      <c r="U372" s="241"/>
      <c r="V372" s="241"/>
      <c r="W372" s="241"/>
      <c r="X372" s="241"/>
      <c r="Y372" s="241"/>
      <c r="Z372" s="241"/>
      <c r="AA372" s="241"/>
      <c r="AB372" s="241"/>
      <c r="AC372" s="241"/>
      <c r="AD372" s="241"/>
      <c r="AE372" s="241"/>
      <c r="AF372" s="241"/>
      <c r="AG372" s="241"/>
      <c r="AH372" s="241"/>
      <c r="AI372" s="241"/>
      <c r="AJ372" s="241"/>
      <c r="AK372" s="241"/>
      <c r="AL372" s="241"/>
      <c r="AM372" s="241"/>
      <c r="AN372" s="241"/>
      <c r="AO372" s="241"/>
      <c r="AP372" s="241"/>
      <c r="AU372" s="263"/>
      <c r="BX372" s="327"/>
    </row>
    <row r="373" spans="1:76" s="240" customFormat="1">
      <c r="A373" s="392"/>
      <c r="B373" s="370"/>
      <c r="C373" s="392"/>
      <c r="H373" s="241"/>
      <c r="I373" s="241"/>
      <c r="J373" s="241"/>
      <c r="K373" s="241"/>
      <c r="L373" s="241"/>
      <c r="M373" s="241"/>
      <c r="N373" s="241"/>
      <c r="O373" s="241"/>
      <c r="P373" s="241"/>
      <c r="Q373" s="241"/>
      <c r="R373" s="241"/>
      <c r="S373" s="241"/>
      <c r="T373" s="241"/>
      <c r="U373" s="241"/>
      <c r="V373" s="241"/>
      <c r="W373" s="241"/>
      <c r="X373" s="241"/>
      <c r="Y373" s="241"/>
      <c r="Z373" s="241"/>
      <c r="AA373" s="241"/>
      <c r="AB373" s="241"/>
      <c r="AC373" s="241"/>
      <c r="AD373" s="241"/>
      <c r="AE373" s="241"/>
      <c r="AF373" s="241"/>
      <c r="AG373" s="241"/>
      <c r="AH373" s="241"/>
      <c r="AI373" s="241"/>
      <c r="AJ373" s="241"/>
      <c r="AK373" s="241"/>
      <c r="AL373" s="241"/>
      <c r="AM373" s="241"/>
      <c r="AN373" s="241"/>
      <c r="AO373" s="241"/>
      <c r="AP373" s="241"/>
      <c r="AU373" s="263"/>
      <c r="BX373" s="327"/>
    </row>
    <row r="374" spans="1:76" s="240" customFormat="1">
      <c r="A374" s="392"/>
      <c r="B374" s="370"/>
      <c r="C374" s="392"/>
      <c r="H374" s="241"/>
      <c r="I374" s="241"/>
      <c r="J374" s="241"/>
      <c r="K374" s="241"/>
      <c r="L374" s="241"/>
      <c r="M374" s="241"/>
      <c r="N374" s="241"/>
      <c r="O374" s="241"/>
      <c r="P374" s="241"/>
      <c r="Q374" s="241"/>
      <c r="R374" s="241"/>
      <c r="S374" s="241"/>
      <c r="T374" s="241"/>
      <c r="U374" s="241"/>
      <c r="V374" s="241"/>
      <c r="W374" s="241"/>
      <c r="X374" s="241"/>
      <c r="Y374" s="241"/>
      <c r="Z374" s="241"/>
      <c r="AA374" s="241"/>
      <c r="AB374" s="241"/>
      <c r="AC374" s="241"/>
      <c r="AD374" s="241"/>
      <c r="AE374" s="241"/>
      <c r="AF374" s="241"/>
      <c r="AG374" s="241"/>
      <c r="AH374" s="241"/>
      <c r="AI374" s="241"/>
      <c r="AJ374" s="241"/>
      <c r="AK374" s="241"/>
      <c r="AL374" s="241"/>
      <c r="AM374" s="241"/>
      <c r="AN374" s="241"/>
      <c r="AO374" s="241"/>
      <c r="AP374" s="241"/>
      <c r="AU374" s="263"/>
      <c r="BX374" s="327"/>
    </row>
    <row r="375" spans="1:76" s="240" customFormat="1">
      <c r="A375" s="392"/>
      <c r="B375" s="370"/>
      <c r="C375" s="392"/>
      <c r="H375" s="241"/>
      <c r="I375" s="241"/>
      <c r="J375" s="241"/>
      <c r="K375" s="241"/>
      <c r="L375" s="241"/>
      <c r="M375" s="241"/>
      <c r="N375" s="241"/>
      <c r="O375" s="241"/>
      <c r="P375" s="241"/>
      <c r="Q375" s="241"/>
      <c r="R375" s="241"/>
      <c r="S375" s="241"/>
      <c r="T375" s="241"/>
      <c r="U375" s="241"/>
      <c r="V375" s="241"/>
      <c r="W375" s="241"/>
      <c r="X375" s="241"/>
      <c r="Y375" s="241"/>
      <c r="Z375" s="241"/>
      <c r="AA375" s="241"/>
      <c r="AB375" s="241"/>
      <c r="AC375" s="241"/>
      <c r="AD375" s="241"/>
      <c r="AE375" s="241"/>
      <c r="AF375" s="241"/>
      <c r="AG375" s="241"/>
      <c r="AH375" s="241"/>
      <c r="AI375" s="241"/>
      <c r="AJ375" s="241"/>
      <c r="AK375" s="241"/>
      <c r="AL375" s="241"/>
      <c r="AM375" s="241"/>
      <c r="AN375" s="241"/>
      <c r="AO375" s="241"/>
      <c r="AP375" s="241"/>
      <c r="AU375" s="263"/>
      <c r="BX375" s="327"/>
    </row>
    <row r="376" spans="1:76" s="240" customFormat="1">
      <c r="A376" s="392"/>
      <c r="B376" s="370"/>
      <c r="C376" s="392"/>
      <c r="H376" s="241"/>
      <c r="I376" s="241"/>
      <c r="J376" s="241"/>
      <c r="K376" s="241"/>
      <c r="L376" s="241"/>
      <c r="M376" s="241"/>
      <c r="N376" s="241"/>
      <c r="O376" s="241"/>
      <c r="P376" s="241"/>
      <c r="Q376" s="241"/>
      <c r="R376" s="241"/>
      <c r="S376" s="241"/>
      <c r="T376" s="241"/>
      <c r="U376" s="241"/>
      <c r="V376" s="241"/>
      <c r="W376" s="241"/>
      <c r="X376" s="241"/>
      <c r="Y376" s="241"/>
      <c r="Z376" s="241"/>
      <c r="AA376" s="241"/>
      <c r="AB376" s="241"/>
      <c r="AC376" s="241"/>
      <c r="AD376" s="241"/>
      <c r="AE376" s="241"/>
      <c r="AF376" s="241"/>
      <c r="AG376" s="241"/>
      <c r="AH376" s="241"/>
      <c r="AI376" s="241"/>
      <c r="AJ376" s="241"/>
      <c r="AK376" s="241"/>
      <c r="AL376" s="241"/>
      <c r="AM376" s="241"/>
      <c r="AN376" s="241"/>
      <c r="AO376" s="241"/>
      <c r="AP376" s="241"/>
      <c r="AU376" s="263"/>
      <c r="BX376" s="327"/>
    </row>
    <row r="377" spans="1:76" s="240" customFormat="1">
      <c r="A377" s="392"/>
      <c r="B377" s="370"/>
      <c r="C377" s="392"/>
      <c r="H377" s="241"/>
      <c r="I377" s="241"/>
      <c r="J377" s="241"/>
      <c r="K377" s="241"/>
      <c r="L377" s="241"/>
      <c r="M377" s="241"/>
      <c r="N377" s="241"/>
      <c r="O377" s="241"/>
      <c r="P377" s="241"/>
      <c r="Q377" s="241"/>
      <c r="R377" s="241"/>
      <c r="S377" s="241"/>
      <c r="T377" s="241"/>
      <c r="U377" s="241"/>
      <c r="V377" s="241"/>
      <c r="W377" s="241"/>
      <c r="X377" s="241"/>
      <c r="Y377" s="241"/>
      <c r="Z377" s="241"/>
      <c r="AA377" s="241"/>
      <c r="AB377" s="241"/>
      <c r="AC377" s="241"/>
      <c r="AD377" s="241"/>
      <c r="AE377" s="241"/>
      <c r="AF377" s="241"/>
      <c r="AG377" s="241"/>
      <c r="AH377" s="241"/>
      <c r="AI377" s="241"/>
      <c r="AJ377" s="241"/>
      <c r="AK377" s="241"/>
      <c r="AL377" s="241"/>
      <c r="AM377" s="241"/>
      <c r="AN377" s="241"/>
      <c r="AO377" s="241"/>
      <c r="AP377" s="241"/>
      <c r="AU377" s="263"/>
      <c r="BX377" s="327"/>
    </row>
    <row r="378" spans="1:76" s="240" customFormat="1">
      <c r="A378" s="392"/>
      <c r="B378" s="370"/>
      <c r="C378" s="392"/>
      <c r="H378" s="241"/>
      <c r="I378" s="241"/>
      <c r="J378" s="241"/>
      <c r="K378" s="241"/>
      <c r="L378" s="241"/>
      <c r="M378" s="241"/>
      <c r="N378" s="241"/>
      <c r="O378" s="241"/>
      <c r="P378" s="241"/>
      <c r="Q378" s="241"/>
      <c r="R378" s="241"/>
      <c r="S378" s="241"/>
      <c r="T378" s="241"/>
      <c r="U378" s="241"/>
      <c r="V378" s="241"/>
      <c r="W378" s="241"/>
      <c r="X378" s="241"/>
      <c r="Y378" s="241"/>
      <c r="Z378" s="241"/>
      <c r="AA378" s="241"/>
      <c r="AB378" s="241"/>
      <c r="AC378" s="241"/>
      <c r="AD378" s="241"/>
      <c r="AE378" s="241"/>
      <c r="AF378" s="241"/>
      <c r="AG378" s="241"/>
      <c r="AH378" s="241"/>
      <c r="AI378" s="241"/>
      <c r="AJ378" s="241"/>
      <c r="AK378" s="241"/>
      <c r="AL378" s="241"/>
      <c r="AM378" s="241"/>
      <c r="AN378" s="241"/>
      <c r="AO378" s="241"/>
      <c r="AP378" s="241"/>
      <c r="AU378" s="263"/>
      <c r="BX378" s="327"/>
    </row>
    <row r="379" spans="1:76" s="240" customFormat="1">
      <c r="A379" s="392"/>
      <c r="B379" s="370"/>
      <c r="C379" s="392"/>
      <c r="H379" s="241"/>
      <c r="I379" s="241"/>
      <c r="J379" s="241"/>
      <c r="K379" s="241"/>
      <c r="L379" s="241"/>
      <c r="M379" s="241"/>
      <c r="N379" s="241"/>
      <c r="O379" s="241"/>
      <c r="P379" s="241"/>
      <c r="Q379" s="241"/>
      <c r="R379" s="241"/>
      <c r="S379" s="241"/>
      <c r="T379" s="241"/>
      <c r="U379" s="241"/>
      <c r="V379" s="241"/>
      <c r="W379" s="241"/>
      <c r="X379" s="241"/>
      <c r="Y379" s="241"/>
      <c r="Z379" s="241"/>
      <c r="AA379" s="241"/>
      <c r="AB379" s="241"/>
      <c r="AC379" s="241"/>
      <c r="AD379" s="241"/>
      <c r="AE379" s="241"/>
      <c r="AF379" s="241"/>
      <c r="AG379" s="241"/>
      <c r="AH379" s="241"/>
      <c r="AI379" s="241"/>
      <c r="AJ379" s="241"/>
      <c r="AK379" s="241"/>
      <c r="AL379" s="241"/>
      <c r="AM379" s="241"/>
      <c r="AN379" s="241"/>
      <c r="AO379" s="241"/>
      <c r="AP379" s="241"/>
      <c r="AU379" s="263"/>
      <c r="BX379" s="327"/>
    </row>
    <row r="380" spans="1:76" s="240" customFormat="1">
      <c r="A380" s="392"/>
      <c r="B380" s="370"/>
      <c r="C380" s="392"/>
      <c r="H380" s="241"/>
      <c r="I380" s="241"/>
      <c r="J380" s="241"/>
      <c r="K380" s="241"/>
      <c r="L380" s="241"/>
      <c r="M380" s="241"/>
      <c r="N380" s="241"/>
      <c r="O380" s="241"/>
      <c r="P380" s="241"/>
      <c r="Q380" s="241"/>
      <c r="R380" s="241"/>
      <c r="S380" s="241"/>
      <c r="T380" s="241"/>
      <c r="U380" s="241"/>
      <c r="V380" s="241"/>
      <c r="W380" s="241"/>
      <c r="X380" s="241"/>
      <c r="Y380" s="241"/>
      <c r="Z380" s="241"/>
      <c r="AA380" s="241"/>
      <c r="AB380" s="241"/>
      <c r="AC380" s="241"/>
      <c r="AD380" s="241"/>
      <c r="AE380" s="241"/>
      <c r="AF380" s="241"/>
      <c r="AG380" s="241"/>
      <c r="AH380" s="241"/>
      <c r="AI380" s="241"/>
      <c r="AJ380" s="241"/>
      <c r="AK380" s="241"/>
      <c r="AL380" s="241"/>
      <c r="AM380" s="241"/>
      <c r="AN380" s="241"/>
      <c r="AO380" s="241"/>
      <c r="AP380" s="241"/>
      <c r="AU380" s="263"/>
      <c r="BX380" s="327"/>
    </row>
    <row r="381" spans="1:76" s="240" customFormat="1">
      <c r="A381" s="392"/>
      <c r="B381" s="370"/>
      <c r="C381" s="392"/>
      <c r="H381" s="241"/>
      <c r="I381" s="241"/>
      <c r="J381" s="241"/>
      <c r="K381" s="241"/>
      <c r="L381" s="241"/>
      <c r="M381" s="241"/>
      <c r="N381" s="241"/>
      <c r="O381" s="241"/>
      <c r="P381" s="241"/>
      <c r="Q381" s="241"/>
      <c r="R381" s="241"/>
      <c r="S381" s="241"/>
      <c r="T381" s="241"/>
      <c r="U381" s="241"/>
      <c r="V381" s="241"/>
      <c r="W381" s="241"/>
      <c r="X381" s="241"/>
      <c r="Y381" s="241"/>
      <c r="Z381" s="241"/>
      <c r="AA381" s="241"/>
      <c r="AB381" s="241"/>
      <c r="AC381" s="241"/>
      <c r="AD381" s="241"/>
      <c r="AE381" s="241"/>
      <c r="AF381" s="241"/>
      <c r="AG381" s="241"/>
      <c r="AH381" s="241"/>
      <c r="AI381" s="241"/>
      <c r="AJ381" s="241"/>
      <c r="AK381" s="241"/>
      <c r="AL381" s="241"/>
      <c r="AM381" s="241"/>
      <c r="AN381" s="241"/>
      <c r="AO381" s="241"/>
      <c r="AP381" s="241"/>
      <c r="AU381" s="263"/>
      <c r="BX381" s="327"/>
    </row>
    <row r="382" spans="1:76" s="240" customFormat="1">
      <c r="A382" s="392"/>
      <c r="B382" s="370"/>
      <c r="C382" s="392"/>
      <c r="H382" s="241"/>
      <c r="I382" s="241"/>
      <c r="J382" s="241"/>
      <c r="K382" s="241"/>
      <c r="L382" s="241"/>
      <c r="M382" s="241"/>
      <c r="N382" s="241"/>
      <c r="O382" s="241"/>
      <c r="P382" s="241"/>
      <c r="Q382" s="241"/>
      <c r="R382" s="241"/>
      <c r="S382" s="241"/>
      <c r="T382" s="241"/>
      <c r="U382" s="241"/>
      <c r="V382" s="241"/>
      <c r="W382" s="241"/>
      <c r="X382" s="241"/>
      <c r="Y382" s="241"/>
      <c r="Z382" s="241"/>
      <c r="AA382" s="241"/>
      <c r="AB382" s="241"/>
      <c r="AC382" s="241"/>
      <c r="AD382" s="241"/>
      <c r="AE382" s="241"/>
      <c r="AF382" s="241"/>
      <c r="AG382" s="241"/>
      <c r="AH382" s="241"/>
      <c r="AI382" s="241"/>
      <c r="AJ382" s="241"/>
      <c r="AK382" s="241"/>
      <c r="AL382" s="241"/>
      <c r="AM382" s="241"/>
      <c r="AN382" s="241"/>
      <c r="AO382" s="241"/>
      <c r="AP382" s="241"/>
      <c r="AU382" s="263"/>
      <c r="BX382" s="327"/>
    </row>
    <row r="383" spans="1:76" s="240" customFormat="1">
      <c r="A383" s="392"/>
      <c r="B383" s="370"/>
      <c r="C383" s="392"/>
      <c r="H383" s="241"/>
      <c r="I383" s="241"/>
      <c r="J383" s="241"/>
      <c r="K383" s="241"/>
      <c r="L383" s="241"/>
      <c r="M383" s="241"/>
      <c r="N383" s="241"/>
      <c r="O383" s="241"/>
      <c r="P383" s="241"/>
      <c r="Q383" s="241"/>
      <c r="R383" s="241"/>
      <c r="S383" s="241"/>
      <c r="T383" s="241"/>
      <c r="U383" s="241"/>
      <c r="V383" s="241"/>
      <c r="W383" s="241"/>
      <c r="X383" s="241"/>
      <c r="Y383" s="241"/>
      <c r="Z383" s="241"/>
      <c r="AA383" s="241"/>
      <c r="AB383" s="241"/>
      <c r="AC383" s="241"/>
      <c r="AD383" s="241"/>
      <c r="AE383" s="241"/>
      <c r="AF383" s="241"/>
      <c r="AG383" s="241"/>
      <c r="AH383" s="241"/>
      <c r="AI383" s="241"/>
      <c r="AJ383" s="241"/>
      <c r="AK383" s="241"/>
      <c r="AL383" s="241"/>
      <c r="AM383" s="241"/>
      <c r="AN383" s="241"/>
      <c r="AO383" s="241"/>
      <c r="AP383" s="241"/>
      <c r="AU383" s="263"/>
      <c r="BX383" s="327"/>
    </row>
    <row r="384" spans="1:76" s="240" customFormat="1">
      <c r="A384" s="392"/>
      <c r="B384" s="370"/>
      <c r="C384" s="392"/>
      <c r="H384" s="241"/>
      <c r="I384" s="241"/>
      <c r="J384" s="241"/>
      <c r="K384" s="241"/>
      <c r="L384" s="241"/>
      <c r="M384" s="241"/>
      <c r="N384" s="241"/>
      <c r="O384" s="241"/>
      <c r="P384" s="241"/>
      <c r="Q384" s="241"/>
      <c r="R384" s="241"/>
      <c r="S384" s="241"/>
      <c r="T384" s="241"/>
      <c r="U384" s="241"/>
      <c r="V384" s="241"/>
      <c r="W384" s="241"/>
      <c r="X384" s="241"/>
      <c r="Y384" s="241"/>
      <c r="Z384" s="241"/>
      <c r="AA384" s="241"/>
      <c r="AB384" s="241"/>
      <c r="AC384" s="241"/>
      <c r="AD384" s="241"/>
      <c r="AE384" s="241"/>
      <c r="AF384" s="241"/>
      <c r="AG384" s="241"/>
      <c r="AH384" s="241"/>
      <c r="AI384" s="241"/>
      <c r="AJ384" s="241"/>
      <c r="AK384" s="241"/>
      <c r="AL384" s="241"/>
      <c r="AM384" s="241"/>
      <c r="AN384" s="241"/>
      <c r="AO384" s="241"/>
      <c r="AP384" s="241"/>
      <c r="AU384" s="263"/>
      <c r="BX384" s="327"/>
    </row>
    <row r="385" spans="1:76" s="240" customFormat="1">
      <c r="A385" s="392"/>
      <c r="B385" s="370"/>
      <c r="C385" s="392"/>
      <c r="H385" s="241"/>
      <c r="I385" s="241"/>
      <c r="J385" s="241"/>
      <c r="K385" s="241"/>
      <c r="L385" s="241"/>
      <c r="M385" s="241"/>
      <c r="N385" s="241"/>
      <c r="O385" s="241"/>
      <c r="P385" s="241"/>
      <c r="Q385" s="241"/>
      <c r="R385" s="241"/>
      <c r="S385" s="241"/>
      <c r="T385" s="241"/>
      <c r="U385" s="241"/>
      <c r="V385" s="241"/>
      <c r="W385" s="241"/>
      <c r="X385" s="241"/>
      <c r="Y385" s="241"/>
      <c r="Z385" s="241"/>
      <c r="AA385" s="241"/>
      <c r="AB385" s="241"/>
      <c r="AC385" s="241"/>
      <c r="AD385" s="241"/>
      <c r="AE385" s="241"/>
      <c r="AF385" s="241"/>
      <c r="AG385" s="241"/>
      <c r="AH385" s="241"/>
      <c r="AI385" s="241"/>
      <c r="AJ385" s="241"/>
      <c r="AK385" s="241"/>
      <c r="AL385" s="241"/>
      <c r="AM385" s="241"/>
      <c r="AN385" s="241"/>
      <c r="AO385" s="241"/>
      <c r="AP385" s="241"/>
      <c r="AU385" s="263"/>
      <c r="BX385" s="327"/>
    </row>
    <row r="386" spans="1:76" s="240" customFormat="1">
      <c r="A386" s="392"/>
      <c r="B386" s="370"/>
      <c r="C386" s="392"/>
      <c r="H386" s="241"/>
      <c r="I386" s="241"/>
      <c r="J386" s="241"/>
      <c r="K386" s="241"/>
      <c r="L386" s="241"/>
      <c r="M386" s="241"/>
      <c r="N386" s="241"/>
      <c r="O386" s="241"/>
      <c r="P386" s="241"/>
      <c r="Q386" s="241"/>
      <c r="R386" s="241"/>
      <c r="S386" s="241"/>
      <c r="T386" s="241"/>
      <c r="U386" s="241"/>
      <c r="V386" s="241"/>
      <c r="W386" s="241"/>
      <c r="X386" s="241"/>
      <c r="Y386" s="241"/>
      <c r="Z386" s="241"/>
      <c r="AA386" s="241"/>
      <c r="AB386" s="241"/>
      <c r="AC386" s="241"/>
      <c r="AD386" s="241"/>
      <c r="AE386" s="241"/>
      <c r="AF386" s="241"/>
      <c r="AG386" s="241"/>
      <c r="AH386" s="241"/>
      <c r="AI386" s="241"/>
      <c r="AJ386" s="241"/>
      <c r="AK386" s="241"/>
      <c r="AL386" s="241"/>
      <c r="AM386" s="241"/>
      <c r="AN386" s="241"/>
      <c r="AO386" s="241"/>
      <c r="AP386" s="241"/>
      <c r="AU386" s="263"/>
      <c r="BX386" s="327"/>
    </row>
    <row r="387" spans="1:76" s="240" customFormat="1">
      <c r="A387" s="392"/>
      <c r="B387" s="370"/>
      <c r="C387" s="392"/>
      <c r="H387" s="241"/>
      <c r="I387" s="241"/>
      <c r="J387" s="241"/>
      <c r="K387" s="241"/>
      <c r="L387" s="241"/>
      <c r="M387" s="241"/>
      <c r="N387" s="241"/>
      <c r="O387" s="241"/>
      <c r="P387" s="241"/>
      <c r="Q387" s="241"/>
      <c r="R387" s="241"/>
      <c r="S387" s="241"/>
      <c r="T387" s="241"/>
      <c r="U387" s="241"/>
      <c r="V387" s="241"/>
      <c r="W387" s="241"/>
      <c r="X387" s="241"/>
      <c r="Y387" s="241"/>
      <c r="Z387" s="241"/>
      <c r="AA387" s="241"/>
      <c r="AB387" s="241"/>
      <c r="AC387" s="241"/>
      <c r="AD387" s="241"/>
      <c r="AE387" s="241"/>
      <c r="AF387" s="241"/>
      <c r="AG387" s="241"/>
      <c r="AH387" s="241"/>
      <c r="AI387" s="241"/>
      <c r="AJ387" s="241"/>
      <c r="AK387" s="241"/>
      <c r="AL387" s="241"/>
      <c r="AM387" s="241"/>
      <c r="AN387" s="241"/>
      <c r="AO387" s="241"/>
      <c r="AP387" s="241"/>
      <c r="AU387" s="263"/>
      <c r="BX387" s="327"/>
    </row>
    <row r="388" spans="1:76" s="240" customFormat="1">
      <c r="A388" s="392"/>
      <c r="B388" s="370"/>
      <c r="C388" s="392"/>
      <c r="H388" s="241"/>
      <c r="I388" s="241"/>
      <c r="J388" s="241"/>
      <c r="K388" s="241"/>
      <c r="L388" s="241"/>
      <c r="M388" s="241"/>
      <c r="N388" s="241"/>
      <c r="O388" s="241"/>
      <c r="P388" s="241"/>
      <c r="Q388" s="241"/>
      <c r="R388" s="241"/>
      <c r="S388" s="241"/>
      <c r="T388" s="241"/>
      <c r="U388" s="241"/>
      <c r="V388" s="241"/>
      <c r="W388" s="241"/>
      <c r="X388" s="241"/>
      <c r="Y388" s="241"/>
      <c r="Z388" s="241"/>
      <c r="AA388" s="241"/>
      <c r="AB388" s="241"/>
      <c r="AC388" s="241"/>
      <c r="AD388" s="241"/>
      <c r="AE388" s="241"/>
      <c r="AF388" s="241"/>
      <c r="AG388" s="241"/>
      <c r="AH388" s="241"/>
      <c r="AI388" s="241"/>
      <c r="AJ388" s="241"/>
      <c r="AK388" s="241"/>
      <c r="AL388" s="241"/>
      <c r="AM388" s="241"/>
      <c r="AN388" s="241"/>
      <c r="AO388" s="241"/>
      <c r="AP388" s="241"/>
      <c r="AU388" s="263"/>
      <c r="BX388" s="327"/>
    </row>
    <row r="389" spans="1:76" s="240" customFormat="1">
      <c r="A389" s="392"/>
      <c r="B389" s="370"/>
      <c r="C389" s="392"/>
      <c r="H389" s="241"/>
      <c r="I389" s="241"/>
      <c r="J389" s="241"/>
      <c r="K389" s="241"/>
      <c r="L389" s="241"/>
      <c r="M389" s="241"/>
      <c r="N389" s="241"/>
      <c r="O389" s="241"/>
      <c r="P389" s="241"/>
      <c r="Q389" s="241"/>
      <c r="R389" s="241"/>
      <c r="S389" s="241"/>
      <c r="T389" s="241"/>
      <c r="U389" s="241"/>
      <c r="V389" s="241"/>
      <c r="W389" s="241"/>
      <c r="X389" s="241"/>
      <c r="Y389" s="241"/>
      <c r="Z389" s="241"/>
      <c r="AA389" s="241"/>
      <c r="AB389" s="241"/>
      <c r="AC389" s="241"/>
      <c r="AD389" s="241"/>
      <c r="AE389" s="241"/>
      <c r="AF389" s="241"/>
      <c r="AG389" s="241"/>
      <c r="AH389" s="241"/>
      <c r="AI389" s="241"/>
      <c r="AJ389" s="241"/>
      <c r="AK389" s="241"/>
      <c r="AL389" s="241"/>
      <c r="AM389" s="241"/>
      <c r="AN389" s="241"/>
      <c r="AO389" s="241"/>
      <c r="AP389" s="241"/>
      <c r="AU389" s="263"/>
      <c r="BX389" s="327"/>
    </row>
    <row r="390" spans="1:76" s="240" customFormat="1">
      <c r="A390" s="392"/>
      <c r="B390" s="370"/>
      <c r="C390" s="392"/>
      <c r="H390" s="241"/>
      <c r="I390" s="241"/>
      <c r="J390" s="241"/>
      <c r="K390" s="241"/>
      <c r="L390" s="241"/>
      <c r="M390" s="241"/>
      <c r="N390" s="241"/>
      <c r="O390" s="241"/>
      <c r="P390" s="241"/>
      <c r="Q390" s="241"/>
      <c r="R390" s="241"/>
      <c r="S390" s="241"/>
      <c r="T390" s="241"/>
      <c r="U390" s="241"/>
      <c r="V390" s="241"/>
      <c r="W390" s="241"/>
      <c r="X390" s="241"/>
      <c r="Y390" s="241"/>
      <c r="Z390" s="241"/>
      <c r="AA390" s="241"/>
      <c r="AB390" s="241"/>
      <c r="AC390" s="241"/>
      <c r="AD390" s="241"/>
      <c r="AE390" s="241"/>
      <c r="AF390" s="241"/>
      <c r="AG390" s="241"/>
      <c r="AH390" s="241"/>
      <c r="AI390" s="241"/>
      <c r="AJ390" s="241"/>
      <c r="AK390" s="241"/>
      <c r="AL390" s="241"/>
      <c r="AM390" s="241"/>
      <c r="AN390" s="241"/>
      <c r="AO390" s="241"/>
      <c r="AP390" s="241"/>
      <c r="AU390" s="263"/>
      <c r="BX390" s="327"/>
    </row>
    <row r="391" spans="1:76" s="240" customFormat="1">
      <c r="A391" s="392"/>
      <c r="B391" s="370"/>
      <c r="C391" s="392"/>
      <c r="H391" s="241"/>
      <c r="I391" s="241"/>
      <c r="J391" s="241"/>
      <c r="K391" s="241"/>
      <c r="L391" s="241"/>
      <c r="M391" s="241"/>
      <c r="N391" s="241"/>
      <c r="O391" s="241"/>
      <c r="P391" s="241"/>
      <c r="Q391" s="241"/>
      <c r="R391" s="241"/>
      <c r="S391" s="241"/>
      <c r="T391" s="241"/>
      <c r="U391" s="241"/>
      <c r="V391" s="241"/>
      <c r="W391" s="241"/>
      <c r="X391" s="241"/>
      <c r="Y391" s="241"/>
      <c r="Z391" s="241"/>
      <c r="AA391" s="241"/>
      <c r="AB391" s="241"/>
      <c r="AC391" s="241"/>
      <c r="AD391" s="241"/>
      <c r="AE391" s="241"/>
      <c r="AF391" s="241"/>
      <c r="AG391" s="241"/>
      <c r="AH391" s="241"/>
      <c r="AI391" s="241"/>
      <c r="AJ391" s="241"/>
      <c r="AK391" s="241"/>
      <c r="AL391" s="241"/>
      <c r="AM391" s="241"/>
      <c r="AN391" s="241"/>
      <c r="AO391" s="241"/>
      <c r="AP391" s="241"/>
      <c r="AU391" s="263"/>
      <c r="BX391" s="327"/>
    </row>
    <row r="392" spans="1:76" s="240" customFormat="1">
      <c r="A392" s="392"/>
      <c r="B392" s="370"/>
      <c r="C392" s="392"/>
      <c r="H392" s="241"/>
      <c r="I392" s="241"/>
      <c r="J392" s="241"/>
      <c r="K392" s="241"/>
      <c r="L392" s="241"/>
      <c r="M392" s="241"/>
      <c r="N392" s="241"/>
      <c r="O392" s="241"/>
      <c r="P392" s="241"/>
      <c r="Q392" s="241"/>
      <c r="R392" s="241"/>
      <c r="S392" s="241"/>
      <c r="T392" s="241"/>
      <c r="U392" s="241"/>
      <c r="V392" s="241"/>
      <c r="W392" s="241"/>
      <c r="X392" s="241"/>
      <c r="Y392" s="241"/>
      <c r="Z392" s="241"/>
      <c r="AA392" s="241"/>
      <c r="AB392" s="241"/>
      <c r="AC392" s="241"/>
      <c r="AD392" s="241"/>
      <c r="AE392" s="241"/>
      <c r="AF392" s="241"/>
      <c r="AG392" s="241"/>
      <c r="AH392" s="241"/>
      <c r="AI392" s="241"/>
      <c r="AJ392" s="241"/>
      <c r="AK392" s="241"/>
      <c r="AL392" s="241"/>
      <c r="AM392" s="241"/>
      <c r="AN392" s="241"/>
      <c r="AO392" s="241"/>
      <c r="AP392" s="241"/>
      <c r="AU392" s="263"/>
      <c r="BX392" s="327"/>
    </row>
    <row r="393" spans="1:76" s="240" customFormat="1">
      <c r="A393" s="392"/>
      <c r="B393" s="370"/>
      <c r="C393" s="392"/>
      <c r="H393" s="241"/>
      <c r="I393" s="241"/>
      <c r="J393" s="241"/>
      <c r="K393" s="241"/>
      <c r="L393" s="241"/>
      <c r="M393" s="241"/>
      <c r="N393" s="241"/>
      <c r="O393" s="241"/>
      <c r="P393" s="241"/>
      <c r="Q393" s="241"/>
      <c r="R393" s="241"/>
      <c r="S393" s="241"/>
      <c r="T393" s="241"/>
      <c r="U393" s="241"/>
      <c r="V393" s="241"/>
      <c r="W393" s="241"/>
      <c r="X393" s="241"/>
      <c r="Y393" s="241"/>
      <c r="Z393" s="241"/>
      <c r="AA393" s="241"/>
      <c r="AB393" s="241"/>
      <c r="AC393" s="241"/>
      <c r="AD393" s="241"/>
      <c r="AE393" s="241"/>
      <c r="AF393" s="241"/>
      <c r="AG393" s="241"/>
      <c r="AH393" s="241"/>
      <c r="AI393" s="241"/>
      <c r="AJ393" s="241"/>
      <c r="AK393" s="241"/>
      <c r="AL393" s="241"/>
      <c r="AM393" s="241"/>
      <c r="AN393" s="241"/>
      <c r="AO393" s="241"/>
      <c r="AP393" s="241"/>
      <c r="AU393" s="263"/>
      <c r="BX393" s="327"/>
    </row>
    <row r="394" spans="1:76" s="240" customFormat="1">
      <c r="A394" s="392"/>
      <c r="B394" s="370"/>
      <c r="C394" s="392"/>
      <c r="H394" s="241"/>
      <c r="I394" s="241"/>
      <c r="J394" s="241"/>
      <c r="K394" s="241"/>
      <c r="L394" s="241"/>
      <c r="M394" s="241"/>
      <c r="N394" s="241"/>
      <c r="O394" s="241"/>
      <c r="P394" s="241"/>
      <c r="Q394" s="241"/>
      <c r="R394" s="241"/>
      <c r="S394" s="241"/>
      <c r="T394" s="241"/>
      <c r="U394" s="241"/>
      <c r="V394" s="241"/>
      <c r="W394" s="241"/>
      <c r="X394" s="241"/>
      <c r="Y394" s="241"/>
      <c r="Z394" s="241"/>
      <c r="AA394" s="241"/>
      <c r="AB394" s="241"/>
      <c r="AC394" s="241"/>
      <c r="AD394" s="241"/>
      <c r="AE394" s="241"/>
      <c r="AF394" s="241"/>
      <c r="AG394" s="241"/>
      <c r="AH394" s="241"/>
      <c r="AI394" s="241"/>
      <c r="AJ394" s="241"/>
      <c r="AK394" s="241"/>
      <c r="AL394" s="241"/>
      <c r="AM394" s="241"/>
      <c r="AN394" s="241"/>
      <c r="AO394" s="241"/>
      <c r="AP394" s="241"/>
      <c r="AU394" s="263"/>
      <c r="BX394" s="327"/>
    </row>
    <row r="395" spans="1:76" s="240" customFormat="1">
      <c r="A395" s="392"/>
      <c r="B395" s="370"/>
      <c r="C395" s="392"/>
      <c r="H395" s="241"/>
      <c r="I395" s="241"/>
      <c r="J395" s="241"/>
      <c r="K395" s="241"/>
      <c r="L395" s="241"/>
      <c r="M395" s="241"/>
      <c r="N395" s="241"/>
      <c r="O395" s="241"/>
      <c r="P395" s="241"/>
      <c r="Q395" s="241"/>
      <c r="R395" s="241"/>
      <c r="S395" s="241"/>
      <c r="T395" s="241"/>
      <c r="U395" s="241"/>
      <c r="V395" s="241"/>
      <c r="W395" s="241"/>
      <c r="X395" s="241"/>
      <c r="Y395" s="241"/>
      <c r="Z395" s="241"/>
      <c r="AA395" s="241"/>
      <c r="AB395" s="241"/>
      <c r="AC395" s="241"/>
      <c r="AD395" s="241"/>
      <c r="AE395" s="241"/>
      <c r="AF395" s="241"/>
      <c r="AG395" s="241"/>
      <c r="AH395" s="241"/>
      <c r="AI395" s="241"/>
      <c r="AJ395" s="241"/>
      <c r="AK395" s="241"/>
      <c r="AL395" s="241"/>
      <c r="AM395" s="241"/>
      <c r="AN395" s="241"/>
      <c r="AO395" s="241"/>
      <c r="AP395" s="241"/>
      <c r="AU395" s="263"/>
      <c r="BX395" s="327"/>
    </row>
    <row r="396" spans="1:76" s="240" customFormat="1">
      <c r="A396" s="392"/>
      <c r="B396" s="370"/>
      <c r="C396" s="392"/>
      <c r="H396" s="241"/>
      <c r="I396" s="241"/>
      <c r="J396" s="241"/>
      <c r="K396" s="241"/>
      <c r="L396" s="241"/>
      <c r="M396" s="241"/>
      <c r="N396" s="241"/>
      <c r="O396" s="241"/>
      <c r="P396" s="241"/>
      <c r="Q396" s="241"/>
      <c r="R396" s="241"/>
      <c r="S396" s="241"/>
      <c r="T396" s="241"/>
      <c r="U396" s="241"/>
      <c r="V396" s="241"/>
      <c r="W396" s="241"/>
      <c r="X396" s="241"/>
      <c r="Y396" s="241"/>
      <c r="Z396" s="241"/>
      <c r="AA396" s="241"/>
      <c r="AB396" s="241"/>
      <c r="AC396" s="241"/>
      <c r="AD396" s="241"/>
      <c r="AE396" s="241"/>
      <c r="AF396" s="241"/>
      <c r="AG396" s="241"/>
      <c r="AH396" s="241"/>
      <c r="AI396" s="241"/>
      <c r="AJ396" s="241"/>
      <c r="AK396" s="241"/>
      <c r="AL396" s="241"/>
      <c r="AM396" s="241"/>
      <c r="AN396" s="241"/>
      <c r="AO396" s="241"/>
      <c r="AP396" s="241"/>
      <c r="AU396" s="263"/>
      <c r="BX396" s="327"/>
    </row>
    <row r="397" spans="1:76" s="240" customFormat="1">
      <c r="A397" s="392"/>
      <c r="B397" s="370"/>
      <c r="C397" s="392"/>
      <c r="H397" s="241"/>
      <c r="I397" s="241"/>
      <c r="J397" s="241"/>
      <c r="K397" s="241"/>
      <c r="L397" s="241"/>
      <c r="M397" s="241"/>
      <c r="N397" s="241"/>
      <c r="O397" s="241"/>
      <c r="P397" s="241"/>
      <c r="Q397" s="241"/>
      <c r="R397" s="241"/>
      <c r="S397" s="241"/>
      <c r="T397" s="241"/>
      <c r="U397" s="241"/>
      <c r="V397" s="241"/>
      <c r="W397" s="241"/>
      <c r="X397" s="241"/>
      <c r="Y397" s="241"/>
      <c r="Z397" s="241"/>
      <c r="AA397" s="241"/>
      <c r="AB397" s="241"/>
      <c r="AC397" s="241"/>
      <c r="AD397" s="241"/>
      <c r="AE397" s="241"/>
      <c r="AF397" s="241"/>
      <c r="AG397" s="241"/>
      <c r="AH397" s="241"/>
      <c r="AI397" s="241"/>
      <c r="AJ397" s="241"/>
      <c r="AK397" s="241"/>
      <c r="AL397" s="241"/>
      <c r="AM397" s="241"/>
      <c r="AN397" s="241"/>
      <c r="AO397" s="241"/>
      <c r="AP397" s="241"/>
      <c r="AU397" s="263"/>
      <c r="BX397" s="327"/>
    </row>
    <row r="398" spans="1:76" s="240" customFormat="1">
      <c r="A398" s="392"/>
      <c r="B398" s="370"/>
      <c r="C398" s="392"/>
      <c r="H398" s="241"/>
      <c r="I398" s="241"/>
      <c r="J398" s="241"/>
      <c r="K398" s="241"/>
      <c r="L398" s="241"/>
      <c r="M398" s="241"/>
      <c r="N398" s="241"/>
      <c r="O398" s="241"/>
      <c r="P398" s="241"/>
      <c r="Q398" s="241"/>
      <c r="R398" s="241"/>
      <c r="S398" s="241"/>
      <c r="T398" s="241"/>
      <c r="U398" s="241"/>
      <c r="V398" s="241"/>
      <c r="W398" s="241"/>
      <c r="X398" s="241"/>
      <c r="Y398" s="241"/>
      <c r="Z398" s="241"/>
      <c r="AA398" s="241"/>
      <c r="AB398" s="241"/>
      <c r="AC398" s="241"/>
      <c r="AD398" s="241"/>
      <c r="AE398" s="241"/>
      <c r="AF398" s="241"/>
      <c r="AG398" s="241"/>
      <c r="AH398" s="241"/>
      <c r="AI398" s="241"/>
      <c r="AJ398" s="241"/>
      <c r="AK398" s="241"/>
      <c r="AL398" s="241"/>
      <c r="AM398" s="241"/>
      <c r="AN398" s="241"/>
      <c r="AO398" s="241"/>
      <c r="AP398" s="241"/>
      <c r="AU398" s="263"/>
      <c r="BX398" s="327"/>
    </row>
    <row r="399" spans="1:76" s="240" customFormat="1">
      <c r="A399" s="392"/>
      <c r="B399" s="370"/>
      <c r="C399" s="392"/>
      <c r="H399" s="241"/>
      <c r="I399" s="241"/>
      <c r="J399" s="241"/>
      <c r="K399" s="241"/>
      <c r="L399" s="241"/>
      <c r="M399" s="241"/>
      <c r="N399" s="241"/>
      <c r="O399" s="241"/>
      <c r="P399" s="241"/>
      <c r="Q399" s="241"/>
      <c r="R399" s="241"/>
      <c r="S399" s="241"/>
      <c r="T399" s="241"/>
      <c r="U399" s="241"/>
      <c r="V399" s="241"/>
      <c r="W399" s="241"/>
      <c r="X399" s="241"/>
      <c r="Y399" s="241"/>
      <c r="Z399" s="241"/>
      <c r="AA399" s="241"/>
      <c r="AB399" s="241"/>
      <c r="AC399" s="241"/>
      <c r="AD399" s="241"/>
      <c r="AE399" s="241"/>
      <c r="AF399" s="241"/>
      <c r="AG399" s="241"/>
      <c r="AH399" s="241"/>
      <c r="AI399" s="241"/>
      <c r="AJ399" s="241"/>
      <c r="AK399" s="241"/>
      <c r="AL399" s="241"/>
      <c r="AM399" s="241"/>
      <c r="AN399" s="241"/>
      <c r="AO399" s="241"/>
      <c r="AP399" s="241"/>
      <c r="AU399" s="263"/>
      <c r="BX399" s="327"/>
    </row>
    <row r="400" spans="1:76" s="240" customFormat="1">
      <c r="A400" s="392"/>
      <c r="B400" s="370"/>
      <c r="C400" s="392"/>
      <c r="H400" s="241"/>
      <c r="I400" s="241"/>
      <c r="J400" s="241"/>
      <c r="K400" s="241"/>
      <c r="L400" s="241"/>
      <c r="M400" s="241"/>
      <c r="N400" s="241"/>
      <c r="O400" s="241"/>
      <c r="P400" s="241"/>
      <c r="Q400" s="241"/>
      <c r="R400" s="241"/>
      <c r="S400" s="241"/>
      <c r="T400" s="241"/>
      <c r="U400" s="241"/>
      <c r="V400" s="241"/>
      <c r="W400" s="241"/>
      <c r="X400" s="241"/>
      <c r="Y400" s="241"/>
      <c r="Z400" s="241"/>
      <c r="AA400" s="241"/>
      <c r="AB400" s="241"/>
      <c r="AC400" s="241"/>
      <c r="AD400" s="241"/>
      <c r="AE400" s="241"/>
      <c r="AF400" s="241"/>
      <c r="AG400" s="241"/>
      <c r="AH400" s="241"/>
      <c r="AI400" s="241"/>
      <c r="AJ400" s="241"/>
      <c r="AK400" s="241"/>
      <c r="AL400" s="241"/>
      <c r="AM400" s="241"/>
      <c r="AN400" s="241"/>
      <c r="AO400" s="241"/>
      <c r="AP400" s="241"/>
      <c r="AU400" s="263"/>
      <c r="BX400" s="327"/>
    </row>
    <row r="401" spans="1:76" s="240" customFormat="1">
      <c r="A401" s="392"/>
      <c r="B401" s="370"/>
      <c r="C401" s="392"/>
      <c r="H401" s="241"/>
      <c r="I401" s="241"/>
      <c r="J401" s="241"/>
      <c r="K401" s="241"/>
      <c r="L401" s="241"/>
      <c r="M401" s="241"/>
      <c r="N401" s="241"/>
      <c r="O401" s="241"/>
      <c r="P401" s="241"/>
      <c r="Q401" s="241"/>
      <c r="R401" s="241"/>
      <c r="S401" s="241"/>
      <c r="T401" s="241"/>
      <c r="U401" s="241"/>
      <c r="V401" s="241"/>
      <c r="W401" s="241"/>
      <c r="X401" s="241"/>
      <c r="Y401" s="241"/>
      <c r="Z401" s="241"/>
      <c r="AA401" s="241"/>
      <c r="AB401" s="241"/>
      <c r="AC401" s="241"/>
      <c r="AD401" s="241"/>
      <c r="AE401" s="241"/>
      <c r="AF401" s="241"/>
      <c r="AG401" s="241"/>
      <c r="AH401" s="241"/>
      <c r="AI401" s="241"/>
      <c r="AJ401" s="241"/>
      <c r="AK401" s="241"/>
      <c r="AL401" s="241"/>
      <c r="AM401" s="241"/>
      <c r="AN401" s="241"/>
      <c r="AO401" s="241"/>
      <c r="AP401" s="241"/>
      <c r="AU401" s="263"/>
      <c r="BX401" s="327"/>
    </row>
    <row r="402" spans="1:76" s="240" customFormat="1">
      <c r="A402" s="392"/>
      <c r="B402" s="370"/>
      <c r="C402" s="392"/>
      <c r="H402" s="241"/>
      <c r="I402" s="241"/>
      <c r="J402" s="241"/>
      <c r="K402" s="241"/>
      <c r="L402" s="241"/>
      <c r="M402" s="241"/>
      <c r="N402" s="241"/>
      <c r="O402" s="241"/>
      <c r="P402" s="241"/>
      <c r="Q402" s="241"/>
      <c r="R402" s="241"/>
      <c r="S402" s="241"/>
      <c r="T402" s="241"/>
      <c r="U402" s="241"/>
      <c r="V402" s="241"/>
      <c r="W402" s="241"/>
      <c r="X402" s="241"/>
      <c r="Y402" s="241"/>
      <c r="Z402" s="241"/>
      <c r="AA402" s="241"/>
      <c r="AB402" s="241"/>
      <c r="AC402" s="241"/>
      <c r="AD402" s="241"/>
      <c r="AE402" s="241"/>
      <c r="AF402" s="241"/>
      <c r="AG402" s="241"/>
      <c r="AH402" s="241"/>
      <c r="AI402" s="241"/>
      <c r="AJ402" s="241"/>
      <c r="AK402" s="241"/>
      <c r="AL402" s="241"/>
      <c r="AM402" s="241"/>
      <c r="AN402" s="241"/>
      <c r="AO402" s="241"/>
      <c r="AP402" s="241"/>
      <c r="AU402" s="263"/>
      <c r="BX402" s="327"/>
    </row>
    <row r="403" spans="1:76" s="240" customFormat="1">
      <c r="A403" s="392"/>
      <c r="B403" s="370"/>
      <c r="C403" s="392"/>
      <c r="H403" s="241"/>
      <c r="I403" s="241"/>
      <c r="J403" s="241"/>
      <c r="K403" s="241"/>
      <c r="L403" s="241"/>
      <c r="M403" s="241"/>
      <c r="N403" s="241"/>
      <c r="O403" s="241"/>
      <c r="P403" s="241"/>
      <c r="Q403" s="241"/>
      <c r="R403" s="241"/>
      <c r="S403" s="241"/>
      <c r="T403" s="241"/>
      <c r="U403" s="241"/>
      <c r="V403" s="241"/>
      <c r="W403" s="241"/>
      <c r="X403" s="241"/>
      <c r="Y403" s="241"/>
      <c r="Z403" s="241"/>
      <c r="AA403" s="241"/>
      <c r="AB403" s="241"/>
      <c r="AC403" s="241"/>
      <c r="AD403" s="241"/>
      <c r="AE403" s="241"/>
      <c r="AF403" s="241"/>
      <c r="AG403" s="241"/>
      <c r="AH403" s="241"/>
      <c r="AI403" s="241"/>
      <c r="AJ403" s="241"/>
      <c r="AK403" s="241"/>
      <c r="AL403" s="241"/>
      <c r="AM403" s="241"/>
      <c r="AN403" s="241"/>
      <c r="AO403" s="241"/>
      <c r="AP403" s="241"/>
      <c r="AU403" s="263"/>
      <c r="BX403" s="327"/>
    </row>
    <row r="404" spans="1:76" s="240" customFormat="1">
      <c r="A404" s="392"/>
      <c r="B404" s="370"/>
      <c r="C404" s="392"/>
      <c r="H404" s="241"/>
      <c r="I404" s="241"/>
      <c r="J404" s="241"/>
      <c r="K404" s="241"/>
      <c r="L404" s="241"/>
      <c r="M404" s="241"/>
      <c r="N404" s="241"/>
      <c r="O404" s="241"/>
      <c r="P404" s="241"/>
      <c r="Q404" s="241"/>
      <c r="R404" s="241"/>
      <c r="S404" s="241"/>
      <c r="T404" s="241"/>
      <c r="U404" s="241"/>
      <c r="V404" s="241"/>
      <c r="W404" s="241"/>
      <c r="X404" s="241"/>
      <c r="Y404" s="241"/>
      <c r="Z404" s="241"/>
      <c r="AA404" s="241"/>
      <c r="AB404" s="241"/>
      <c r="AC404" s="241"/>
      <c r="AD404" s="241"/>
      <c r="AE404" s="241"/>
      <c r="AF404" s="241"/>
      <c r="AG404" s="241"/>
      <c r="AH404" s="241"/>
      <c r="AI404" s="241"/>
      <c r="AJ404" s="241"/>
      <c r="AK404" s="241"/>
      <c r="AL404" s="241"/>
      <c r="AM404" s="241"/>
      <c r="AN404" s="241"/>
      <c r="AO404" s="241"/>
      <c r="AP404" s="241"/>
      <c r="AU404" s="263"/>
      <c r="BX404" s="327"/>
    </row>
    <row r="405" spans="1:76" s="240" customFormat="1">
      <c r="A405" s="392"/>
      <c r="B405" s="370"/>
      <c r="C405" s="392"/>
      <c r="H405" s="241"/>
      <c r="I405" s="241"/>
      <c r="J405" s="241"/>
      <c r="K405" s="241"/>
      <c r="L405" s="241"/>
      <c r="M405" s="241"/>
      <c r="N405" s="241"/>
      <c r="O405" s="241"/>
      <c r="P405" s="241"/>
      <c r="Q405" s="241"/>
      <c r="R405" s="241"/>
      <c r="S405" s="241"/>
      <c r="T405" s="241"/>
      <c r="U405" s="241"/>
      <c r="V405" s="241"/>
      <c r="W405" s="241"/>
      <c r="X405" s="241"/>
      <c r="Y405" s="241"/>
      <c r="Z405" s="241"/>
      <c r="AA405" s="241"/>
      <c r="AB405" s="241"/>
      <c r="AC405" s="241"/>
      <c r="AD405" s="241"/>
      <c r="AE405" s="241"/>
      <c r="AF405" s="241"/>
      <c r="AG405" s="241"/>
      <c r="AH405" s="241"/>
      <c r="AI405" s="241"/>
      <c r="AJ405" s="241"/>
      <c r="AK405" s="241"/>
      <c r="AL405" s="241"/>
      <c r="AM405" s="241"/>
      <c r="AN405" s="241"/>
      <c r="AO405" s="241"/>
      <c r="AP405" s="241"/>
      <c r="AU405" s="263"/>
      <c r="BX405" s="327"/>
    </row>
    <row r="406" spans="1:76" s="240" customFormat="1">
      <c r="A406" s="392"/>
      <c r="B406" s="370"/>
      <c r="C406" s="392"/>
      <c r="H406" s="241"/>
      <c r="I406" s="241"/>
      <c r="J406" s="241"/>
      <c r="K406" s="241"/>
      <c r="L406" s="241"/>
      <c r="M406" s="241"/>
      <c r="N406" s="241"/>
      <c r="O406" s="241"/>
      <c r="P406" s="241"/>
      <c r="Q406" s="241"/>
      <c r="R406" s="241"/>
      <c r="S406" s="241"/>
      <c r="T406" s="241"/>
      <c r="U406" s="241"/>
      <c r="V406" s="241"/>
      <c r="W406" s="241"/>
      <c r="X406" s="241"/>
      <c r="Y406" s="241"/>
      <c r="Z406" s="241"/>
      <c r="AA406" s="241"/>
      <c r="AB406" s="241"/>
      <c r="AC406" s="241"/>
      <c r="AD406" s="241"/>
      <c r="AE406" s="241"/>
      <c r="AF406" s="241"/>
      <c r="AG406" s="241"/>
      <c r="AH406" s="241"/>
      <c r="AI406" s="241"/>
      <c r="AJ406" s="241"/>
      <c r="AK406" s="241"/>
      <c r="AL406" s="241"/>
      <c r="AM406" s="241"/>
      <c r="AN406" s="241"/>
      <c r="AO406" s="241"/>
      <c r="AP406" s="241"/>
      <c r="AU406" s="263"/>
      <c r="BX406" s="327"/>
    </row>
    <row r="407" spans="1:76" s="240" customFormat="1">
      <c r="A407" s="392"/>
      <c r="B407" s="370"/>
      <c r="C407" s="392"/>
      <c r="H407" s="241"/>
      <c r="I407" s="241"/>
      <c r="J407" s="241"/>
      <c r="K407" s="241"/>
      <c r="L407" s="241"/>
      <c r="M407" s="241"/>
      <c r="N407" s="241"/>
      <c r="O407" s="241"/>
      <c r="P407" s="241"/>
      <c r="Q407" s="241"/>
      <c r="R407" s="241"/>
      <c r="S407" s="241"/>
      <c r="T407" s="241"/>
      <c r="U407" s="241"/>
      <c r="V407" s="241"/>
      <c r="W407" s="241"/>
      <c r="X407" s="241"/>
      <c r="Y407" s="241"/>
      <c r="Z407" s="241"/>
      <c r="AA407" s="241"/>
      <c r="AB407" s="241"/>
      <c r="AC407" s="241"/>
      <c r="AD407" s="241"/>
      <c r="AE407" s="241"/>
      <c r="AF407" s="241"/>
      <c r="AG407" s="241"/>
      <c r="AH407" s="241"/>
      <c r="AI407" s="241"/>
      <c r="AJ407" s="241"/>
      <c r="AK407" s="241"/>
      <c r="AL407" s="241"/>
      <c r="AM407" s="241"/>
      <c r="AN407" s="241"/>
      <c r="AO407" s="241"/>
      <c r="AP407" s="241"/>
      <c r="AU407" s="263"/>
      <c r="BX407" s="327"/>
    </row>
    <row r="408" spans="1:76" s="240" customFormat="1">
      <c r="A408" s="392"/>
      <c r="B408" s="370"/>
      <c r="C408" s="392"/>
      <c r="H408" s="241"/>
      <c r="I408" s="241"/>
      <c r="J408" s="241"/>
      <c r="K408" s="241"/>
      <c r="L408" s="241"/>
      <c r="M408" s="241"/>
      <c r="N408" s="241"/>
      <c r="O408" s="241"/>
      <c r="P408" s="241"/>
      <c r="Q408" s="241"/>
      <c r="R408" s="241"/>
      <c r="S408" s="241"/>
      <c r="T408" s="241"/>
      <c r="U408" s="241"/>
      <c r="V408" s="241"/>
      <c r="W408" s="241"/>
      <c r="X408" s="241"/>
      <c r="Y408" s="241"/>
      <c r="Z408" s="241"/>
      <c r="AA408" s="241"/>
      <c r="AB408" s="241"/>
      <c r="AC408" s="241"/>
      <c r="AD408" s="241"/>
      <c r="AE408" s="241"/>
      <c r="AF408" s="241"/>
      <c r="AG408" s="241"/>
      <c r="AH408" s="241"/>
      <c r="AI408" s="241"/>
      <c r="AJ408" s="241"/>
      <c r="AK408" s="241"/>
      <c r="AL408" s="241"/>
      <c r="AM408" s="241"/>
      <c r="AN408" s="241"/>
      <c r="AO408" s="241"/>
      <c r="AP408" s="241"/>
      <c r="AU408" s="263"/>
      <c r="BX408" s="327"/>
    </row>
    <row r="409" spans="1:76" s="240" customFormat="1">
      <c r="A409" s="392"/>
      <c r="B409" s="370"/>
      <c r="C409" s="392"/>
      <c r="H409" s="241"/>
      <c r="I409" s="241"/>
      <c r="J409" s="241"/>
      <c r="K409" s="241"/>
      <c r="L409" s="241"/>
      <c r="M409" s="241"/>
      <c r="N409" s="241"/>
      <c r="O409" s="241"/>
      <c r="P409" s="241"/>
      <c r="Q409" s="241"/>
      <c r="R409" s="241"/>
      <c r="S409" s="241"/>
      <c r="T409" s="241"/>
      <c r="U409" s="241"/>
      <c r="V409" s="241"/>
      <c r="W409" s="241"/>
      <c r="X409" s="241"/>
      <c r="Y409" s="241"/>
      <c r="Z409" s="241"/>
      <c r="AA409" s="241"/>
      <c r="AB409" s="241"/>
      <c r="AC409" s="241"/>
      <c r="AD409" s="241"/>
      <c r="AE409" s="241"/>
      <c r="AF409" s="241"/>
      <c r="AG409" s="241"/>
      <c r="AH409" s="241"/>
      <c r="AI409" s="241"/>
      <c r="AJ409" s="241"/>
      <c r="AK409" s="241"/>
      <c r="AL409" s="241"/>
      <c r="AM409" s="241"/>
      <c r="AN409" s="241"/>
      <c r="AO409" s="241"/>
      <c r="AP409" s="241"/>
      <c r="AU409" s="263"/>
      <c r="BX409" s="327"/>
    </row>
    <row r="410" spans="1:76" s="240" customFormat="1">
      <c r="A410" s="392"/>
      <c r="B410" s="370"/>
      <c r="C410" s="392"/>
      <c r="H410" s="241"/>
      <c r="I410" s="241"/>
      <c r="J410" s="241"/>
      <c r="K410" s="241"/>
      <c r="L410" s="241"/>
      <c r="M410" s="241"/>
      <c r="N410" s="241"/>
      <c r="O410" s="241"/>
      <c r="P410" s="241"/>
      <c r="Q410" s="241"/>
      <c r="R410" s="241"/>
      <c r="S410" s="241"/>
      <c r="T410" s="241"/>
      <c r="U410" s="241"/>
      <c r="V410" s="241"/>
      <c r="W410" s="241"/>
      <c r="X410" s="241"/>
      <c r="Y410" s="241"/>
      <c r="Z410" s="241"/>
      <c r="AA410" s="241"/>
      <c r="AB410" s="241"/>
      <c r="AC410" s="241"/>
      <c r="AD410" s="241"/>
      <c r="AE410" s="241"/>
      <c r="AF410" s="241"/>
      <c r="AG410" s="241"/>
      <c r="AH410" s="241"/>
      <c r="AI410" s="241"/>
      <c r="AJ410" s="241"/>
      <c r="AK410" s="241"/>
      <c r="AL410" s="241"/>
      <c r="AM410" s="241"/>
      <c r="AN410" s="241"/>
      <c r="AO410" s="241"/>
      <c r="AP410" s="241"/>
      <c r="AU410" s="263"/>
      <c r="BX410" s="327"/>
    </row>
    <row r="411" spans="1:76" s="240" customFormat="1">
      <c r="A411" s="392"/>
      <c r="B411" s="370"/>
      <c r="C411" s="392"/>
      <c r="H411" s="241"/>
      <c r="I411" s="241"/>
      <c r="J411" s="241"/>
      <c r="K411" s="241"/>
      <c r="L411" s="241"/>
      <c r="M411" s="241"/>
      <c r="N411" s="241"/>
      <c r="O411" s="241"/>
      <c r="P411" s="241"/>
      <c r="Q411" s="241"/>
      <c r="R411" s="241"/>
      <c r="S411" s="241"/>
      <c r="T411" s="241"/>
      <c r="U411" s="241"/>
      <c r="V411" s="241"/>
      <c r="W411" s="241"/>
      <c r="X411" s="241"/>
      <c r="Y411" s="241"/>
      <c r="Z411" s="241"/>
      <c r="AA411" s="241"/>
      <c r="AB411" s="241"/>
      <c r="AC411" s="241"/>
      <c r="AD411" s="241"/>
      <c r="AE411" s="241"/>
      <c r="AF411" s="241"/>
      <c r="AG411" s="241"/>
      <c r="AH411" s="241"/>
      <c r="AI411" s="241"/>
      <c r="AJ411" s="241"/>
      <c r="AK411" s="241"/>
      <c r="AL411" s="241"/>
      <c r="AM411" s="241"/>
      <c r="AN411" s="241"/>
      <c r="AO411" s="241"/>
      <c r="AP411" s="241"/>
      <c r="AU411" s="263"/>
      <c r="BX411" s="327"/>
    </row>
    <row r="412" spans="1:76" s="240" customFormat="1">
      <c r="A412" s="392"/>
      <c r="B412" s="370"/>
      <c r="C412" s="392"/>
      <c r="H412" s="241"/>
      <c r="I412" s="241"/>
      <c r="J412" s="241"/>
      <c r="K412" s="241"/>
      <c r="L412" s="241"/>
      <c r="M412" s="241"/>
      <c r="N412" s="241"/>
      <c r="O412" s="241"/>
      <c r="P412" s="241"/>
      <c r="Q412" s="241"/>
      <c r="R412" s="241"/>
      <c r="S412" s="241"/>
      <c r="T412" s="241"/>
      <c r="U412" s="241"/>
      <c r="V412" s="241"/>
      <c r="W412" s="241"/>
      <c r="X412" s="241"/>
      <c r="Y412" s="241"/>
      <c r="Z412" s="241"/>
      <c r="AA412" s="241"/>
      <c r="AB412" s="241"/>
      <c r="AC412" s="241"/>
      <c r="AD412" s="241"/>
      <c r="AE412" s="241"/>
      <c r="AF412" s="241"/>
      <c r="AG412" s="241"/>
      <c r="AH412" s="241"/>
      <c r="AI412" s="241"/>
      <c r="AJ412" s="241"/>
      <c r="AK412" s="241"/>
      <c r="AL412" s="241"/>
      <c r="AM412" s="241"/>
      <c r="AN412" s="241"/>
      <c r="AO412" s="241"/>
      <c r="AP412" s="241"/>
      <c r="AU412" s="263"/>
      <c r="BX412" s="327"/>
    </row>
    <row r="413" spans="1:76" s="240" customFormat="1">
      <c r="A413" s="392"/>
      <c r="B413" s="370"/>
      <c r="C413" s="392"/>
      <c r="H413" s="241"/>
      <c r="I413" s="241"/>
      <c r="J413" s="241"/>
      <c r="K413" s="241"/>
      <c r="L413" s="241"/>
      <c r="M413" s="241"/>
      <c r="N413" s="241"/>
      <c r="O413" s="241"/>
      <c r="P413" s="241"/>
      <c r="Q413" s="241"/>
      <c r="R413" s="241"/>
      <c r="S413" s="241"/>
      <c r="T413" s="241"/>
      <c r="U413" s="241"/>
      <c r="V413" s="241"/>
      <c r="W413" s="241"/>
      <c r="X413" s="241"/>
      <c r="Y413" s="241"/>
      <c r="Z413" s="241"/>
      <c r="AA413" s="241"/>
      <c r="AB413" s="241"/>
      <c r="AC413" s="241"/>
      <c r="AD413" s="241"/>
      <c r="AE413" s="241"/>
      <c r="AF413" s="241"/>
      <c r="AG413" s="241"/>
      <c r="AH413" s="241"/>
      <c r="AI413" s="241"/>
      <c r="AJ413" s="241"/>
      <c r="AK413" s="241"/>
      <c r="AL413" s="241"/>
      <c r="AM413" s="241"/>
      <c r="AN413" s="241"/>
      <c r="AO413" s="241"/>
      <c r="AP413" s="241"/>
      <c r="AU413" s="263"/>
      <c r="BX413" s="327"/>
    </row>
    <row r="414" spans="1:76" s="240" customFormat="1">
      <c r="A414" s="392"/>
      <c r="B414" s="370"/>
      <c r="C414" s="392"/>
      <c r="H414" s="241"/>
      <c r="I414" s="241"/>
      <c r="J414" s="241"/>
      <c r="K414" s="241"/>
      <c r="L414" s="241"/>
      <c r="M414" s="241"/>
      <c r="N414" s="241"/>
      <c r="O414" s="241"/>
      <c r="P414" s="241"/>
      <c r="Q414" s="241"/>
      <c r="R414" s="241"/>
      <c r="S414" s="241"/>
      <c r="T414" s="241"/>
      <c r="U414" s="241"/>
      <c r="V414" s="241"/>
      <c r="W414" s="241"/>
      <c r="X414" s="241"/>
      <c r="Y414" s="241"/>
      <c r="Z414" s="241"/>
      <c r="AA414" s="241"/>
      <c r="AB414" s="241"/>
      <c r="AC414" s="241"/>
      <c r="AD414" s="241"/>
      <c r="AE414" s="241"/>
      <c r="AF414" s="241"/>
      <c r="AG414" s="241"/>
      <c r="AH414" s="241"/>
      <c r="AI414" s="241"/>
      <c r="AJ414" s="241"/>
      <c r="AK414" s="241"/>
      <c r="AL414" s="241"/>
      <c r="AM414" s="241"/>
      <c r="AN414" s="241"/>
      <c r="AO414" s="241"/>
      <c r="AP414" s="241"/>
      <c r="AU414" s="263"/>
      <c r="BX414" s="327"/>
    </row>
    <row r="415" spans="1:76" s="240" customFormat="1">
      <c r="A415" s="392"/>
      <c r="B415" s="370"/>
      <c r="C415" s="392"/>
      <c r="H415" s="241"/>
      <c r="I415" s="241"/>
      <c r="J415" s="241"/>
      <c r="K415" s="241"/>
      <c r="L415" s="241"/>
      <c r="M415" s="241"/>
      <c r="N415" s="241"/>
      <c r="O415" s="241"/>
      <c r="P415" s="241"/>
      <c r="Q415" s="241"/>
      <c r="R415" s="241"/>
      <c r="S415" s="241"/>
      <c r="T415" s="241"/>
      <c r="U415" s="241"/>
      <c r="V415" s="241"/>
      <c r="W415" s="241"/>
      <c r="X415" s="241"/>
      <c r="Y415" s="241"/>
      <c r="Z415" s="241"/>
      <c r="AA415" s="241"/>
      <c r="AB415" s="241"/>
      <c r="AC415" s="241"/>
      <c r="AD415" s="241"/>
      <c r="AE415" s="241"/>
      <c r="AF415" s="241"/>
      <c r="AG415" s="241"/>
      <c r="AH415" s="241"/>
      <c r="AI415" s="241"/>
      <c r="AJ415" s="241"/>
      <c r="AK415" s="241"/>
      <c r="AL415" s="241"/>
      <c r="AM415" s="241"/>
      <c r="AN415" s="241"/>
      <c r="AO415" s="241"/>
      <c r="AP415" s="241"/>
      <c r="AU415" s="263"/>
      <c r="BX415" s="327"/>
    </row>
    <row r="416" spans="1:76" s="240" customFormat="1">
      <c r="A416" s="392"/>
      <c r="B416" s="370"/>
      <c r="C416" s="392"/>
      <c r="H416" s="241"/>
      <c r="I416" s="241"/>
      <c r="J416" s="241"/>
      <c r="K416" s="241"/>
      <c r="L416" s="241"/>
      <c r="M416" s="241"/>
      <c r="N416" s="241"/>
      <c r="O416" s="241"/>
      <c r="P416" s="241"/>
      <c r="Q416" s="241"/>
      <c r="R416" s="241"/>
      <c r="S416" s="241"/>
      <c r="T416" s="241"/>
      <c r="U416" s="241"/>
      <c r="V416" s="241"/>
      <c r="W416" s="241"/>
      <c r="X416" s="241"/>
      <c r="Y416" s="241"/>
      <c r="Z416" s="241"/>
      <c r="AA416" s="241"/>
      <c r="AB416" s="241"/>
      <c r="AC416" s="241"/>
      <c r="AD416" s="241"/>
      <c r="AE416" s="241"/>
      <c r="AF416" s="241"/>
      <c r="AG416" s="241"/>
      <c r="AH416" s="241"/>
      <c r="AI416" s="241"/>
      <c r="AJ416" s="241"/>
      <c r="AK416" s="241"/>
      <c r="AL416" s="241"/>
      <c r="AM416" s="241"/>
      <c r="AN416" s="241"/>
      <c r="AO416" s="241"/>
      <c r="AP416" s="241"/>
      <c r="AU416" s="263"/>
      <c r="BX416" s="327"/>
    </row>
    <row r="417" spans="1:76" s="240" customFormat="1">
      <c r="A417" s="392"/>
      <c r="B417" s="370"/>
      <c r="C417" s="392"/>
      <c r="H417" s="241"/>
      <c r="I417" s="241"/>
      <c r="J417" s="241"/>
      <c r="K417" s="241"/>
      <c r="L417" s="241"/>
      <c r="M417" s="241"/>
      <c r="N417" s="241"/>
      <c r="O417" s="241"/>
      <c r="P417" s="241"/>
      <c r="Q417" s="241"/>
      <c r="R417" s="241"/>
      <c r="S417" s="241"/>
      <c r="T417" s="241"/>
      <c r="U417" s="241"/>
      <c r="V417" s="241"/>
      <c r="W417" s="241"/>
      <c r="X417" s="241"/>
      <c r="Y417" s="241"/>
      <c r="Z417" s="241"/>
      <c r="AA417" s="241"/>
      <c r="AB417" s="241"/>
      <c r="AC417" s="241"/>
      <c r="AD417" s="241"/>
      <c r="AE417" s="241"/>
      <c r="AF417" s="241"/>
      <c r="AG417" s="241"/>
      <c r="AH417" s="241"/>
      <c r="AI417" s="241"/>
      <c r="AJ417" s="241"/>
      <c r="AK417" s="241"/>
      <c r="AL417" s="241"/>
      <c r="AM417" s="241"/>
      <c r="AN417" s="241"/>
      <c r="AO417" s="241"/>
      <c r="AP417" s="241"/>
      <c r="AU417" s="263"/>
      <c r="BX417" s="327"/>
    </row>
    <row r="418" spans="1:76" s="240" customFormat="1">
      <c r="A418" s="392"/>
      <c r="B418" s="370"/>
      <c r="C418" s="392"/>
      <c r="H418" s="241"/>
      <c r="I418" s="241"/>
      <c r="J418" s="241"/>
      <c r="K418" s="241"/>
      <c r="L418" s="241"/>
      <c r="M418" s="241"/>
      <c r="N418" s="241"/>
      <c r="O418" s="241"/>
      <c r="P418" s="241"/>
      <c r="Q418" s="241"/>
      <c r="R418" s="241"/>
      <c r="S418" s="241"/>
      <c r="T418" s="241"/>
      <c r="U418" s="241"/>
      <c r="V418" s="241"/>
      <c r="W418" s="241"/>
      <c r="X418" s="241"/>
      <c r="Y418" s="241"/>
      <c r="Z418" s="241"/>
      <c r="AA418" s="241"/>
      <c r="AB418" s="241"/>
      <c r="AC418" s="241"/>
      <c r="AD418" s="241"/>
      <c r="AE418" s="241"/>
      <c r="AF418" s="241"/>
      <c r="AG418" s="241"/>
      <c r="AH418" s="241"/>
      <c r="AI418" s="241"/>
      <c r="AJ418" s="241"/>
      <c r="AK418" s="241"/>
      <c r="AL418" s="241"/>
      <c r="AM418" s="241"/>
      <c r="AN418" s="241"/>
      <c r="AO418" s="241"/>
      <c r="AP418" s="241"/>
      <c r="AU418" s="263"/>
      <c r="BX418" s="327"/>
    </row>
    <row r="419" spans="1:76" s="240" customFormat="1">
      <c r="A419" s="392"/>
      <c r="B419" s="370"/>
      <c r="C419" s="392"/>
      <c r="H419" s="241"/>
      <c r="I419" s="241"/>
      <c r="J419" s="241"/>
      <c r="K419" s="241"/>
      <c r="L419" s="241"/>
      <c r="M419" s="241"/>
      <c r="N419" s="241"/>
      <c r="O419" s="241"/>
      <c r="P419" s="241"/>
      <c r="Q419" s="241"/>
      <c r="R419" s="241"/>
      <c r="S419" s="241"/>
      <c r="T419" s="241"/>
      <c r="U419" s="241"/>
      <c r="V419" s="241"/>
      <c r="W419" s="241"/>
      <c r="X419" s="241"/>
      <c r="Y419" s="241"/>
      <c r="Z419" s="241"/>
      <c r="AA419" s="241"/>
      <c r="AB419" s="241"/>
      <c r="AC419" s="241"/>
      <c r="AD419" s="241"/>
      <c r="AE419" s="241"/>
      <c r="AF419" s="241"/>
      <c r="AG419" s="241"/>
      <c r="AH419" s="241"/>
      <c r="AI419" s="241"/>
      <c r="AJ419" s="241"/>
      <c r="AK419" s="241"/>
      <c r="AL419" s="241"/>
      <c r="AM419" s="241"/>
      <c r="AN419" s="241"/>
      <c r="AO419" s="241"/>
      <c r="AP419" s="241"/>
      <c r="AU419" s="263"/>
      <c r="BX419" s="327"/>
    </row>
    <row r="420" spans="1:76" s="240" customFormat="1">
      <c r="A420" s="392"/>
      <c r="B420" s="370"/>
      <c r="C420" s="392"/>
      <c r="H420" s="241"/>
      <c r="I420" s="241"/>
      <c r="J420" s="241"/>
      <c r="K420" s="241"/>
      <c r="L420" s="241"/>
      <c r="M420" s="241"/>
      <c r="N420" s="241"/>
      <c r="O420" s="241"/>
      <c r="P420" s="241"/>
      <c r="Q420" s="241"/>
      <c r="R420" s="241"/>
      <c r="S420" s="241"/>
      <c r="T420" s="241"/>
      <c r="U420" s="241"/>
      <c r="V420" s="241"/>
      <c r="W420" s="241"/>
      <c r="X420" s="241"/>
      <c r="Y420" s="241"/>
      <c r="Z420" s="241"/>
      <c r="AA420" s="241"/>
      <c r="AB420" s="241"/>
      <c r="AC420" s="241"/>
      <c r="AD420" s="241"/>
      <c r="AE420" s="241"/>
      <c r="AF420" s="241"/>
      <c r="AG420" s="241"/>
      <c r="AH420" s="241"/>
      <c r="AI420" s="241"/>
      <c r="AJ420" s="241"/>
      <c r="AK420" s="241"/>
      <c r="AL420" s="241"/>
      <c r="AM420" s="241"/>
      <c r="AN420" s="241"/>
      <c r="AO420" s="241"/>
      <c r="AP420" s="241"/>
      <c r="AU420" s="263"/>
      <c r="BX420" s="327"/>
    </row>
    <row r="421" spans="1:76" s="240" customFormat="1">
      <c r="A421" s="392"/>
      <c r="B421" s="370"/>
      <c r="C421" s="392"/>
      <c r="H421" s="241"/>
      <c r="I421" s="241"/>
      <c r="J421" s="241"/>
      <c r="K421" s="241"/>
      <c r="L421" s="241"/>
      <c r="M421" s="241"/>
      <c r="N421" s="241"/>
      <c r="O421" s="241"/>
      <c r="P421" s="241"/>
      <c r="Q421" s="241"/>
      <c r="R421" s="241"/>
      <c r="S421" s="241"/>
      <c r="T421" s="241"/>
      <c r="U421" s="241"/>
      <c r="V421" s="241"/>
      <c r="W421" s="241"/>
      <c r="X421" s="241"/>
      <c r="Y421" s="241"/>
      <c r="Z421" s="241"/>
      <c r="AA421" s="241"/>
      <c r="AB421" s="241"/>
      <c r="AC421" s="241"/>
      <c r="AD421" s="241"/>
      <c r="AE421" s="241"/>
      <c r="AF421" s="241"/>
      <c r="AG421" s="241"/>
      <c r="AH421" s="241"/>
      <c r="AI421" s="241"/>
      <c r="AJ421" s="241"/>
      <c r="AK421" s="241"/>
      <c r="AL421" s="241"/>
      <c r="AM421" s="241"/>
      <c r="AN421" s="241"/>
      <c r="AO421" s="241"/>
      <c r="AP421" s="241"/>
      <c r="AU421" s="263"/>
      <c r="BX421" s="327"/>
    </row>
    <row r="422" spans="1:76" s="240" customFormat="1">
      <c r="A422" s="392"/>
      <c r="B422" s="370"/>
      <c r="C422" s="392"/>
      <c r="H422" s="241"/>
      <c r="I422" s="241"/>
      <c r="J422" s="241"/>
      <c r="K422" s="241"/>
      <c r="L422" s="241"/>
      <c r="M422" s="241"/>
      <c r="N422" s="241"/>
      <c r="O422" s="241"/>
      <c r="P422" s="241"/>
      <c r="Q422" s="241"/>
      <c r="R422" s="241"/>
      <c r="S422" s="241"/>
      <c r="T422" s="241"/>
      <c r="U422" s="241"/>
      <c r="V422" s="241"/>
      <c r="W422" s="241"/>
      <c r="X422" s="241"/>
      <c r="Y422" s="241"/>
      <c r="Z422" s="241"/>
      <c r="AA422" s="241"/>
      <c r="AB422" s="241"/>
      <c r="AC422" s="241"/>
      <c r="AD422" s="241"/>
      <c r="AE422" s="241"/>
      <c r="AF422" s="241"/>
      <c r="AG422" s="241"/>
      <c r="AH422" s="241"/>
      <c r="AI422" s="241"/>
      <c r="AJ422" s="241"/>
      <c r="AK422" s="241"/>
      <c r="AL422" s="241"/>
      <c r="AM422" s="241"/>
      <c r="AN422" s="241"/>
      <c r="AO422" s="241"/>
      <c r="AP422" s="241"/>
      <c r="AU422" s="263"/>
      <c r="BX422" s="327"/>
    </row>
    <row r="423" spans="1:76" s="240" customFormat="1">
      <c r="A423" s="392"/>
      <c r="B423" s="370"/>
      <c r="C423" s="392"/>
      <c r="H423" s="241"/>
      <c r="I423" s="241"/>
      <c r="J423" s="241"/>
      <c r="K423" s="241"/>
      <c r="L423" s="241"/>
      <c r="M423" s="241"/>
      <c r="N423" s="241"/>
      <c r="O423" s="241"/>
      <c r="P423" s="241"/>
      <c r="Q423" s="241"/>
      <c r="R423" s="241"/>
      <c r="S423" s="241"/>
      <c r="T423" s="241"/>
      <c r="U423" s="241"/>
      <c r="V423" s="241"/>
      <c r="W423" s="241"/>
      <c r="X423" s="241"/>
      <c r="Y423" s="241"/>
      <c r="Z423" s="241"/>
      <c r="AA423" s="241"/>
      <c r="AB423" s="241"/>
      <c r="AC423" s="241"/>
      <c r="AD423" s="241"/>
      <c r="AE423" s="241"/>
      <c r="AF423" s="241"/>
      <c r="AG423" s="241"/>
      <c r="AH423" s="241"/>
      <c r="AI423" s="241"/>
      <c r="AJ423" s="241"/>
      <c r="AK423" s="241"/>
      <c r="AL423" s="241"/>
      <c r="AM423" s="241"/>
      <c r="AN423" s="241"/>
      <c r="AO423" s="241"/>
      <c r="AP423" s="241"/>
      <c r="AU423" s="263"/>
      <c r="BX423" s="327"/>
    </row>
    <row r="424" spans="1:76" s="240" customFormat="1">
      <c r="A424" s="392"/>
      <c r="B424" s="370"/>
      <c r="C424" s="392"/>
      <c r="H424" s="241"/>
      <c r="I424" s="241"/>
      <c r="J424" s="241"/>
      <c r="K424" s="241"/>
      <c r="L424" s="241"/>
      <c r="M424" s="241"/>
      <c r="N424" s="241"/>
      <c r="O424" s="241"/>
      <c r="P424" s="241"/>
      <c r="Q424" s="241"/>
      <c r="R424" s="241"/>
      <c r="S424" s="241"/>
      <c r="T424" s="241"/>
      <c r="U424" s="241"/>
      <c r="V424" s="241"/>
      <c r="W424" s="241"/>
      <c r="X424" s="241"/>
      <c r="Y424" s="241"/>
      <c r="Z424" s="241"/>
      <c r="AA424" s="241"/>
      <c r="AB424" s="241"/>
      <c r="AC424" s="241"/>
      <c r="AD424" s="241"/>
      <c r="AE424" s="241"/>
      <c r="AF424" s="241"/>
      <c r="AG424" s="241"/>
      <c r="AH424" s="241"/>
      <c r="AI424" s="241"/>
      <c r="AJ424" s="241"/>
      <c r="AK424" s="241"/>
      <c r="AL424" s="241"/>
      <c r="AM424" s="241"/>
      <c r="AN424" s="241"/>
      <c r="AO424" s="241"/>
      <c r="AP424" s="241"/>
      <c r="AU424" s="263"/>
      <c r="BX424" s="327"/>
    </row>
    <row r="425" spans="1:76" s="240" customFormat="1">
      <c r="A425" s="392"/>
      <c r="B425" s="370"/>
      <c r="C425" s="392"/>
      <c r="H425" s="241"/>
      <c r="I425" s="241"/>
      <c r="J425" s="241"/>
      <c r="K425" s="241"/>
      <c r="L425" s="241"/>
      <c r="M425" s="241"/>
      <c r="N425" s="241"/>
      <c r="O425" s="241"/>
      <c r="P425" s="241"/>
      <c r="Q425" s="241"/>
      <c r="R425" s="241"/>
      <c r="S425" s="241"/>
      <c r="T425" s="241"/>
      <c r="U425" s="241"/>
      <c r="V425" s="241"/>
      <c r="W425" s="241"/>
      <c r="X425" s="241"/>
      <c r="Y425" s="241"/>
      <c r="Z425" s="241"/>
      <c r="AA425" s="241"/>
      <c r="AB425" s="241"/>
      <c r="AC425" s="241"/>
      <c r="AD425" s="241"/>
      <c r="AE425" s="241"/>
      <c r="AF425" s="241"/>
      <c r="AG425" s="241"/>
      <c r="AH425" s="241"/>
      <c r="AI425" s="241"/>
      <c r="AJ425" s="241"/>
      <c r="AK425" s="241"/>
      <c r="AL425" s="241"/>
      <c r="AM425" s="241"/>
      <c r="AN425" s="241"/>
      <c r="AO425" s="241"/>
      <c r="AP425" s="241"/>
      <c r="AU425" s="263"/>
      <c r="BX425" s="327"/>
    </row>
    <row r="426" spans="1:76" s="240" customFormat="1">
      <c r="A426" s="392"/>
      <c r="B426" s="370"/>
      <c r="C426" s="392"/>
      <c r="H426" s="241"/>
      <c r="I426" s="241"/>
      <c r="J426" s="241"/>
      <c r="K426" s="241"/>
      <c r="L426" s="241"/>
      <c r="M426" s="241"/>
      <c r="N426" s="241"/>
      <c r="O426" s="241"/>
      <c r="P426" s="241"/>
      <c r="Q426" s="241"/>
      <c r="R426" s="241"/>
      <c r="S426" s="241"/>
      <c r="T426" s="241"/>
      <c r="U426" s="241"/>
      <c r="V426" s="241"/>
      <c r="W426" s="241"/>
      <c r="X426" s="241"/>
      <c r="Y426" s="241"/>
      <c r="Z426" s="241"/>
      <c r="AA426" s="241"/>
      <c r="AB426" s="241"/>
      <c r="AC426" s="241"/>
      <c r="AD426" s="241"/>
      <c r="AE426" s="241"/>
      <c r="AF426" s="241"/>
      <c r="AG426" s="241"/>
      <c r="AH426" s="241"/>
      <c r="AI426" s="241"/>
      <c r="AJ426" s="241"/>
      <c r="AK426" s="241"/>
      <c r="AL426" s="241"/>
      <c r="AM426" s="241"/>
      <c r="AN426" s="241"/>
      <c r="AO426" s="241"/>
      <c r="AP426" s="241"/>
      <c r="AU426" s="263"/>
      <c r="BX426" s="327"/>
    </row>
    <row r="427" spans="1:76" s="240" customFormat="1">
      <c r="A427" s="392"/>
      <c r="B427" s="370"/>
      <c r="C427" s="392"/>
      <c r="H427" s="241"/>
      <c r="I427" s="241"/>
      <c r="J427" s="241"/>
      <c r="K427" s="241"/>
      <c r="L427" s="241"/>
      <c r="M427" s="241"/>
      <c r="N427" s="241"/>
      <c r="O427" s="241"/>
      <c r="P427" s="241"/>
      <c r="Q427" s="241"/>
      <c r="R427" s="241"/>
      <c r="S427" s="241"/>
      <c r="T427" s="241"/>
      <c r="U427" s="241"/>
      <c r="V427" s="241"/>
      <c r="W427" s="241"/>
      <c r="X427" s="241"/>
      <c r="Y427" s="241"/>
      <c r="Z427" s="241"/>
      <c r="AA427" s="241"/>
      <c r="AB427" s="241"/>
      <c r="AC427" s="241"/>
      <c r="AD427" s="241"/>
      <c r="AE427" s="241"/>
      <c r="AF427" s="241"/>
      <c r="AG427" s="241"/>
      <c r="AH427" s="241"/>
      <c r="AI427" s="241"/>
      <c r="AJ427" s="241"/>
      <c r="AK427" s="241"/>
      <c r="AL427" s="241"/>
      <c r="AM427" s="241"/>
      <c r="AN427" s="241"/>
      <c r="AO427" s="241"/>
      <c r="AP427" s="241"/>
      <c r="AU427" s="263"/>
      <c r="BX427" s="327"/>
    </row>
    <row r="428" spans="1:76" s="240" customFormat="1">
      <c r="A428" s="392"/>
      <c r="B428" s="370"/>
      <c r="C428" s="392"/>
      <c r="H428" s="241"/>
      <c r="I428" s="241"/>
      <c r="J428" s="241"/>
      <c r="K428" s="241"/>
      <c r="L428" s="241"/>
      <c r="M428" s="241"/>
      <c r="N428" s="241"/>
      <c r="O428" s="241"/>
      <c r="P428" s="241"/>
      <c r="Q428" s="241"/>
      <c r="R428" s="241"/>
      <c r="S428" s="241"/>
      <c r="T428" s="241"/>
      <c r="U428" s="241"/>
      <c r="V428" s="241"/>
      <c r="W428" s="241"/>
      <c r="X428" s="241"/>
      <c r="Y428" s="241"/>
      <c r="Z428" s="241"/>
      <c r="AA428" s="241"/>
      <c r="AB428" s="241"/>
      <c r="AC428" s="241"/>
      <c r="AD428" s="241"/>
      <c r="AE428" s="241"/>
      <c r="AF428" s="241"/>
      <c r="AG428" s="241"/>
      <c r="AH428" s="241"/>
      <c r="AI428" s="241"/>
      <c r="AJ428" s="241"/>
      <c r="AK428" s="241"/>
      <c r="AL428" s="241"/>
      <c r="AM428" s="241"/>
      <c r="AN428" s="241"/>
      <c r="AO428" s="241"/>
      <c r="AP428" s="241"/>
      <c r="AU428" s="263"/>
      <c r="BX428" s="327"/>
    </row>
    <row r="429" spans="1:76" s="240" customFormat="1">
      <c r="A429" s="392"/>
      <c r="B429" s="370"/>
      <c r="C429" s="392"/>
      <c r="H429" s="241"/>
      <c r="I429" s="241"/>
      <c r="J429" s="241"/>
      <c r="K429" s="241"/>
      <c r="L429" s="241"/>
      <c r="M429" s="241"/>
      <c r="N429" s="241"/>
      <c r="O429" s="241"/>
      <c r="P429" s="241"/>
      <c r="Q429" s="241"/>
      <c r="R429" s="241"/>
      <c r="S429" s="241"/>
      <c r="T429" s="241"/>
      <c r="U429" s="241"/>
      <c r="V429" s="241"/>
      <c r="W429" s="241"/>
      <c r="X429" s="241"/>
      <c r="Y429" s="241"/>
      <c r="Z429" s="241"/>
      <c r="AA429" s="241"/>
      <c r="AB429" s="241"/>
      <c r="AC429" s="241"/>
      <c r="AD429" s="241"/>
      <c r="AE429" s="241"/>
      <c r="AF429" s="241"/>
      <c r="AG429" s="241"/>
      <c r="AH429" s="241"/>
      <c r="AI429" s="241"/>
      <c r="AJ429" s="241"/>
      <c r="AK429" s="241"/>
      <c r="AL429" s="241"/>
      <c r="AM429" s="241"/>
      <c r="AN429" s="241"/>
      <c r="AO429" s="241"/>
      <c r="AP429" s="241"/>
      <c r="AU429" s="263"/>
      <c r="BX429" s="327"/>
    </row>
    <row r="430" spans="1:76" s="240" customFormat="1">
      <c r="A430" s="392"/>
      <c r="B430" s="370"/>
      <c r="C430" s="392"/>
      <c r="H430" s="241"/>
      <c r="I430" s="241"/>
      <c r="J430" s="241"/>
      <c r="K430" s="241"/>
      <c r="L430" s="241"/>
      <c r="M430" s="241"/>
      <c r="N430" s="241"/>
      <c r="O430" s="241"/>
      <c r="P430" s="241"/>
      <c r="Q430" s="241"/>
      <c r="R430" s="241"/>
      <c r="S430" s="241"/>
      <c r="T430" s="241"/>
      <c r="U430" s="241"/>
      <c r="V430" s="241"/>
      <c r="W430" s="241"/>
      <c r="X430" s="241"/>
      <c r="Y430" s="241"/>
      <c r="Z430" s="241"/>
      <c r="AA430" s="241"/>
      <c r="AB430" s="241"/>
      <c r="AC430" s="241"/>
      <c r="AD430" s="241"/>
      <c r="AE430" s="241"/>
      <c r="AF430" s="241"/>
      <c r="AG430" s="241"/>
      <c r="AH430" s="241"/>
      <c r="AI430" s="241"/>
      <c r="AJ430" s="241"/>
      <c r="AK430" s="241"/>
      <c r="AL430" s="241"/>
      <c r="AM430" s="241"/>
      <c r="AN430" s="241"/>
      <c r="AO430" s="241"/>
      <c r="AP430" s="241"/>
      <c r="AU430" s="263"/>
      <c r="BX430" s="327"/>
    </row>
    <row r="431" spans="1:76" s="240" customFormat="1">
      <c r="A431" s="392"/>
      <c r="B431" s="370"/>
      <c r="C431" s="392"/>
      <c r="H431" s="241"/>
      <c r="I431" s="241"/>
      <c r="J431" s="241"/>
      <c r="K431" s="241"/>
      <c r="L431" s="241"/>
      <c r="M431" s="241"/>
      <c r="N431" s="241"/>
      <c r="O431" s="241"/>
      <c r="P431" s="241"/>
      <c r="Q431" s="241"/>
      <c r="R431" s="241"/>
      <c r="S431" s="241"/>
      <c r="T431" s="241"/>
      <c r="U431" s="241"/>
      <c r="V431" s="241"/>
      <c r="W431" s="241"/>
      <c r="X431" s="241"/>
      <c r="Y431" s="241"/>
      <c r="Z431" s="241"/>
      <c r="AA431" s="241"/>
      <c r="AB431" s="241"/>
      <c r="AC431" s="241"/>
      <c r="AD431" s="241"/>
      <c r="AE431" s="241"/>
      <c r="AF431" s="241"/>
      <c r="AG431" s="241"/>
      <c r="AH431" s="241"/>
      <c r="AI431" s="241"/>
      <c r="AJ431" s="241"/>
      <c r="AK431" s="241"/>
      <c r="AL431" s="241"/>
      <c r="AM431" s="241"/>
      <c r="AN431" s="241"/>
      <c r="AO431" s="241"/>
      <c r="AP431" s="241"/>
      <c r="AU431" s="263"/>
      <c r="BX431" s="327"/>
    </row>
    <row r="432" spans="1:76" s="240" customFormat="1">
      <c r="A432" s="392"/>
      <c r="B432" s="370"/>
      <c r="C432" s="392"/>
      <c r="H432" s="241"/>
      <c r="I432" s="241"/>
      <c r="J432" s="241"/>
      <c r="K432" s="241"/>
      <c r="L432" s="241"/>
      <c r="M432" s="241"/>
      <c r="N432" s="241"/>
      <c r="O432" s="241"/>
      <c r="P432" s="241"/>
      <c r="Q432" s="241"/>
      <c r="R432" s="241"/>
      <c r="S432" s="241"/>
      <c r="T432" s="241"/>
      <c r="U432" s="241"/>
      <c r="V432" s="241"/>
      <c r="W432" s="241"/>
      <c r="X432" s="241"/>
      <c r="Y432" s="241"/>
      <c r="Z432" s="241"/>
      <c r="AA432" s="241"/>
      <c r="AB432" s="241"/>
      <c r="AC432" s="241"/>
      <c r="AD432" s="241"/>
      <c r="AE432" s="241"/>
      <c r="AF432" s="241"/>
      <c r="AG432" s="241"/>
      <c r="AH432" s="241"/>
      <c r="AI432" s="241"/>
      <c r="AJ432" s="241"/>
      <c r="AK432" s="241"/>
      <c r="AL432" s="241"/>
      <c r="AM432" s="241"/>
      <c r="AN432" s="241"/>
      <c r="AO432" s="241"/>
      <c r="AP432" s="241"/>
      <c r="AU432" s="263"/>
      <c r="BX432" s="327"/>
    </row>
    <row r="433" spans="1:76" s="240" customFormat="1">
      <c r="A433" s="392"/>
      <c r="B433" s="370"/>
      <c r="C433" s="392"/>
      <c r="H433" s="241"/>
      <c r="I433" s="241"/>
      <c r="J433" s="241"/>
      <c r="K433" s="241"/>
      <c r="L433" s="241"/>
      <c r="M433" s="241"/>
      <c r="N433" s="241"/>
      <c r="O433" s="241"/>
      <c r="P433" s="241"/>
      <c r="Q433" s="241"/>
      <c r="R433" s="241"/>
      <c r="S433" s="241"/>
      <c r="T433" s="241"/>
      <c r="U433" s="241"/>
      <c r="V433" s="241"/>
      <c r="W433" s="241"/>
      <c r="X433" s="241"/>
      <c r="Y433" s="241"/>
      <c r="Z433" s="241"/>
      <c r="AA433" s="241"/>
      <c r="AB433" s="241"/>
      <c r="AC433" s="241"/>
      <c r="AD433" s="241"/>
      <c r="AE433" s="241"/>
      <c r="AF433" s="241"/>
      <c r="AG433" s="241"/>
      <c r="AH433" s="241"/>
      <c r="AI433" s="241"/>
      <c r="AJ433" s="241"/>
      <c r="AK433" s="241"/>
      <c r="AL433" s="241"/>
      <c r="AM433" s="241"/>
      <c r="AN433" s="241"/>
      <c r="AO433" s="241"/>
      <c r="AP433" s="241"/>
      <c r="AU433" s="263"/>
      <c r="BX433" s="327"/>
    </row>
    <row r="434" spans="1:76" s="240" customFormat="1">
      <c r="A434" s="392"/>
      <c r="B434" s="370"/>
      <c r="C434" s="392"/>
      <c r="H434" s="241"/>
      <c r="I434" s="241"/>
      <c r="J434" s="241"/>
      <c r="K434" s="241"/>
      <c r="L434" s="241"/>
      <c r="M434" s="241"/>
      <c r="N434" s="241"/>
      <c r="O434" s="241"/>
      <c r="P434" s="241"/>
      <c r="Q434" s="241"/>
      <c r="R434" s="241"/>
      <c r="S434" s="241"/>
      <c r="T434" s="241"/>
      <c r="U434" s="241"/>
      <c r="V434" s="241"/>
      <c r="W434" s="241"/>
      <c r="X434" s="241"/>
      <c r="Y434" s="241"/>
      <c r="Z434" s="241"/>
      <c r="AA434" s="241"/>
      <c r="AB434" s="241"/>
      <c r="AC434" s="241"/>
      <c r="AD434" s="241"/>
      <c r="AE434" s="241"/>
      <c r="AF434" s="241"/>
      <c r="AG434" s="241"/>
      <c r="AH434" s="241"/>
      <c r="AI434" s="241"/>
      <c r="AJ434" s="241"/>
      <c r="AK434" s="241"/>
      <c r="AL434" s="241"/>
      <c r="AM434" s="241"/>
      <c r="AN434" s="241"/>
      <c r="AO434" s="241"/>
      <c r="AP434" s="241"/>
      <c r="AU434" s="263"/>
      <c r="BX434" s="327"/>
    </row>
    <row r="435" spans="1:76" s="240" customFormat="1">
      <c r="A435" s="392"/>
      <c r="B435" s="370"/>
      <c r="C435" s="392"/>
      <c r="H435" s="241"/>
      <c r="I435" s="241"/>
      <c r="J435" s="241"/>
      <c r="K435" s="241"/>
      <c r="L435" s="241"/>
      <c r="M435" s="241"/>
      <c r="N435" s="241"/>
      <c r="O435" s="241"/>
      <c r="P435" s="241"/>
      <c r="Q435" s="241"/>
      <c r="R435" s="241"/>
      <c r="S435" s="241"/>
      <c r="T435" s="241"/>
      <c r="U435" s="241"/>
      <c r="V435" s="241"/>
      <c r="W435" s="241"/>
      <c r="X435" s="241"/>
      <c r="Y435" s="241"/>
      <c r="Z435" s="241"/>
      <c r="AA435" s="241"/>
      <c r="AB435" s="241"/>
      <c r="AC435" s="241"/>
      <c r="AD435" s="241"/>
      <c r="AE435" s="241"/>
      <c r="AF435" s="241"/>
      <c r="AG435" s="241"/>
      <c r="AH435" s="241"/>
      <c r="AI435" s="241"/>
      <c r="AJ435" s="241"/>
      <c r="AK435" s="241"/>
      <c r="AL435" s="241"/>
      <c r="AM435" s="241"/>
      <c r="AN435" s="241"/>
      <c r="AO435" s="241"/>
      <c r="AP435" s="241"/>
      <c r="AU435" s="263"/>
      <c r="BX435" s="327"/>
    </row>
    <row r="436" spans="1:76" s="240" customFormat="1">
      <c r="A436" s="392"/>
      <c r="B436" s="370"/>
      <c r="C436" s="392"/>
      <c r="H436" s="241"/>
      <c r="I436" s="241"/>
      <c r="J436" s="241"/>
      <c r="K436" s="241"/>
      <c r="L436" s="241"/>
      <c r="M436" s="241"/>
      <c r="N436" s="241"/>
      <c r="O436" s="241"/>
      <c r="P436" s="241"/>
      <c r="Q436" s="241"/>
      <c r="R436" s="241"/>
      <c r="S436" s="241"/>
      <c r="T436" s="241"/>
      <c r="U436" s="241"/>
      <c r="V436" s="241"/>
      <c r="W436" s="241"/>
      <c r="X436" s="241"/>
      <c r="Y436" s="241"/>
      <c r="Z436" s="241"/>
      <c r="AA436" s="241"/>
      <c r="AB436" s="241"/>
      <c r="AC436" s="241"/>
      <c r="AD436" s="241"/>
      <c r="AE436" s="241"/>
      <c r="AF436" s="241"/>
      <c r="AG436" s="241"/>
      <c r="AH436" s="241"/>
      <c r="AI436" s="241"/>
      <c r="AJ436" s="241"/>
      <c r="AK436" s="241"/>
      <c r="AL436" s="241"/>
      <c r="AM436" s="241"/>
      <c r="AN436" s="241"/>
      <c r="AO436" s="241"/>
      <c r="AP436" s="241"/>
      <c r="AU436" s="263"/>
      <c r="BX436" s="327"/>
    </row>
    <row r="437" spans="1:76" s="240" customFormat="1">
      <c r="A437" s="392"/>
      <c r="B437" s="370"/>
      <c r="C437" s="392"/>
      <c r="H437" s="241"/>
      <c r="I437" s="241"/>
      <c r="J437" s="241"/>
      <c r="K437" s="241"/>
      <c r="L437" s="241"/>
      <c r="M437" s="241"/>
      <c r="N437" s="241"/>
      <c r="O437" s="241"/>
      <c r="P437" s="241"/>
      <c r="Q437" s="241"/>
      <c r="R437" s="241"/>
      <c r="S437" s="241"/>
      <c r="T437" s="241"/>
      <c r="U437" s="241"/>
      <c r="V437" s="241"/>
      <c r="W437" s="241"/>
      <c r="X437" s="241"/>
      <c r="Y437" s="241"/>
      <c r="Z437" s="241"/>
      <c r="AA437" s="241"/>
      <c r="AB437" s="241"/>
      <c r="AC437" s="241"/>
      <c r="AD437" s="241"/>
      <c r="AE437" s="241"/>
      <c r="AF437" s="241"/>
      <c r="AG437" s="241"/>
      <c r="AH437" s="241"/>
      <c r="AI437" s="241"/>
      <c r="AJ437" s="241"/>
      <c r="AK437" s="241"/>
      <c r="AL437" s="241"/>
      <c r="AM437" s="241"/>
      <c r="AN437" s="241"/>
      <c r="AO437" s="241"/>
      <c r="AP437" s="241"/>
      <c r="AU437" s="263"/>
      <c r="BX437" s="327"/>
    </row>
    <row r="438" spans="1:76" s="240" customFormat="1">
      <c r="A438" s="392"/>
      <c r="B438" s="370"/>
      <c r="C438" s="392"/>
      <c r="H438" s="241"/>
      <c r="I438" s="241"/>
      <c r="J438" s="241"/>
      <c r="K438" s="241"/>
      <c r="L438" s="241"/>
      <c r="M438" s="241"/>
      <c r="N438" s="241"/>
      <c r="O438" s="241"/>
      <c r="P438" s="241"/>
      <c r="Q438" s="241"/>
      <c r="R438" s="241"/>
      <c r="S438" s="241"/>
      <c r="T438" s="241"/>
      <c r="U438" s="241"/>
      <c r="V438" s="241"/>
      <c r="W438" s="241"/>
      <c r="X438" s="241"/>
      <c r="Y438" s="241"/>
      <c r="Z438" s="241"/>
      <c r="AA438" s="241"/>
      <c r="AB438" s="241"/>
      <c r="AC438" s="241"/>
      <c r="AD438" s="241"/>
      <c r="AE438" s="241"/>
      <c r="AF438" s="241"/>
      <c r="AG438" s="241"/>
      <c r="AH438" s="241"/>
      <c r="AI438" s="241"/>
      <c r="AJ438" s="241"/>
      <c r="AK438" s="241"/>
      <c r="AL438" s="241"/>
      <c r="AM438" s="241"/>
      <c r="AN438" s="241"/>
      <c r="AO438" s="241"/>
      <c r="AP438" s="241"/>
      <c r="AU438" s="263"/>
      <c r="BX438" s="327"/>
    </row>
    <row r="439" spans="1:76" s="240" customFormat="1">
      <c r="A439" s="392"/>
      <c r="B439" s="370"/>
      <c r="C439" s="392"/>
      <c r="H439" s="241"/>
      <c r="I439" s="241"/>
      <c r="J439" s="241"/>
      <c r="K439" s="241"/>
      <c r="L439" s="241"/>
      <c r="M439" s="241"/>
      <c r="N439" s="241"/>
      <c r="O439" s="241"/>
      <c r="P439" s="241"/>
      <c r="Q439" s="241"/>
      <c r="R439" s="241"/>
      <c r="S439" s="241"/>
      <c r="T439" s="241"/>
      <c r="U439" s="241"/>
      <c r="V439" s="241"/>
      <c r="W439" s="241"/>
      <c r="X439" s="241"/>
      <c r="Y439" s="241"/>
      <c r="Z439" s="241"/>
      <c r="AA439" s="241"/>
      <c r="AB439" s="241"/>
      <c r="AC439" s="241"/>
      <c r="AD439" s="241"/>
      <c r="AE439" s="241"/>
      <c r="AF439" s="241"/>
      <c r="AG439" s="241"/>
      <c r="AH439" s="241"/>
      <c r="AI439" s="241"/>
      <c r="AJ439" s="241"/>
      <c r="AK439" s="241"/>
      <c r="AL439" s="241"/>
      <c r="AM439" s="241"/>
      <c r="AN439" s="241"/>
      <c r="AO439" s="241"/>
      <c r="AP439" s="241"/>
      <c r="AU439" s="263"/>
      <c r="BX439" s="327"/>
    </row>
    <row r="440" spans="1:76" s="240" customFormat="1">
      <c r="A440" s="392"/>
      <c r="B440" s="370"/>
      <c r="C440" s="392"/>
      <c r="H440" s="241"/>
      <c r="I440" s="241"/>
      <c r="J440" s="241"/>
      <c r="K440" s="241"/>
      <c r="L440" s="241"/>
      <c r="M440" s="241"/>
      <c r="N440" s="241"/>
      <c r="O440" s="241"/>
      <c r="P440" s="241"/>
      <c r="Q440" s="241"/>
      <c r="R440" s="241"/>
      <c r="S440" s="241"/>
      <c r="T440" s="241"/>
      <c r="U440" s="241"/>
      <c r="V440" s="241"/>
      <c r="W440" s="241"/>
      <c r="X440" s="241"/>
      <c r="Y440" s="241"/>
      <c r="Z440" s="241"/>
      <c r="AA440" s="241"/>
      <c r="AB440" s="241"/>
      <c r="AC440" s="241"/>
      <c r="AD440" s="241"/>
      <c r="AE440" s="241"/>
      <c r="AF440" s="241"/>
      <c r="AG440" s="241"/>
      <c r="AH440" s="241"/>
      <c r="AI440" s="241"/>
      <c r="AJ440" s="241"/>
      <c r="AK440" s="241"/>
      <c r="AL440" s="241"/>
      <c r="AM440" s="241"/>
      <c r="AN440" s="241"/>
      <c r="AO440" s="241"/>
      <c r="AP440" s="241"/>
      <c r="AU440" s="263"/>
      <c r="BX440" s="327"/>
    </row>
    <row r="441" spans="1:76" s="240" customFormat="1">
      <c r="A441" s="392"/>
      <c r="B441" s="370"/>
      <c r="C441" s="392"/>
      <c r="H441" s="241"/>
      <c r="I441" s="241"/>
      <c r="J441" s="241"/>
      <c r="K441" s="241"/>
      <c r="L441" s="241"/>
      <c r="M441" s="241"/>
      <c r="N441" s="241"/>
      <c r="O441" s="241"/>
      <c r="P441" s="241"/>
      <c r="Q441" s="241"/>
      <c r="R441" s="241"/>
      <c r="S441" s="241"/>
      <c r="T441" s="241"/>
      <c r="U441" s="241"/>
      <c r="V441" s="241"/>
      <c r="W441" s="241"/>
      <c r="X441" s="241"/>
      <c r="Y441" s="241"/>
      <c r="Z441" s="241"/>
      <c r="AA441" s="241"/>
      <c r="AB441" s="241"/>
      <c r="AC441" s="241"/>
      <c r="AD441" s="241"/>
      <c r="AE441" s="241"/>
      <c r="AF441" s="241"/>
      <c r="AG441" s="241"/>
      <c r="AH441" s="241"/>
      <c r="AI441" s="241"/>
      <c r="AJ441" s="241"/>
      <c r="AK441" s="241"/>
      <c r="AL441" s="241"/>
      <c r="AM441" s="241"/>
      <c r="AN441" s="241"/>
      <c r="AO441" s="241"/>
      <c r="AP441" s="241"/>
      <c r="AU441" s="263"/>
      <c r="BX441" s="327"/>
    </row>
    <row r="442" spans="1:76" s="240" customFormat="1">
      <c r="A442" s="392"/>
      <c r="B442" s="370"/>
      <c r="C442" s="392"/>
      <c r="H442" s="241"/>
      <c r="I442" s="241"/>
      <c r="J442" s="241"/>
      <c r="K442" s="241"/>
      <c r="L442" s="241"/>
      <c r="M442" s="241"/>
      <c r="N442" s="241"/>
      <c r="O442" s="241"/>
      <c r="P442" s="241"/>
      <c r="Q442" s="241"/>
      <c r="R442" s="241"/>
      <c r="S442" s="241"/>
      <c r="T442" s="241"/>
      <c r="U442" s="241"/>
      <c r="V442" s="241"/>
      <c r="W442" s="241"/>
      <c r="X442" s="241"/>
      <c r="Y442" s="241"/>
      <c r="Z442" s="241"/>
      <c r="AA442" s="241"/>
      <c r="AB442" s="241"/>
      <c r="AC442" s="241"/>
      <c r="AD442" s="241"/>
      <c r="AE442" s="241"/>
      <c r="AF442" s="241"/>
      <c r="AG442" s="241"/>
      <c r="AH442" s="241"/>
      <c r="AI442" s="241"/>
      <c r="AJ442" s="241"/>
      <c r="AK442" s="241"/>
      <c r="AL442" s="241"/>
      <c r="AM442" s="241"/>
      <c r="AN442" s="241"/>
      <c r="AO442" s="241"/>
      <c r="AP442" s="241"/>
      <c r="AU442" s="263"/>
      <c r="BX442" s="327"/>
    </row>
    <row r="443" spans="1:76" s="240" customFormat="1">
      <c r="A443" s="392"/>
      <c r="B443" s="370"/>
      <c r="C443" s="392"/>
      <c r="H443" s="241"/>
      <c r="I443" s="241"/>
      <c r="J443" s="241"/>
      <c r="K443" s="241"/>
      <c r="L443" s="241"/>
      <c r="M443" s="241"/>
      <c r="N443" s="241"/>
      <c r="O443" s="241"/>
      <c r="P443" s="241"/>
      <c r="Q443" s="241"/>
      <c r="R443" s="241"/>
      <c r="S443" s="241"/>
      <c r="T443" s="241"/>
      <c r="U443" s="241"/>
      <c r="V443" s="241"/>
      <c r="W443" s="241"/>
      <c r="X443" s="241"/>
      <c r="Y443" s="241"/>
      <c r="Z443" s="241"/>
      <c r="AA443" s="241"/>
      <c r="AB443" s="241"/>
      <c r="AC443" s="241"/>
      <c r="AD443" s="241"/>
      <c r="AE443" s="241"/>
      <c r="AF443" s="241"/>
      <c r="AG443" s="241"/>
      <c r="AH443" s="241"/>
      <c r="AI443" s="241"/>
      <c r="AJ443" s="241"/>
      <c r="AK443" s="241"/>
      <c r="AL443" s="241"/>
      <c r="AM443" s="241"/>
      <c r="AN443" s="241"/>
      <c r="AO443" s="241"/>
      <c r="AP443" s="241"/>
      <c r="AU443" s="263"/>
      <c r="BX443" s="327"/>
    </row>
    <row r="444" spans="1:76" s="240" customFormat="1">
      <c r="A444" s="392"/>
      <c r="B444" s="370"/>
      <c r="C444" s="392"/>
      <c r="H444" s="241"/>
      <c r="I444" s="241"/>
      <c r="J444" s="241"/>
      <c r="K444" s="241"/>
      <c r="L444" s="241"/>
      <c r="M444" s="241"/>
      <c r="N444" s="241"/>
      <c r="O444" s="241"/>
      <c r="P444" s="241"/>
      <c r="Q444" s="241"/>
      <c r="R444" s="241"/>
      <c r="S444" s="241"/>
      <c r="T444" s="241"/>
      <c r="U444" s="241"/>
      <c r="V444" s="241"/>
      <c r="W444" s="241"/>
      <c r="X444" s="241"/>
      <c r="Y444" s="241"/>
      <c r="Z444" s="241"/>
      <c r="AA444" s="241"/>
      <c r="AB444" s="241"/>
      <c r="AC444" s="241"/>
      <c r="AD444" s="241"/>
      <c r="AE444" s="241"/>
      <c r="AF444" s="241"/>
      <c r="AG444" s="241"/>
      <c r="AH444" s="241"/>
      <c r="AI444" s="241"/>
      <c r="AJ444" s="241"/>
      <c r="AK444" s="241"/>
      <c r="AL444" s="241"/>
      <c r="AM444" s="241"/>
      <c r="AN444" s="241"/>
      <c r="AO444" s="241"/>
      <c r="AP444" s="241"/>
      <c r="AU444" s="263"/>
      <c r="BX444" s="327"/>
    </row>
    <row r="445" spans="1:76" s="240" customFormat="1">
      <c r="A445" s="392"/>
      <c r="B445" s="370"/>
      <c r="C445" s="392"/>
      <c r="H445" s="241"/>
      <c r="I445" s="241"/>
      <c r="J445" s="241"/>
      <c r="K445" s="241"/>
      <c r="L445" s="241"/>
      <c r="M445" s="241"/>
      <c r="N445" s="241"/>
      <c r="O445" s="241"/>
      <c r="P445" s="241"/>
      <c r="Q445" s="241"/>
      <c r="R445" s="241"/>
      <c r="S445" s="241"/>
      <c r="T445" s="241"/>
      <c r="U445" s="241"/>
      <c r="V445" s="241"/>
      <c r="W445" s="241"/>
      <c r="X445" s="241"/>
      <c r="Y445" s="241"/>
      <c r="Z445" s="241"/>
      <c r="AA445" s="241"/>
      <c r="AB445" s="241"/>
      <c r="AC445" s="241"/>
      <c r="AD445" s="241"/>
      <c r="AE445" s="241"/>
      <c r="AF445" s="241"/>
      <c r="AG445" s="241"/>
      <c r="AH445" s="241"/>
      <c r="AI445" s="241"/>
      <c r="AJ445" s="241"/>
      <c r="AK445" s="241"/>
      <c r="AL445" s="241"/>
      <c r="AM445" s="241"/>
      <c r="AN445" s="241"/>
      <c r="AO445" s="241"/>
      <c r="AP445" s="241"/>
      <c r="AU445" s="263"/>
      <c r="BX445" s="327"/>
    </row>
    <row r="446" spans="1:76" s="240" customFormat="1">
      <c r="A446" s="392"/>
      <c r="B446" s="370"/>
      <c r="C446" s="392"/>
      <c r="H446" s="241"/>
      <c r="I446" s="241"/>
      <c r="J446" s="241"/>
      <c r="K446" s="241"/>
      <c r="L446" s="241"/>
      <c r="M446" s="241"/>
      <c r="N446" s="241"/>
      <c r="O446" s="241"/>
      <c r="P446" s="241"/>
      <c r="Q446" s="241"/>
      <c r="R446" s="241"/>
      <c r="S446" s="241"/>
      <c r="T446" s="241"/>
      <c r="U446" s="241"/>
      <c r="V446" s="241"/>
      <c r="W446" s="241"/>
      <c r="X446" s="241"/>
      <c r="Y446" s="241"/>
      <c r="Z446" s="241"/>
      <c r="AA446" s="241"/>
      <c r="AB446" s="241"/>
      <c r="AC446" s="241"/>
      <c r="AD446" s="241"/>
      <c r="AE446" s="241"/>
      <c r="AF446" s="241"/>
      <c r="AG446" s="241"/>
      <c r="AH446" s="241"/>
      <c r="AI446" s="241"/>
      <c r="AJ446" s="241"/>
      <c r="AK446" s="241"/>
      <c r="AL446" s="241"/>
      <c r="AM446" s="241"/>
      <c r="AN446" s="241"/>
      <c r="AO446" s="241"/>
      <c r="AP446" s="241"/>
      <c r="AU446" s="263"/>
      <c r="BX446" s="327"/>
    </row>
    <row r="447" spans="1:76" s="240" customFormat="1">
      <c r="A447" s="392"/>
      <c r="B447" s="370"/>
      <c r="C447" s="392"/>
      <c r="H447" s="241"/>
      <c r="I447" s="241"/>
      <c r="J447" s="241"/>
      <c r="K447" s="241"/>
      <c r="L447" s="241"/>
      <c r="M447" s="241"/>
      <c r="N447" s="241"/>
      <c r="O447" s="241"/>
      <c r="P447" s="241"/>
      <c r="Q447" s="241"/>
      <c r="R447" s="241"/>
      <c r="S447" s="241"/>
      <c r="T447" s="241"/>
      <c r="U447" s="241"/>
      <c r="V447" s="241"/>
      <c r="W447" s="241"/>
      <c r="X447" s="241"/>
      <c r="Y447" s="241"/>
      <c r="Z447" s="241"/>
      <c r="AA447" s="241"/>
      <c r="AB447" s="241"/>
      <c r="AC447" s="241"/>
      <c r="AD447" s="241"/>
      <c r="AE447" s="241"/>
      <c r="AF447" s="241"/>
      <c r="AG447" s="241"/>
      <c r="AH447" s="241"/>
      <c r="AI447" s="241"/>
      <c r="AJ447" s="241"/>
      <c r="AK447" s="241"/>
      <c r="AL447" s="241"/>
      <c r="AM447" s="241"/>
      <c r="AN447" s="241"/>
      <c r="AO447" s="241"/>
      <c r="AP447" s="241"/>
      <c r="AU447" s="263"/>
      <c r="BX447" s="327"/>
    </row>
    <row r="448" spans="1:76" s="240" customFormat="1">
      <c r="A448" s="392"/>
      <c r="B448" s="370"/>
      <c r="C448" s="392"/>
      <c r="H448" s="241"/>
      <c r="I448" s="241"/>
      <c r="J448" s="241"/>
      <c r="K448" s="241"/>
      <c r="L448" s="241"/>
      <c r="M448" s="241"/>
      <c r="N448" s="241"/>
      <c r="O448" s="241"/>
      <c r="P448" s="241"/>
      <c r="Q448" s="241"/>
      <c r="R448" s="241"/>
      <c r="S448" s="241"/>
      <c r="T448" s="241"/>
      <c r="U448" s="241"/>
      <c r="V448" s="241"/>
      <c r="W448" s="241"/>
      <c r="X448" s="241"/>
      <c r="Y448" s="241"/>
      <c r="Z448" s="241"/>
      <c r="AA448" s="241"/>
      <c r="AB448" s="241"/>
      <c r="AC448" s="241"/>
      <c r="AD448" s="241"/>
      <c r="AE448" s="241"/>
      <c r="AF448" s="241"/>
      <c r="AG448" s="241"/>
      <c r="AH448" s="241"/>
      <c r="AI448" s="241"/>
      <c r="AJ448" s="241"/>
      <c r="AK448" s="241"/>
      <c r="AL448" s="241"/>
      <c r="AM448" s="241"/>
      <c r="AN448" s="241"/>
      <c r="AO448" s="241"/>
      <c r="AP448" s="241"/>
      <c r="AU448" s="263"/>
      <c r="BX448" s="327"/>
    </row>
    <row r="449" spans="1:76" s="240" customFormat="1">
      <c r="A449" s="392"/>
      <c r="B449" s="370"/>
      <c r="C449" s="392"/>
      <c r="H449" s="241"/>
      <c r="I449" s="241"/>
      <c r="J449" s="241"/>
      <c r="K449" s="241"/>
      <c r="L449" s="241"/>
      <c r="M449" s="241"/>
      <c r="N449" s="241"/>
      <c r="O449" s="241"/>
      <c r="P449" s="241"/>
      <c r="Q449" s="241"/>
      <c r="R449" s="241"/>
      <c r="S449" s="241"/>
      <c r="T449" s="241"/>
      <c r="U449" s="241"/>
      <c r="V449" s="241"/>
      <c r="W449" s="241"/>
      <c r="X449" s="241"/>
      <c r="Y449" s="241"/>
      <c r="Z449" s="241"/>
      <c r="AA449" s="241"/>
      <c r="AB449" s="241"/>
      <c r="AC449" s="241"/>
      <c r="AD449" s="241"/>
      <c r="AE449" s="241"/>
      <c r="AF449" s="241"/>
      <c r="AG449" s="241"/>
      <c r="AH449" s="241"/>
      <c r="AI449" s="241"/>
      <c r="AJ449" s="241"/>
      <c r="AK449" s="241"/>
      <c r="AL449" s="241"/>
      <c r="AM449" s="241"/>
      <c r="AN449" s="241"/>
      <c r="AO449" s="241"/>
      <c r="AP449" s="241"/>
      <c r="AU449" s="263"/>
      <c r="BX449" s="327"/>
    </row>
    <row r="450" spans="1:76" s="240" customFormat="1">
      <c r="A450" s="392"/>
      <c r="B450" s="370"/>
      <c r="C450" s="392"/>
      <c r="H450" s="241"/>
      <c r="I450" s="241"/>
      <c r="J450" s="241"/>
      <c r="K450" s="241"/>
      <c r="L450" s="241"/>
      <c r="M450" s="241"/>
      <c r="N450" s="241"/>
      <c r="O450" s="241"/>
      <c r="P450" s="241"/>
      <c r="Q450" s="241"/>
      <c r="R450" s="241"/>
      <c r="S450" s="241"/>
      <c r="T450" s="241"/>
      <c r="U450" s="241"/>
      <c r="V450" s="241"/>
      <c r="W450" s="241"/>
      <c r="X450" s="241"/>
      <c r="Y450" s="241"/>
      <c r="Z450" s="241"/>
      <c r="AA450" s="241"/>
      <c r="AB450" s="241"/>
      <c r="AC450" s="241"/>
      <c r="AD450" s="241"/>
      <c r="AE450" s="241"/>
      <c r="AF450" s="241"/>
      <c r="AG450" s="241"/>
      <c r="AH450" s="241"/>
      <c r="AI450" s="241"/>
      <c r="AJ450" s="241"/>
      <c r="AK450" s="241"/>
      <c r="AL450" s="241"/>
      <c r="AM450" s="241"/>
      <c r="AN450" s="241"/>
      <c r="AO450" s="241"/>
      <c r="AP450" s="241"/>
      <c r="AU450" s="263"/>
      <c r="BX450" s="327"/>
    </row>
    <row r="451" spans="1:76" s="240" customFormat="1">
      <c r="A451" s="392"/>
      <c r="B451" s="370"/>
      <c r="C451" s="392"/>
      <c r="H451" s="241"/>
      <c r="I451" s="241"/>
      <c r="J451" s="241"/>
      <c r="K451" s="241"/>
      <c r="L451" s="241"/>
      <c r="M451" s="241"/>
      <c r="N451" s="241"/>
      <c r="O451" s="241"/>
      <c r="P451" s="241"/>
      <c r="Q451" s="241"/>
      <c r="R451" s="241"/>
      <c r="S451" s="241"/>
      <c r="T451" s="241"/>
      <c r="U451" s="241"/>
      <c r="V451" s="241"/>
      <c r="W451" s="241"/>
      <c r="X451" s="241"/>
      <c r="Y451" s="241"/>
      <c r="Z451" s="241"/>
      <c r="AA451" s="241"/>
      <c r="AB451" s="241"/>
      <c r="AC451" s="241"/>
      <c r="AD451" s="241"/>
      <c r="AE451" s="241"/>
      <c r="AF451" s="241"/>
      <c r="AG451" s="241"/>
      <c r="AH451" s="241"/>
      <c r="AI451" s="241"/>
      <c r="AJ451" s="241"/>
      <c r="AK451" s="241"/>
      <c r="AL451" s="241"/>
      <c r="AM451" s="241"/>
      <c r="AN451" s="241"/>
      <c r="AO451" s="241"/>
      <c r="AP451" s="241"/>
      <c r="AU451" s="263"/>
      <c r="BX451" s="327"/>
    </row>
    <row r="452" spans="1:76" s="240" customFormat="1">
      <c r="A452" s="392"/>
      <c r="B452" s="370"/>
      <c r="C452" s="392"/>
      <c r="H452" s="241"/>
      <c r="I452" s="241"/>
      <c r="J452" s="241"/>
      <c r="K452" s="241"/>
      <c r="L452" s="241"/>
      <c r="M452" s="241"/>
      <c r="N452" s="241"/>
      <c r="O452" s="241"/>
      <c r="P452" s="241"/>
      <c r="Q452" s="241"/>
      <c r="R452" s="241"/>
      <c r="S452" s="241"/>
      <c r="T452" s="241"/>
      <c r="U452" s="241"/>
      <c r="V452" s="241"/>
      <c r="W452" s="241"/>
      <c r="X452" s="241"/>
      <c r="Y452" s="241"/>
      <c r="Z452" s="241"/>
      <c r="AA452" s="241"/>
      <c r="AB452" s="241"/>
      <c r="AC452" s="241"/>
      <c r="AD452" s="241"/>
      <c r="AE452" s="241"/>
      <c r="AF452" s="241"/>
      <c r="AG452" s="241"/>
      <c r="AH452" s="241"/>
      <c r="AI452" s="241"/>
      <c r="AJ452" s="241"/>
      <c r="AK452" s="241"/>
      <c r="AL452" s="241"/>
      <c r="AM452" s="241"/>
      <c r="AN452" s="241"/>
      <c r="AO452" s="241"/>
      <c r="AP452" s="241"/>
      <c r="AU452" s="263"/>
      <c r="BX452" s="327"/>
    </row>
    <row r="453" spans="1:76" s="240" customFormat="1">
      <c r="A453" s="392"/>
      <c r="B453" s="370"/>
      <c r="C453" s="392"/>
      <c r="H453" s="241"/>
      <c r="I453" s="241"/>
      <c r="J453" s="241"/>
      <c r="K453" s="241"/>
      <c r="L453" s="241"/>
      <c r="M453" s="241"/>
      <c r="N453" s="241"/>
      <c r="O453" s="241"/>
      <c r="P453" s="241"/>
      <c r="Q453" s="241"/>
      <c r="R453" s="241"/>
      <c r="S453" s="241"/>
      <c r="T453" s="241"/>
      <c r="U453" s="241"/>
      <c r="V453" s="241"/>
      <c r="W453" s="241"/>
      <c r="X453" s="241"/>
      <c r="Y453" s="241"/>
      <c r="Z453" s="241"/>
      <c r="AA453" s="241"/>
      <c r="AB453" s="241"/>
      <c r="AC453" s="241"/>
      <c r="AD453" s="241"/>
      <c r="AE453" s="241"/>
      <c r="AF453" s="241"/>
      <c r="AG453" s="241"/>
      <c r="AH453" s="241"/>
      <c r="AI453" s="241"/>
      <c r="AJ453" s="241"/>
      <c r="AK453" s="241"/>
      <c r="AL453" s="241"/>
      <c r="AM453" s="241"/>
      <c r="AN453" s="241"/>
      <c r="AO453" s="241"/>
      <c r="AP453" s="241"/>
      <c r="AU453" s="263"/>
      <c r="BX453" s="327"/>
    </row>
    <row r="454" spans="1:76" s="240" customFormat="1">
      <c r="A454" s="392"/>
      <c r="B454" s="370"/>
      <c r="C454" s="392"/>
      <c r="H454" s="241"/>
      <c r="I454" s="241"/>
      <c r="J454" s="241"/>
      <c r="K454" s="241"/>
      <c r="L454" s="241"/>
      <c r="M454" s="241"/>
      <c r="N454" s="241"/>
      <c r="O454" s="241"/>
      <c r="P454" s="241"/>
      <c r="Q454" s="241"/>
      <c r="R454" s="241"/>
      <c r="S454" s="241"/>
      <c r="T454" s="241"/>
      <c r="U454" s="241"/>
      <c r="V454" s="241"/>
      <c r="W454" s="241"/>
      <c r="X454" s="241"/>
      <c r="Y454" s="241"/>
      <c r="Z454" s="241"/>
      <c r="AA454" s="241"/>
      <c r="AB454" s="241"/>
      <c r="AC454" s="241"/>
      <c r="AD454" s="241"/>
      <c r="AE454" s="241"/>
      <c r="AF454" s="241"/>
      <c r="AG454" s="241"/>
      <c r="AH454" s="241"/>
      <c r="AI454" s="241"/>
      <c r="AJ454" s="241"/>
      <c r="AK454" s="241"/>
      <c r="AL454" s="241"/>
      <c r="AM454" s="241"/>
      <c r="AN454" s="241"/>
      <c r="AO454" s="241"/>
      <c r="AP454" s="241"/>
      <c r="AU454" s="263"/>
      <c r="BX454" s="327"/>
    </row>
    <row r="455" spans="1:76" s="240" customFormat="1">
      <c r="A455" s="392"/>
      <c r="B455" s="370"/>
      <c r="C455" s="392"/>
      <c r="H455" s="241"/>
      <c r="I455" s="241"/>
      <c r="J455" s="241"/>
      <c r="K455" s="241"/>
      <c r="L455" s="241"/>
      <c r="M455" s="241"/>
      <c r="N455" s="241"/>
      <c r="O455" s="241"/>
      <c r="P455" s="241"/>
      <c r="Q455" s="241"/>
      <c r="R455" s="241"/>
      <c r="S455" s="241"/>
      <c r="T455" s="241"/>
      <c r="U455" s="241"/>
      <c r="V455" s="241"/>
      <c r="W455" s="241"/>
      <c r="X455" s="241"/>
      <c r="Y455" s="241"/>
      <c r="Z455" s="241"/>
      <c r="AA455" s="241"/>
      <c r="AB455" s="241"/>
      <c r="AC455" s="241"/>
      <c r="AD455" s="241"/>
      <c r="AE455" s="241"/>
      <c r="AF455" s="241"/>
      <c r="AG455" s="241"/>
      <c r="AH455" s="241"/>
      <c r="AI455" s="241"/>
      <c r="AJ455" s="241"/>
      <c r="AK455" s="241"/>
      <c r="AL455" s="241"/>
      <c r="AM455" s="241"/>
      <c r="AN455" s="241"/>
      <c r="AO455" s="241"/>
      <c r="AP455" s="241"/>
      <c r="AU455" s="263"/>
      <c r="BX455" s="327"/>
    </row>
    <row r="456" spans="1:76" s="240" customFormat="1">
      <c r="A456" s="392"/>
      <c r="B456" s="370"/>
      <c r="C456" s="392"/>
      <c r="H456" s="241"/>
      <c r="I456" s="241"/>
      <c r="J456" s="241"/>
      <c r="K456" s="241"/>
      <c r="L456" s="241"/>
      <c r="M456" s="241"/>
      <c r="N456" s="241"/>
      <c r="O456" s="241"/>
      <c r="P456" s="241"/>
      <c r="Q456" s="241"/>
      <c r="R456" s="241"/>
      <c r="S456" s="241"/>
      <c r="T456" s="241"/>
      <c r="U456" s="241"/>
      <c r="V456" s="241"/>
      <c r="W456" s="241"/>
      <c r="X456" s="241"/>
      <c r="Y456" s="241"/>
      <c r="Z456" s="241"/>
      <c r="AA456" s="241"/>
      <c r="AB456" s="241"/>
      <c r="AC456" s="241"/>
      <c r="AD456" s="241"/>
      <c r="AE456" s="241"/>
      <c r="AF456" s="241"/>
      <c r="AG456" s="241"/>
      <c r="AH456" s="241"/>
      <c r="AI456" s="241"/>
      <c r="AJ456" s="241"/>
      <c r="AK456" s="241"/>
      <c r="AL456" s="241"/>
      <c r="AM456" s="241"/>
      <c r="AN456" s="241"/>
      <c r="AO456" s="241"/>
      <c r="AP456" s="241"/>
      <c r="AU456" s="263"/>
      <c r="BX456" s="327"/>
    </row>
    <row r="457" spans="1:76" s="240" customFormat="1">
      <c r="A457" s="392"/>
      <c r="B457" s="370"/>
      <c r="C457" s="392"/>
      <c r="H457" s="241"/>
      <c r="I457" s="241"/>
      <c r="J457" s="241"/>
      <c r="K457" s="241"/>
      <c r="L457" s="241"/>
      <c r="M457" s="241"/>
      <c r="N457" s="241"/>
      <c r="O457" s="241"/>
      <c r="P457" s="241"/>
      <c r="Q457" s="241"/>
      <c r="R457" s="241"/>
      <c r="S457" s="241"/>
      <c r="T457" s="241"/>
      <c r="U457" s="241"/>
      <c r="V457" s="241"/>
      <c r="W457" s="241"/>
      <c r="X457" s="241"/>
      <c r="Y457" s="241"/>
      <c r="Z457" s="241"/>
      <c r="AA457" s="241"/>
      <c r="AB457" s="241"/>
      <c r="AC457" s="241"/>
      <c r="AD457" s="241"/>
      <c r="AE457" s="241"/>
      <c r="AF457" s="241"/>
      <c r="AG457" s="241"/>
      <c r="AH457" s="241"/>
      <c r="AI457" s="241"/>
      <c r="AJ457" s="241"/>
      <c r="AK457" s="241"/>
      <c r="AL457" s="241"/>
      <c r="AM457" s="241"/>
      <c r="AN457" s="241"/>
      <c r="AO457" s="241"/>
      <c r="AP457" s="241"/>
      <c r="AU457" s="263"/>
      <c r="BX457" s="327"/>
    </row>
    <row r="458" spans="1:76" s="240" customFormat="1">
      <c r="A458" s="392"/>
      <c r="B458" s="370"/>
      <c r="C458" s="392"/>
      <c r="H458" s="241"/>
      <c r="I458" s="241"/>
      <c r="J458" s="241"/>
      <c r="K458" s="241"/>
      <c r="L458" s="241"/>
      <c r="M458" s="241"/>
      <c r="N458" s="241"/>
      <c r="O458" s="241"/>
      <c r="P458" s="241"/>
      <c r="Q458" s="241"/>
      <c r="R458" s="241"/>
      <c r="S458" s="241"/>
      <c r="T458" s="241"/>
      <c r="U458" s="241"/>
      <c r="V458" s="241"/>
      <c r="W458" s="241"/>
      <c r="X458" s="241"/>
      <c r="Y458" s="241"/>
      <c r="Z458" s="241"/>
      <c r="AA458" s="241"/>
      <c r="AB458" s="241"/>
      <c r="AC458" s="241"/>
      <c r="AD458" s="241"/>
      <c r="AE458" s="241"/>
      <c r="AF458" s="241"/>
      <c r="AG458" s="241"/>
      <c r="AH458" s="241"/>
      <c r="AI458" s="241"/>
      <c r="AJ458" s="241"/>
      <c r="AK458" s="241"/>
      <c r="AL458" s="241"/>
      <c r="AM458" s="241"/>
      <c r="AN458" s="241"/>
      <c r="AO458" s="241"/>
      <c r="AP458" s="241"/>
      <c r="AU458" s="263"/>
      <c r="BX458" s="327"/>
    </row>
    <row r="459" spans="1:76" s="240" customFormat="1">
      <c r="A459" s="392"/>
      <c r="B459" s="370"/>
      <c r="C459" s="392"/>
      <c r="H459" s="241"/>
      <c r="I459" s="241"/>
      <c r="J459" s="241"/>
      <c r="K459" s="241"/>
      <c r="L459" s="241"/>
      <c r="M459" s="241"/>
      <c r="N459" s="241"/>
      <c r="O459" s="241"/>
      <c r="P459" s="241"/>
      <c r="Q459" s="241"/>
      <c r="R459" s="241"/>
      <c r="S459" s="241"/>
      <c r="T459" s="241"/>
      <c r="U459" s="241"/>
      <c r="V459" s="241"/>
      <c r="W459" s="241"/>
      <c r="X459" s="241"/>
      <c r="Y459" s="241"/>
      <c r="Z459" s="241"/>
      <c r="AA459" s="241"/>
      <c r="AB459" s="241"/>
      <c r="AC459" s="241"/>
      <c r="AD459" s="241"/>
      <c r="AE459" s="241"/>
      <c r="AF459" s="241"/>
      <c r="AG459" s="241"/>
      <c r="AH459" s="241"/>
      <c r="AI459" s="241"/>
      <c r="AJ459" s="241"/>
      <c r="AK459" s="241"/>
      <c r="AL459" s="241"/>
      <c r="AM459" s="241"/>
      <c r="AN459" s="241"/>
      <c r="AO459" s="241"/>
      <c r="AP459" s="241"/>
      <c r="AU459" s="263"/>
      <c r="BX459" s="327"/>
    </row>
    <row r="460" spans="1:76" s="240" customFormat="1">
      <c r="A460" s="392"/>
      <c r="B460" s="370"/>
      <c r="C460" s="392"/>
      <c r="H460" s="241"/>
      <c r="I460" s="241"/>
      <c r="J460" s="241"/>
      <c r="K460" s="241"/>
      <c r="L460" s="241"/>
      <c r="M460" s="241"/>
      <c r="N460" s="241"/>
      <c r="O460" s="241"/>
      <c r="P460" s="241"/>
      <c r="Q460" s="241"/>
      <c r="R460" s="241"/>
      <c r="S460" s="241"/>
      <c r="T460" s="241"/>
      <c r="U460" s="241"/>
      <c r="V460" s="241"/>
      <c r="W460" s="241"/>
      <c r="X460" s="241"/>
      <c r="Y460" s="241"/>
      <c r="Z460" s="241"/>
      <c r="AA460" s="241"/>
      <c r="AB460" s="241"/>
      <c r="AC460" s="241"/>
      <c r="AD460" s="241"/>
      <c r="AE460" s="241"/>
      <c r="AF460" s="241"/>
      <c r="AG460" s="241"/>
      <c r="AH460" s="241"/>
      <c r="AI460" s="241"/>
      <c r="AJ460" s="241"/>
      <c r="AK460" s="241"/>
      <c r="AL460" s="241"/>
      <c r="AM460" s="241"/>
      <c r="AN460" s="241"/>
      <c r="AO460" s="241"/>
      <c r="AP460" s="241"/>
      <c r="AU460" s="263"/>
      <c r="BX460" s="327"/>
    </row>
    <row r="461" spans="1:76" s="240" customFormat="1">
      <c r="A461" s="392"/>
      <c r="B461" s="370"/>
      <c r="C461" s="392"/>
      <c r="H461" s="241"/>
      <c r="I461" s="241"/>
      <c r="J461" s="241"/>
      <c r="K461" s="241"/>
      <c r="L461" s="241"/>
      <c r="M461" s="241"/>
      <c r="N461" s="241"/>
      <c r="O461" s="241"/>
      <c r="P461" s="241"/>
      <c r="Q461" s="241"/>
      <c r="R461" s="241"/>
      <c r="S461" s="241"/>
      <c r="T461" s="241"/>
      <c r="U461" s="241"/>
      <c r="V461" s="241"/>
      <c r="W461" s="241"/>
      <c r="X461" s="241"/>
      <c r="Y461" s="241"/>
      <c r="Z461" s="241"/>
      <c r="AA461" s="241"/>
      <c r="AB461" s="241"/>
      <c r="AC461" s="241"/>
      <c r="AD461" s="241"/>
      <c r="AE461" s="241"/>
      <c r="AF461" s="241"/>
      <c r="AG461" s="241"/>
      <c r="AH461" s="241"/>
      <c r="AI461" s="241"/>
      <c r="AJ461" s="241"/>
      <c r="AK461" s="241"/>
      <c r="AL461" s="241"/>
      <c r="AM461" s="241"/>
      <c r="AN461" s="241"/>
      <c r="AO461" s="241"/>
      <c r="AP461" s="241"/>
      <c r="AU461" s="263"/>
      <c r="BX461" s="327"/>
    </row>
    <row r="462" spans="1:76" s="240" customFormat="1">
      <c r="A462" s="392"/>
      <c r="B462" s="370"/>
      <c r="C462" s="392"/>
      <c r="H462" s="241"/>
      <c r="I462" s="241"/>
      <c r="J462" s="241"/>
      <c r="K462" s="241"/>
      <c r="L462" s="241"/>
      <c r="M462" s="241"/>
      <c r="N462" s="241"/>
      <c r="O462" s="241"/>
      <c r="P462" s="241"/>
      <c r="Q462" s="241"/>
      <c r="R462" s="241"/>
      <c r="S462" s="241"/>
      <c r="T462" s="241"/>
      <c r="U462" s="241"/>
      <c r="V462" s="241"/>
      <c r="W462" s="241"/>
      <c r="X462" s="241"/>
      <c r="Y462" s="241"/>
      <c r="Z462" s="241"/>
      <c r="AA462" s="241"/>
      <c r="AB462" s="241"/>
      <c r="AC462" s="241"/>
      <c r="AD462" s="241"/>
      <c r="AE462" s="241"/>
      <c r="AF462" s="241"/>
      <c r="AG462" s="241"/>
      <c r="AH462" s="241"/>
      <c r="AI462" s="241"/>
      <c r="AJ462" s="241"/>
      <c r="AK462" s="241"/>
      <c r="AL462" s="241"/>
      <c r="AM462" s="241"/>
      <c r="AN462" s="241"/>
      <c r="AO462" s="241"/>
      <c r="AP462" s="241"/>
      <c r="AU462" s="263"/>
      <c r="BX462" s="327"/>
    </row>
    <row r="463" spans="1:76" s="240" customFormat="1">
      <c r="A463" s="392"/>
      <c r="B463" s="370"/>
      <c r="C463" s="392"/>
      <c r="H463" s="241"/>
      <c r="I463" s="241"/>
      <c r="J463" s="241"/>
      <c r="K463" s="241"/>
      <c r="L463" s="241"/>
      <c r="M463" s="241"/>
      <c r="N463" s="241"/>
      <c r="O463" s="241"/>
      <c r="P463" s="241"/>
      <c r="Q463" s="241"/>
      <c r="R463" s="241"/>
      <c r="S463" s="241"/>
      <c r="T463" s="241"/>
      <c r="U463" s="241"/>
      <c r="V463" s="241"/>
      <c r="W463" s="241"/>
      <c r="X463" s="241"/>
      <c r="Y463" s="241"/>
      <c r="Z463" s="241"/>
      <c r="AA463" s="241"/>
      <c r="AB463" s="241"/>
      <c r="AC463" s="241"/>
      <c r="AD463" s="241"/>
      <c r="AE463" s="241"/>
      <c r="AF463" s="241"/>
      <c r="AG463" s="241"/>
      <c r="AH463" s="241"/>
      <c r="AI463" s="241"/>
      <c r="AJ463" s="241"/>
      <c r="AK463" s="241"/>
      <c r="AL463" s="241"/>
      <c r="AM463" s="241"/>
      <c r="AN463" s="241"/>
      <c r="AO463" s="241"/>
      <c r="AP463" s="241"/>
      <c r="AU463" s="263"/>
      <c r="BX463" s="327"/>
    </row>
    <row r="464" spans="1:76" s="240" customFormat="1">
      <c r="A464" s="392"/>
      <c r="B464" s="370"/>
      <c r="C464" s="392"/>
      <c r="H464" s="241"/>
      <c r="I464" s="241"/>
      <c r="J464" s="241"/>
      <c r="K464" s="241"/>
      <c r="L464" s="241"/>
      <c r="M464" s="241"/>
      <c r="N464" s="241"/>
      <c r="O464" s="241"/>
      <c r="P464" s="241"/>
      <c r="Q464" s="241"/>
      <c r="R464" s="241"/>
      <c r="S464" s="241"/>
      <c r="T464" s="241"/>
      <c r="U464" s="241"/>
      <c r="V464" s="241"/>
      <c r="W464" s="241"/>
      <c r="X464" s="241"/>
      <c r="Y464" s="241"/>
      <c r="Z464" s="241"/>
      <c r="AA464" s="241"/>
      <c r="AB464" s="241"/>
      <c r="AC464" s="241"/>
      <c r="AD464" s="241"/>
      <c r="AE464" s="241"/>
      <c r="AF464" s="241"/>
      <c r="AG464" s="241"/>
      <c r="AH464" s="241"/>
      <c r="AI464" s="241"/>
      <c r="AJ464" s="241"/>
      <c r="AK464" s="241"/>
      <c r="AL464" s="241"/>
      <c r="AM464" s="241"/>
      <c r="AN464" s="241"/>
      <c r="AO464" s="241"/>
      <c r="AP464" s="241"/>
      <c r="AU464" s="263"/>
      <c r="BX464" s="327"/>
    </row>
    <row r="465" spans="1:76" s="240" customFormat="1">
      <c r="A465" s="392"/>
      <c r="B465" s="370"/>
      <c r="C465" s="392"/>
      <c r="H465" s="241"/>
      <c r="I465" s="241"/>
      <c r="J465" s="241"/>
      <c r="K465" s="241"/>
      <c r="L465" s="241"/>
      <c r="M465" s="241"/>
      <c r="N465" s="241"/>
      <c r="O465" s="241"/>
      <c r="P465" s="241"/>
      <c r="Q465" s="241"/>
      <c r="R465" s="241"/>
      <c r="S465" s="241"/>
      <c r="T465" s="241"/>
      <c r="U465" s="241"/>
      <c r="V465" s="241"/>
      <c r="W465" s="241"/>
      <c r="X465" s="241"/>
      <c r="Y465" s="241"/>
      <c r="Z465" s="241"/>
      <c r="AA465" s="241"/>
      <c r="AB465" s="241"/>
      <c r="AC465" s="241"/>
      <c r="AD465" s="241"/>
      <c r="AE465" s="241"/>
      <c r="AF465" s="241"/>
      <c r="AG465" s="241"/>
      <c r="AH465" s="241"/>
      <c r="AI465" s="241"/>
      <c r="AJ465" s="241"/>
      <c r="AK465" s="241"/>
      <c r="AL465" s="241"/>
      <c r="AM465" s="241"/>
      <c r="AN465" s="241"/>
      <c r="AO465" s="241"/>
      <c r="AP465" s="241"/>
      <c r="AU465" s="263"/>
      <c r="BX465" s="327"/>
    </row>
    <row r="466" spans="1:76" s="240" customFormat="1">
      <c r="A466" s="392"/>
      <c r="B466" s="370"/>
      <c r="C466" s="392"/>
      <c r="H466" s="241"/>
      <c r="I466" s="241"/>
      <c r="J466" s="241"/>
      <c r="K466" s="241"/>
      <c r="L466" s="241"/>
      <c r="M466" s="241"/>
      <c r="N466" s="241"/>
      <c r="O466" s="241"/>
      <c r="P466" s="241"/>
      <c r="Q466" s="241"/>
      <c r="R466" s="241"/>
      <c r="S466" s="241"/>
      <c r="T466" s="241"/>
      <c r="U466" s="241"/>
      <c r="V466" s="241"/>
      <c r="W466" s="241"/>
      <c r="X466" s="241"/>
      <c r="Y466" s="241"/>
      <c r="Z466" s="241"/>
      <c r="AA466" s="241"/>
      <c r="AB466" s="241"/>
      <c r="AC466" s="241"/>
      <c r="AD466" s="241"/>
      <c r="AE466" s="241"/>
      <c r="AF466" s="241"/>
      <c r="AG466" s="241"/>
      <c r="AH466" s="241"/>
      <c r="AI466" s="241"/>
      <c r="AJ466" s="241"/>
      <c r="AK466" s="241"/>
      <c r="AL466" s="241"/>
      <c r="AM466" s="241"/>
      <c r="AN466" s="241"/>
      <c r="AO466" s="241"/>
      <c r="AP466" s="241"/>
      <c r="AU466" s="263"/>
      <c r="BX466" s="327"/>
    </row>
    <row r="467" spans="1:76" s="240" customFormat="1">
      <c r="A467" s="392"/>
      <c r="B467" s="370"/>
      <c r="C467" s="392"/>
      <c r="H467" s="241"/>
      <c r="I467" s="241"/>
      <c r="J467" s="241"/>
      <c r="K467" s="241"/>
      <c r="L467" s="241"/>
      <c r="M467" s="241"/>
      <c r="N467" s="241"/>
      <c r="O467" s="241"/>
      <c r="P467" s="241"/>
      <c r="Q467" s="241"/>
      <c r="R467" s="241"/>
      <c r="S467" s="241"/>
      <c r="T467" s="241"/>
      <c r="U467" s="241"/>
      <c r="V467" s="241"/>
      <c r="W467" s="241"/>
      <c r="X467" s="241"/>
      <c r="Y467" s="241"/>
      <c r="Z467" s="241"/>
      <c r="AA467" s="241"/>
      <c r="AB467" s="241"/>
      <c r="AC467" s="241"/>
      <c r="AD467" s="241"/>
      <c r="AE467" s="241"/>
      <c r="AF467" s="241"/>
      <c r="AG467" s="241"/>
      <c r="AH467" s="241"/>
      <c r="AI467" s="241"/>
      <c r="AJ467" s="241"/>
      <c r="AK467" s="241"/>
      <c r="AL467" s="241"/>
      <c r="AM467" s="241"/>
      <c r="AN467" s="241"/>
      <c r="AO467" s="241"/>
      <c r="AP467" s="241"/>
      <c r="AU467" s="263"/>
      <c r="BX467" s="327"/>
    </row>
    <row r="468" spans="1:76" s="240" customFormat="1">
      <c r="A468" s="392"/>
      <c r="B468" s="370"/>
      <c r="C468" s="392"/>
      <c r="H468" s="241"/>
      <c r="I468" s="241"/>
      <c r="J468" s="241"/>
      <c r="K468" s="241"/>
      <c r="L468" s="241"/>
      <c r="M468" s="241"/>
      <c r="N468" s="241"/>
      <c r="O468" s="241"/>
      <c r="P468" s="241"/>
      <c r="Q468" s="241"/>
      <c r="R468" s="241"/>
      <c r="S468" s="241"/>
      <c r="T468" s="241"/>
      <c r="U468" s="241"/>
      <c r="V468" s="241"/>
      <c r="W468" s="241"/>
      <c r="X468" s="241"/>
      <c r="Y468" s="241"/>
      <c r="Z468" s="241"/>
      <c r="AA468" s="241"/>
      <c r="AB468" s="241"/>
      <c r="AC468" s="241"/>
      <c r="AD468" s="241"/>
      <c r="AE468" s="241"/>
      <c r="AF468" s="241"/>
      <c r="AG468" s="241"/>
      <c r="AH468" s="241"/>
      <c r="AI468" s="241"/>
      <c r="AJ468" s="241"/>
      <c r="AK468" s="241"/>
      <c r="AL468" s="241"/>
      <c r="AM468" s="241"/>
      <c r="AN468" s="241"/>
      <c r="AO468" s="241"/>
      <c r="AP468" s="241"/>
      <c r="AU468" s="263"/>
      <c r="BX468" s="327"/>
    </row>
    <row r="469" spans="1:76" s="240" customFormat="1">
      <c r="A469" s="392"/>
      <c r="B469" s="370"/>
      <c r="C469" s="392"/>
      <c r="H469" s="241"/>
      <c r="I469" s="241"/>
      <c r="J469" s="241"/>
      <c r="K469" s="241"/>
      <c r="L469" s="241"/>
      <c r="M469" s="241"/>
      <c r="N469" s="241"/>
      <c r="O469" s="241"/>
      <c r="P469" s="241"/>
      <c r="Q469" s="241"/>
      <c r="R469" s="241"/>
      <c r="S469" s="241"/>
      <c r="T469" s="241"/>
      <c r="U469" s="241"/>
      <c r="V469" s="241"/>
      <c r="W469" s="241"/>
      <c r="X469" s="241"/>
      <c r="Y469" s="241"/>
      <c r="Z469" s="241"/>
      <c r="AA469" s="241"/>
      <c r="AB469" s="241"/>
      <c r="AC469" s="241"/>
      <c r="AD469" s="241"/>
      <c r="AE469" s="241"/>
      <c r="AF469" s="241"/>
      <c r="AG469" s="241"/>
      <c r="AH469" s="241"/>
      <c r="AI469" s="241"/>
      <c r="AJ469" s="241"/>
      <c r="AK469" s="241"/>
      <c r="AL469" s="241"/>
      <c r="AM469" s="241"/>
      <c r="AN469" s="241"/>
      <c r="AO469" s="241"/>
      <c r="AP469" s="241"/>
      <c r="AU469" s="263"/>
      <c r="BX469" s="327"/>
    </row>
    <row r="470" spans="1:76" s="240" customFormat="1">
      <c r="A470" s="392"/>
      <c r="B470" s="370"/>
      <c r="C470" s="392"/>
      <c r="H470" s="241"/>
      <c r="I470" s="241"/>
      <c r="J470" s="241"/>
      <c r="K470" s="241"/>
      <c r="L470" s="241"/>
      <c r="M470" s="241"/>
      <c r="N470" s="241"/>
      <c r="O470" s="241"/>
      <c r="P470" s="241"/>
      <c r="Q470" s="241"/>
      <c r="R470" s="241"/>
      <c r="S470" s="241"/>
      <c r="T470" s="241"/>
      <c r="U470" s="241"/>
      <c r="V470" s="241"/>
      <c r="W470" s="241"/>
      <c r="X470" s="241"/>
      <c r="Y470" s="241"/>
      <c r="Z470" s="241"/>
      <c r="AA470" s="241"/>
      <c r="AB470" s="241"/>
      <c r="AC470" s="241"/>
      <c r="AD470" s="241"/>
      <c r="AE470" s="241"/>
      <c r="AF470" s="241"/>
      <c r="AG470" s="241"/>
      <c r="AH470" s="241"/>
      <c r="AI470" s="241"/>
      <c r="AJ470" s="241"/>
      <c r="AK470" s="241"/>
      <c r="AL470" s="241"/>
      <c r="AM470" s="241"/>
      <c r="AN470" s="241"/>
      <c r="AO470" s="241"/>
      <c r="AP470" s="241"/>
      <c r="AU470" s="263"/>
      <c r="BX470" s="327"/>
    </row>
    <row r="471" spans="1:76" s="240" customFormat="1">
      <c r="A471" s="392"/>
      <c r="B471" s="370"/>
      <c r="C471" s="392"/>
      <c r="H471" s="241"/>
      <c r="I471" s="241"/>
      <c r="J471" s="241"/>
      <c r="K471" s="241"/>
      <c r="L471" s="241"/>
      <c r="M471" s="241"/>
      <c r="N471" s="241"/>
      <c r="O471" s="241"/>
      <c r="P471" s="241"/>
      <c r="Q471" s="241"/>
      <c r="R471" s="241"/>
      <c r="S471" s="241"/>
      <c r="T471" s="241"/>
      <c r="U471" s="241"/>
      <c r="V471" s="241"/>
      <c r="W471" s="241"/>
      <c r="X471" s="241"/>
      <c r="Y471" s="241"/>
      <c r="Z471" s="241"/>
      <c r="AA471" s="241"/>
      <c r="AB471" s="241"/>
      <c r="AC471" s="241"/>
      <c r="AD471" s="241"/>
      <c r="AE471" s="241"/>
      <c r="AF471" s="241"/>
      <c r="AG471" s="241"/>
      <c r="AH471" s="241"/>
      <c r="AI471" s="241"/>
      <c r="AJ471" s="241"/>
      <c r="AK471" s="241"/>
      <c r="AL471" s="241"/>
      <c r="AM471" s="241"/>
      <c r="AN471" s="241"/>
      <c r="AO471" s="241"/>
      <c r="AP471" s="241"/>
      <c r="AU471" s="263"/>
      <c r="BX471" s="327"/>
    </row>
    <row r="472" spans="1:76" s="240" customFormat="1">
      <c r="A472" s="392"/>
      <c r="B472" s="370"/>
      <c r="C472" s="392"/>
      <c r="H472" s="241"/>
      <c r="I472" s="241"/>
      <c r="J472" s="241"/>
      <c r="K472" s="241"/>
      <c r="L472" s="241"/>
      <c r="M472" s="241"/>
      <c r="N472" s="241"/>
      <c r="O472" s="241"/>
      <c r="P472" s="241"/>
      <c r="Q472" s="241"/>
      <c r="R472" s="241"/>
      <c r="S472" s="241"/>
      <c r="T472" s="241"/>
      <c r="U472" s="241"/>
      <c r="V472" s="241"/>
      <c r="W472" s="241"/>
      <c r="X472" s="241"/>
      <c r="Y472" s="241"/>
      <c r="Z472" s="241"/>
      <c r="AA472" s="241"/>
      <c r="AB472" s="241"/>
      <c r="AC472" s="241"/>
      <c r="AD472" s="241"/>
      <c r="AE472" s="241"/>
      <c r="AF472" s="241"/>
      <c r="AG472" s="241"/>
      <c r="AH472" s="241"/>
      <c r="AI472" s="241"/>
      <c r="AJ472" s="241"/>
      <c r="AK472" s="241"/>
      <c r="AL472" s="241"/>
      <c r="AM472" s="241"/>
      <c r="AN472" s="241"/>
      <c r="AO472" s="241"/>
      <c r="AP472" s="241"/>
      <c r="AU472" s="263"/>
      <c r="BX472" s="327"/>
    </row>
    <row r="473" spans="1:76" s="240" customFormat="1">
      <c r="A473" s="392"/>
      <c r="B473" s="370"/>
      <c r="C473" s="392"/>
      <c r="H473" s="241"/>
      <c r="I473" s="241"/>
      <c r="J473" s="241"/>
      <c r="K473" s="241"/>
      <c r="L473" s="241"/>
      <c r="M473" s="241"/>
      <c r="N473" s="241"/>
      <c r="O473" s="241"/>
      <c r="P473" s="241"/>
      <c r="Q473" s="241"/>
      <c r="R473" s="241"/>
      <c r="S473" s="241"/>
      <c r="T473" s="241"/>
      <c r="U473" s="241"/>
      <c r="V473" s="241"/>
      <c r="W473" s="241"/>
      <c r="X473" s="241"/>
      <c r="Y473" s="241"/>
      <c r="Z473" s="241"/>
      <c r="AA473" s="241"/>
      <c r="AB473" s="241"/>
      <c r="AC473" s="241"/>
      <c r="AD473" s="241"/>
      <c r="AE473" s="241"/>
      <c r="AF473" s="241"/>
      <c r="AG473" s="241"/>
      <c r="AH473" s="241"/>
      <c r="AI473" s="241"/>
      <c r="AJ473" s="241"/>
      <c r="AK473" s="241"/>
      <c r="AL473" s="241"/>
      <c r="AM473" s="241"/>
      <c r="AN473" s="241"/>
      <c r="AO473" s="241"/>
      <c r="AP473" s="241"/>
      <c r="AU473" s="263"/>
      <c r="BX473" s="327"/>
    </row>
    <row r="474" spans="1:76" s="240" customFormat="1">
      <c r="A474" s="392"/>
      <c r="B474" s="370"/>
      <c r="C474" s="392"/>
      <c r="H474" s="241"/>
      <c r="I474" s="241"/>
      <c r="J474" s="241"/>
      <c r="K474" s="241"/>
      <c r="L474" s="241"/>
      <c r="M474" s="241"/>
      <c r="N474" s="241"/>
      <c r="O474" s="241"/>
      <c r="P474" s="241"/>
      <c r="Q474" s="241"/>
      <c r="R474" s="241"/>
      <c r="S474" s="241"/>
      <c r="T474" s="241"/>
      <c r="U474" s="241"/>
      <c r="V474" s="241"/>
      <c r="W474" s="241"/>
      <c r="X474" s="241"/>
      <c r="Y474" s="241"/>
      <c r="Z474" s="241"/>
      <c r="AA474" s="241"/>
      <c r="AB474" s="241"/>
      <c r="AC474" s="241"/>
      <c r="AD474" s="241"/>
      <c r="AE474" s="241"/>
      <c r="AF474" s="241"/>
      <c r="AG474" s="241"/>
      <c r="AH474" s="241"/>
      <c r="AI474" s="241"/>
      <c r="AJ474" s="241"/>
      <c r="AK474" s="241"/>
      <c r="AL474" s="241"/>
      <c r="AM474" s="241"/>
      <c r="AN474" s="241"/>
      <c r="AO474" s="241"/>
      <c r="AP474" s="241"/>
      <c r="AU474" s="263"/>
      <c r="BX474" s="327"/>
    </row>
    <row r="475" spans="1:76" s="240" customFormat="1">
      <c r="A475" s="392"/>
      <c r="B475" s="370"/>
      <c r="C475" s="392"/>
      <c r="H475" s="241"/>
      <c r="I475" s="241"/>
      <c r="J475" s="241"/>
      <c r="K475" s="241"/>
      <c r="L475" s="241"/>
      <c r="M475" s="241"/>
      <c r="N475" s="241"/>
      <c r="O475" s="241"/>
      <c r="P475" s="241"/>
      <c r="Q475" s="241"/>
      <c r="R475" s="241"/>
      <c r="S475" s="241"/>
      <c r="T475" s="241"/>
      <c r="U475" s="241"/>
      <c r="V475" s="241"/>
      <c r="W475" s="241"/>
      <c r="X475" s="241"/>
      <c r="Y475" s="241"/>
      <c r="Z475" s="241"/>
      <c r="AA475" s="241"/>
      <c r="AB475" s="241"/>
      <c r="AC475" s="241"/>
      <c r="AD475" s="241"/>
      <c r="AE475" s="241"/>
      <c r="AF475" s="241"/>
      <c r="AG475" s="241"/>
      <c r="AH475" s="241"/>
      <c r="AI475" s="241"/>
      <c r="AJ475" s="241"/>
      <c r="AK475" s="241"/>
      <c r="AL475" s="241"/>
      <c r="AM475" s="241"/>
      <c r="AN475" s="241"/>
      <c r="AO475" s="241"/>
      <c r="AP475" s="241"/>
      <c r="AU475" s="263"/>
      <c r="BX475" s="327"/>
    </row>
    <row r="476" spans="1:76" s="240" customFormat="1">
      <c r="A476" s="392"/>
      <c r="B476" s="370"/>
      <c r="C476" s="392"/>
      <c r="H476" s="241"/>
      <c r="I476" s="241"/>
      <c r="J476" s="241"/>
      <c r="K476" s="241"/>
      <c r="L476" s="241"/>
      <c r="M476" s="241"/>
      <c r="N476" s="241"/>
      <c r="O476" s="241"/>
      <c r="P476" s="241"/>
      <c r="Q476" s="241"/>
      <c r="R476" s="241"/>
      <c r="S476" s="241"/>
      <c r="T476" s="241"/>
      <c r="U476" s="241"/>
      <c r="V476" s="241"/>
      <c r="W476" s="241"/>
      <c r="X476" s="241"/>
      <c r="Y476" s="241"/>
      <c r="Z476" s="241"/>
      <c r="AA476" s="241"/>
      <c r="AB476" s="241"/>
      <c r="AC476" s="241"/>
      <c r="AD476" s="241"/>
      <c r="AE476" s="241"/>
      <c r="AF476" s="241"/>
      <c r="AG476" s="241"/>
      <c r="AH476" s="241"/>
      <c r="AI476" s="241"/>
      <c r="AJ476" s="241"/>
      <c r="AK476" s="241"/>
      <c r="AL476" s="241"/>
      <c r="AM476" s="241"/>
      <c r="AN476" s="241"/>
      <c r="AO476" s="241"/>
      <c r="AP476" s="241"/>
      <c r="AU476" s="263"/>
      <c r="BX476" s="327"/>
    </row>
    <row r="477" spans="1:76" s="240" customFormat="1">
      <c r="A477" s="392"/>
      <c r="B477" s="370"/>
      <c r="C477" s="392"/>
      <c r="H477" s="241"/>
      <c r="I477" s="241"/>
      <c r="J477" s="241"/>
      <c r="K477" s="241"/>
      <c r="L477" s="241"/>
      <c r="M477" s="241"/>
      <c r="N477" s="241"/>
      <c r="O477" s="241"/>
      <c r="P477" s="241"/>
      <c r="Q477" s="241"/>
      <c r="R477" s="241"/>
      <c r="S477" s="241"/>
      <c r="T477" s="241"/>
      <c r="U477" s="241"/>
      <c r="V477" s="241"/>
      <c r="W477" s="241"/>
      <c r="X477" s="241"/>
      <c r="Y477" s="241"/>
      <c r="Z477" s="241"/>
      <c r="AA477" s="241"/>
      <c r="AB477" s="241"/>
      <c r="AC477" s="241"/>
      <c r="AD477" s="241"/>
      <c r="AE477" s="241"/>
      <c r="AF477" s="241"/>
      <c r="AG477" s="241"/>
      <c r="AH477" s="241"/>
      <c r="AI477" s="241"/>
      <c r="AJ477" s="241"/>
      <c r="AK477" s="241"/>
      <c r="AL477" s="241"/>
      <c r="AM477" s="241"/>
      <c r="AN477" s="241"/>
      <c r="AO477" s="241"/>
      <c r="AP477" s="241"/>
      <c r="AU477" s="263"/>
      <c r="BX477" s="327"/>
    </row>
    <row r="478" spans="1:76" s="240" customFormat="1">
      <c r="A478" s="392"/>
      <c r="B478" s="370"/>
      <c r="C478" s="392"/>
      <c r="H478" s="241"/>
      <c r="I478" s="241"/>
      <c r="J478" s="241"/>
      <c r="K478" s="241"/>
      <c r="L478" s="241"/>
      <c r="M478" s="241"/>
      <c r="N478" s="241"/>
      <c r="O478" s="241"/>
      <c r="P478" s="241"/>
      <c r="Q478" s="241"/>
      <c r="R478" s="241"/>
      <c r="S478" s="241"/>
      <c r="T478" s="241"/>
      <c r="U478" s="241"/>
      <c r="V478" s="241"/>
      <c r="W478" s="241"/>
      <c r="X478" s="241"/>
      <c r="Y478" s="241"/>
      <c r="Z478" s="241"/>
      <c r="AA478" s="241"/>
      <c r="AB478" s="241"/>
      <c r="AC478" s="241"/>
      <c r="AD478" s="241"/>
      <c r="AE478" s="241"/>
      <c r="AF478" s="241"/>
      <c r="AG478" s="241"/>
      <c r="AH478" s="241"/>
      <c r="AI478" s="241"/>
      <c r="AJ478" s="241"/>
      <c r="AK478" s="241"/>
      <c r="AL478" s="241"/>
      <c r="AM478" s="241"/>
      <c r="AN478" s="241"/>
      <c r="AO478" s="241"/>
      <c r="AP478" s="241"/>
      <c r="AU478" s="263"/>
      <c r="BX478" s="327"/>
    </row>
    <row r="479" spans="1:76" s="240" customFormat="1">
      <c r="A479" s="392"/>
      <c r="B479" s="370"/>
      <c r="C479" s="392"/>
      <c r="H479" s="241"/>
      <c r="I479" s="241"/>
      <c r="J479" s="241"/>
      <c r="K479" s="241"/>
      <c r="L479" s="241"/>
      <c r="M479" s="241"/>
      <c r="N479" s="241"/>
      <c r="O479" s="241"/>
      <c r="P479" s="241"/>
      <c r="Q479" s="241"/>
      <c r="R479" s="241"/>
      <c r="S479" s="241"/>
      <c r="T479" s="241"/>
      <c r="U479" s="241"/>
      <c r="V479" s="241"/>
      <c r="W479" s="241"/>
      <c r="X479" s="241"/>
      <c r="Y479" s="241"/>
      <c r="Z479" s="241"/>
      <c r="AA479" s="241"/>
      <c r="AB479" s="241"/>
      <c r="AC479" s="241"/>
      <c r="AD479" s="241"/>
      <c r="AE479" s="241"/>
      <c r="AF479" s="241"/>
      <c r="AG479" s="241"/>
      <c r="AH479" s="241"/>
      <c r="AI479" s="241"/>
      <c r="AJ479" s="241"/>
      <c r="AK479" s="241"/>
      <c r="AL479" s="241"/>
      <c r="AM479" s="241"/>
      <c r="AN479" s="241"/>
      <c r="AO479" s="241"/>
      <c r="AP479" s="241"/>
      <c r="AU479" s="263"/>
      <c r="BX479" s="327"/>
    </row>
    <row r="480" spans="1:76" s="240" customFormat="1">
      <c r="A480" s="392"/>
      <c r="B480" s="370"/>
      <c r="C480" s="392"/>
      <c r="H480" s="241"/>
      <c r="I480" s="241"/>
      <c r="J480" s="241"/>
      <c r="K480" s="241"/>
      <c r="L480" s="241"/>
      <c r="M480" s="241"/>
      <c r="N480" s="241"/>
      <c r="O480" s="241"/>
      <c r="P480" s="241"/>
      <c r="Q480" s="241"/>
      <c r="R480" s="241"/>
      <c r="S480" s="241"/>
      <c r="T480" s="241"/>
      <c r="U480" s="241"/>
      <c r="V480" s="241"/>
      <c r="W480" s="241"/>
      <c r="X480" s="241"/>
      <c r="Y480" s="241"/>
      <c r="Z480" s="241"/>
      <c r="AA480" s="241"/>
      <c r="AB480" s="241"/>
      <c r="AC480" s="241"/>
      <c r="AD480" s="241"/>
      <c r="AE480" s="241"/>
      <c r="AF480" s="241"/>
      <c r="AG480" s="241"/>
      <c r="AH480" s="241"/>
      <c r="AI480" s="241"/>
      <c r="AJ480" s="241"/>
      <c r="AK480" s="241"/>
      <c r="AL480" s="241"/>
      <c r="AM480" s="241"/>
      <c r="AN480" s="241"/>
      <c r="AO480" s="241"/>
      <c r="AP480" s="241"/>
      <c r="AU480" s="263"/>
      <c r="BX480" s="327"/>
    </row>
    <row r="481" spans="1:76" s="240" customFormat="1">
      <c r="A481" s="392"/>
      <c r="B481" s="370"/>
      <c r="C481" s="392"/>
      <c r="H481" s="241"/>
      <c r="I481" s="241"/>
      <c r="J481" s="241"/>
      <c r="K481" s="241"/>
      <c r="L481" s="241"/>
      <c r="M481" s="241"/>
      <c r="N481" s="241"/>
      <c r="O481" s="241"/>
      <c r="P481" s="241"/>
      <c r="Q481" s="241"/>
      <c r="R481" s="241"/>
      <c r="S481" s="241"/>
      <c r="T481" s="241"/>
      <c r="U481" s="241"/>
      <c r="V481" s="241"/>
      <c r="W481" s="241"/>
      <c r="X481" s="241"/>
      <c r="Y481" s="241"/>
      <c r="Z481" s="241"/>
      <c r="AA481" s="241"/>
      <c r="AB481" s="241"/>
      <c r="AC481" s="241"/>
      <c r="AD481" s="241"/>
      <c r="AE481" s="241"/>
      <c r="AF481" s="241"/>
      <c r="AG481" s="241"/>
      <c r="AH481" s="241"/>
      <c r="AI481" s="241"/>
      <c r="AJ481" s="241"/>
      <c r="AK481" s="241"/>
      <c r="AL481" s="241"/>
      <c r="AM481" s="241"/>
      <c r="AN481" s="241"/>
      <c r="AO481" s="241"/>
      <c r="AP481" s="241"/>
      <c r="AU481" s="263"/>
      <c r="BX481" s="327"/>
    </row>
    <row r="482" spans="1:76" s="240" customFormat="1">
      <c r="A482" s="392"/>
      <c r="B482" s="370"/>
      <c r="C482" s="392"/>
      <c r="H482" s="241"/>
      <c r="I482" s="241"/>
      <c r="J482" s="241"/>
      <c r="K482" s="241"/>
      <c r="L482" s="241"/>
      <c r="M482" s="241"/>
      <c r="N482" s="241"/>
      <c r="O482" s="241"/>
      <c r="P482" s="241"/>
      <c r="Q482" s="241"/>
      <c r="R482" s="241"/>
      <c r="S482" s="241"/>
      <c r="T482" s="241"/>
      <c r="U482" s="241"/>
      <c r="V482" s="241"/>
      <c r="W482" s="241"/>
      <c r="X482" s="241"/>
      <c r="Y482" s="241"/>
      <c r="Z482" s="241"/>
      <c r="AA482" s="241"/>
      <c r="AB482" s="241"/>
      <c r="AC482" s="241"/>
      <c r="AD482" s="241"/>
      <c r="AE482" s="241"/>
      <c r="AF482" s="241"/>
      <c r="AG482" s="241"/>
      <c r="AH482" s="241"/>
      <c r="AI482" s="241"/>
      <c r="AJ482" s="241"/>
      <c r="AK482" s="241"/>
      <c r="AL482" s="241"/>
      <c r="AM482" s="241"/>
      <c r="AN482" s="241"/>
      <c r="AO482" s="241"/>
      <c r="AP482" s="241"/>
      <c r="AU482" s="263"/>
      <c r="BX482" s="327"/>
    </row>
    <row r="483" spans="1:76" s="240" customFormat="1">
      <c r="A483" s="392"/>
      <c r="B483" s="370"/>
      <c r="C483" s="392"/>
      <c r="H483" s="241"/>
      <c r="I483" s="241"/>
      <c r="J483" s="241"/>
      <c r="K483" s="241"/>
      <c r="L483" s="241"/>
      <c r="M483" s="241"/>
      <c r="N483" s="241"/>
      <c r="O483" s="241"/>
      <c r="P483" s="241"/>
      <c r="Q483" s="241"/>
      <c r="R483" s="241"/>
      <c r="S483" s="241"/>
      <c r="T483" s="241"/>
      <c r="U483" s="241"/>
      <c r="V483" s="241"/>
      <c r="W483" s="241"/>
      <c r="X483" s="241"/>
      <c r="Y483" s="241"/>
      <c r="Z483" s="241"/>
      <c r="AA483" s="241"/>
      <c r="AB483" s="241"/>
      <c r="AC483" s="241"/>
      <c r="AD483" s="241"/>
      <c r="AE483" s="241"/>
      <c r="AF483" s="241"/>
      <c r="AG483" s="241"/>
      <c r="AH483" s="241"/>
      <c r="AI483" s="241"/>
      <c r="AJ483" s="241"/>
      <c r="AK483" s="241"/>
      <c r="AL483" s="241"/>
      <c r="AM483" s="241"/>
      <c r="AN483" s="241"/>
      <c r="AO483" s="241"/>
      <c r="AP483" s="241"/>
      <c r="AU483" s="263"/>
      <c r="BX483" s="327"/>
    </row>
    <row r="484" spans="1:76" s="240" customFormat="1">
      <c r="A484" s="392"/>
      <c r="B484" s="370"/>
      <c r="C484" s="392"/>
      <c r="H484" s="241"/>
      <c r="I484" s="241"/>
      <c r="J484" s="241"/>
      <c r="K484" s="241"/>
      <c r="L484" s="241"/>
      <c r="M484" s="241"/>
      <c r="N484" s="241"/>
      <c r="O484" s="241"/>
      <c r="P484" s="241"/>
      <c r="Q484" s="241"/>
      <c r="R484" s="241"/>
      <c r="S484" s="241"/>
      <c r="T484" s="241"/>
      <c r="U484" s="241"/>
      <c r="V484" s="241"/>
      <c r="W484" s="241"/>
      <c r="X484" s="241"/>
      <c r="Y484" s="241"/>
      <c r="Z484" s="241"/>
      <c r="AA484" s="241"/>
      <c r="AB484" s="241"/>
      <c r="AC484" s="241"/>
      <c r="AD484" s="241"/>
      <c r="AE484" s="241"/>
      <c r="AF484" s="241"/>
      <c r="AG484" s="241"/>
      <c r="AH484" s="241"/>
      <c r="AI484" s="241"/>
      <c r="AJ484" s="241"/>
      <c r="AK484" s="241"/>
      <c r="AL484" s="241"/>
      <c r="AM484" s="241"/>
      <c r="AN484" s="241"/>
      <c r="AO484" s="241"/>
      <c r="AP484" s="241"/>
      <c r="AU484" s="263"/>
      <c r="BX484" s="327"/>
    </row>
    <row r="485" spans="1:76" s="240" customFormat="1">
      <c r="A485" s="392"/>
      <c r="B485" s="370"/>
      <c r="C485" s="392"/>
      <c r="H485" s="241"/>
      <c r="I485" s="241"/>
      <c r="J485" s="241"/>
      <c r="K485" s="241"/>
      <c r="L485" s="241"/>
      <c r="M485" s="241"/>
      <c r="N485" s="241"/>
      <c r="O485" s="241"/>
      <c r="P485" s="241"/>
      <c r="Q485" s="241"/>
      <c r="R485" s="241"/>
      <c r="S485" s="241"/>
      <c r="T485" s="241"/>
      <c r="U485" s="241"/>
      <c r="V485" s="241"/>
      <c r="W485" s="241"/>
      <c r="X485" s="241"/>
      <c r="Y485" s="241"/>
      <c r="Z485" s="241"/>
      <c r="AA485" s="241"/>
      <c r="AB485" s="241"/>
      <c r="AC485" s="241"/>
      <c r="AD485" s="241"/>
      <c r="AE485" s="241"/>
      <c r="AF485" s="241"/>
      <c r="AG485" s="241"/>
      <c r="AH485" s="241"/>
      <c r="AI485" s="241"/>
      <c r="AJ485" s="241"/>
      <c r="AK485" s="241"/>
      <c r="AL485" s="241"/>
      <c r="AM485" s="241"/>
      <c r="AN485" s="241"/>
      <c r="AO485" s="241"/>
      <c r="AP485" s="241"/>
      <c r="AU485" s="263"/>
      <c r="BX485" s="327"/>
    </row>
    <row r="486" spans="1:76" s="240" customFormat="1">
      <c r="A486" s="392"/>
      <c r="B486" s="370"/>
      <c r="C486" s="392"/>
      <c r="H486" s="241"/>
      <c r="I486" s="241"/>
      <c r="J486" s="241"/>
      <c r="K486" s="241"/>
      <c r="L486" s="241"/>
      <c r="M486" s="241"/>
      <c r="N486" s="241"/>
      <c r="O486" s="241"/>
      <c r="P486" s="241"/>
      <c r="Q486" s="241"/>
      <c r="R486" s="241"/>
      <c r="S486" s="241"/>
      <c r="T486" s="241"/>
      <c r="U486" s="241"/>
      <c r="V486" s="241"/>
      <c r="W486" s="241"/>
      <c r="X486" s="241"/>
      <c r="Y486" s="241"/>
      <c r="Z486" s="241"/>
      <c r="AA486" s="241"/>
      <c r="AB486" s="241"/>
      <c r="AC486" s="241"/>
      <c r="AD486" s="241"/>
      <c r="AE486" s="241"/>
      <c r="AF486" s="241"/>
      <c r="AG486" s="241"/>
      <c r="AH486" s="241"/>
      <c r="AI486" s="241"/>
      <c r="AJ486" s="241"/>
      <c r="AK486" s="241"/>
      <c r="AL486" s="241"/>
      <c r="AM486" s="241"/>
      <c r="AN486" s="241"/>
      <c r="AO486" s="241"/>
      <c r="AP486" s="241"/>
      <c r="AU486" s="263"/>
      <c r="BX486" s="327"/>
    </row>
    <row r="487" spans="1:76" s="240" customFormat="1">
      <c r="A487" s="392"/>
      <c r="B487" s="370"/>
      <c r="C487" s="392"/>
      <c r="H487" s="241"/>
      <c r="I487" s="241"/>
      <c r="J487" s="241"/>
      <c r="K487" s="241"/>
      <c r="L487" s="241"/>
      <c r="M487" s="241"/>
      <c r="N487" s="241"/>
      <c r="O487" s="241"/>
      <c r="P487" s="241"/>
      <c r="Q487" s="241"/>
      <c r="R487" s="241"/>
      <c r="S487" s="241"/>
      <c r="T487" s="241"/>
      <c r="U487" s="241"/>
      <c r="V487" s="241"/>
      <c r="W487" s="241"/>
      <c r="X487" s="241"/>
      <c r="Y487" s="241"/>
      <c r="Z487" s="241"/>
      <c r="AA487" s="241"/>
      <c r="AB487" s="241"/>
      <c r="AC487" s="241"/>
      <c r="AD487" s="241"/>
      <c r="AE487" s="241"/>
      <c r="AF487" s="241"/>
      <c r="AG487" s="241"/>
      <c r="AH487" s="241"/>
      <c r="AI487" s="241"/>
      <c r="AJ487" s="241"/>
      <c r="AK487" s="241"/>
      <c r="AL487" s="241"/>
      <c r="AM487" s="241"/>
      <c r="AN487" s="241"/>
      <c r="AO487" s="241"/>
      <c r="AP487" s="241"/>
      <c r="AU487" s="263"/>
      <c r="BX487" s="327"/>
    </row>
    <row r="488" spans="1:76" s="240" customFormat="1">
      <c r="A488" s="392"/>
      <c r="B488" s="370"/>
      <c r="C488" s="392"/>
      <c r="H488" s="241"/>
      <c r="I488" s="241"/>
      <c r="J488" s="241"/>
      <c r="K488" s="241"/>
      <c r="L488" s="241"/>
      <c r="M488" s="241"/>
      <c r="N488" s="241"/>
      <c r="O488" s="241"/>
      <c r="P488" s="241"/>
      <c r="Q488" s="241"/>
      <c r="R488" s="241"/>
      <c r="S488" s="241"/>
      <c r="T488" s="241"/>
      <c r="U488" s="241"/>
      <c r="V488" s="241"/>
      <c r="W488" s="241"/>
      <c r="X488" s="241"/>
      <c r="Y488" s="241"/>
      <c r="Z488" s="241"/>
      <c r="AA488" s="241"/>
      <c r="AB488" s="241"/>
      <c r="AC488" s="241"/>
      <c r="AD488" s="241"/>
      <c r="AE488" s="241"/>
      <c r="AF488" s="241"/>
      <c r="AG488" s="241"/>
      <c r="AH488" s="241"/>
      <c r="AI488" s="241"/>
      <c r="AJ488" s="241"/>
      <c r="AK488" s="241"/>
      <c r="AL488" s="241"/>
      <c r="AM488" s="241"/>
      <c r="AN488" s="241"/>
      <c r="AO488" s="241"/>
      <c r="AP488" s="241"/>
      <c r="AU488" s="263"/>
      <c r="BX488" s="327"/>
    </row>
    <row r="489" spans="1:76" s="240" customFormat="1">
      <c r="A489" s="392"/>
      <c r="B489" s="370"/>
      <c r="C489" s="392"/>
      <c r="H489" s="241"/>
      <c r="I489" s="241"/>
      <c r="J489" s="241"/>
      <c r="K489" s="241"/>
      <c r="L489" s="241"/>
      <c r="M489" s="241"/>
      <c r="N489" s="241"/>
      <c r="O489" s="241"/>
      <c r="P489" s="241"/>
      <c r="Q489" s="241"/>
      <c r="R489" s="241"/>
      <c r="S489" s="241"/>
      <c r="T489" s="241"/>
      <c r="U489" s="241"/>
      <c r="V489" s="241"/>
      <c r="W489" s="241"/>
      <c r="X489" s="241"/>
      <c r="Y489" s="241"/>
      <c r="Z489" s="241"/>
      <c r="AA489" s="241"/>
      <c r="AB489" s="241"/>
      <c r="AC489" s="241"/>
      <c r="AD489" s="241"/>
      <c r="AE489" s="241"/>
      <c r="AF489" s="241"/>
      <c r="AG489" s="241"/>
      <c r="AH489" s="241"/>
      <c r="AI489" s="241"/>
      <c r="AJ489" s="241"/>
      <c r="AK489" s="241"/>
      <c r="AL489" s="241"/>
      <c r="AM489" s="241"/>
      <c r="AN489" s="241"/>
      <c r="AO489" s="241"/>
      <c r="AP489" s="241"/>
      <c r="AU489" s="263"/>
      <c r="BX489" s="327"/>
    </row>
    <row r="490" spans="1:76" s="240" customFormat="1">
      <c r="A490" s="392"/>
      <c r="B490" s="370"/>
      <c r="C490" s="392"/>
      <c r="H490" s="241"/>
      <c r="I490" s="241"/>
      <c r="J490" s="241"/>
      <c r="K490" s="241"/>
      <c r="L490" s="241"/>
      <c r="M490" s="241"/>
      <c r="N490" s="241"/>
      <c r="O490" s="241"/>
      <c r="P490" s="241"/>
      <c r="Q490" s="241"/>
      <c r="R490" s="241"/>
      <c r="S490" s="241"/>
      <c r="T490" s="241"/>
      <c r="U490" s="241"/>
      <c r="V490" s="241"/>
      <c r="W490" s="241"/>
      <c r="X490" s="241"/>
      <c r="Y490" s="241"/>
      <c r="Z490" s="241"/>
      <c r="AA490" s="241"/>
      <c r="AB490" s="241"/>
      <c r="AC490" s="241"/>
      <c r="AD490" s="241"/>
      <c r="AE490" s="241"/>
      <c r="AF490" s="241"/>
      <c r="AG490" s="241"/>
      <c r="AH490" s="241"/>
      <c r="AI490" s="241"/>
      <c r="AJ490" s="241"/>
      <c r="AK490" s="241"/>
      <c r="AL490" s="241"/>
      <c r="AM490" s="241"/>
      <c r="AN490" s="241"/>
      <c r="AO490" s="241"/>
      <c r="AP490" s="241"/>
      <c r="AU490" s="263"/>
      <c r="BX490" s="327"/>
    </row>
    <row r="491" spans="1:76" s="240" customFormat="1">
      <c r="A491" s="392"/>
      <c r="B491" s="370"/>
      <c r="C491" s="392"/>
      <c r="E491" s="67"/>
      <c r="F491" s="67"/>
      <c r="G491" s="67"/>
      <c r="H491" s="229"/>
      <c r="I491" s="229"/>
      <c r="J491" s="229"/>
      <c r="K491" s="229"/>
      <c r="L491" s="229"/>
      <c r="M491" s="229"/>
      <c r="N491" s="229"/>
      <c r="O491" s="229"/>
      <c r="P491" s="229"/>
      <c r="Q491" s="229"/>
      <c r="R491" s="229"/>
      <c r="S491" s="229"/>
      <c r="T491" s="229"/>
      <c r="U491" s="229"/>
      <c r="V491" s="229"/>
      <c r="W491" s="229"/>
      <c r="X491" s="229"/>
      <c r="Y491" s="229"/>
      <c r="Z491" s="229"/>
      <c r="AA491" s="229"/>
      <c r="AB491" s="229"/>
      <c r="AC491" s="229"/>
      <c r="AD491" s="229"/>
      <c r="AE491" s="229"/>
      <c r="AF491" s="229"/>
      <c r="AG491" s="229"/>
      <c r="AH491" s="229"/>
      <c r="AI491" s="229"/>
      <c r="AJ491" s="229"/>
      <c r="AK491" s="229"/>
      <c r="AL491" s="229"/>
      <c r="AM491" s="229"/>
      <c r="AN491" s="229"/>
      <c r="AO491" s="229"/>
      <c r="AP491" s="229"/>
      <c r="AQ491" s="67"/>
      <c r="AR491" s="67"/>
      <c r="AS491" s="67"/>
      <c r="AU491" s="263"/>
      <c r="BX491" s="327"/>
    </row>
    <row r="492" spans="1:76" s="240" customFormat="1">
      <c r="A492" s="392"/>
      <c r="B492" s="370"/>
      <c r="C492" s="392"/>
      <c r="E492" s="67"/>
      <c r="F492" s="67"/>
      <c r="G492" s="67"/>
      <c r="H492" s="229"/>
      <c r="I492" s="229"/>
      <c r="J492" s="229"/>
      <c r="K492" s="229"/>
      <c r="L492" s="229"/>
      <c r="M492" s="229"/>
      <c r="N492" s="229"/>
      <c r="O492" s="229"/>
      <c r="P492" s="229"/>
      <c r="Q492" s="229"/>
      <c r="R492" s="229"/>
      <c r="S492" s="229"/>
      <c r="T492" s="229"/>
      <c r="U492" s="229"/>
      <c r="V492" s="229"/>
      <c r="W492" s="229"/>
      <c r="X492" s="229"/>
      <c r="Y492" s="229"/>
      <c r="Z492" s="229"/>
      <c r="AA492" s="229"/>
      <c r="AB492" s="229"/>
      <c r="AC492" s="229"/>
      <c r="AD492" s="229"/>
      <c r="AE492" s="229"/>
      <c r="AF492" s="229"/>
      <c r="AG492" s="229"/>
      <c r="AH492" s="229"/>
      <c r="AI492" s="229"/>
      <c r="AJ492" s="229"/>
      <c r="AK492" s="229"/>
      <c r="AL492" s="229"/>
      <c r="AM492" s="229"/>
      <c r="AN492" s="229"/>
      <c r="AO492" s="229"/>
      <c r="AP492" s="229"/>
      <c r="AQ492" s="67"/>
      <c r="AR492" s="67"/>
      <c r="AS492" s="67"/>
      <c r="AU492" s="263"/>
      <c r="BX492" s="327"/>
    </row>
    <row r="493" spans="1:76" s="240" customFormat="1">
      <c r="A493" s="392"/>
      <c r="B493" s="370"/>
      <c r="C493" s="392"/>
      <c r="E493" s="67"/>
      <c r="F493" s="67"/>
      <c r="G493" s="67"/>
      <c r="H493" s="229"/>
      <c r="I493" s="229"/>
      <c r="J493" s="229"/>
      <c r="K493" s="229"/>
      <c r="L493" s="229"/>
      <c r="M493" s="229"/>
      <c r="N493" s="229"/>
      <c r="O493" s="229"/>
      <c r="P493" s="229"/>
      <c r="Q493" s="229"/>
      <c r="R493" s="229"/>
      <c r="S493" s="229"/>
      <c r="T493" s="229"/>
      <c r="U493" s="229"/>
      <c r="V493" s="229"/>
      <c r="W493" s="229"/>
      <c r="X493" s="229"/>
      <c r="Y493" s="229"/>
      <c r="Z493" s="229"/>
      <c r="AA493" s="229"/>
      <c r="AB493" s="229"/>
      <c r="AC493" s="229"/>
      <c r="AD493" s="229"/>
      <c r="AE493" s="229"/>
      <c r="AF493" s="229"/>
      <c r="AG493" s="229"/>
      <c r="AH493" s="229"/>
      <c r="AI493" s="229"/>
      <c r="AJ493" s="229"/>
      <c r="AK493" s="229"/>
      <c r="AL493" s="229"/>
      <c r="AM493" s="229"/>
      <c r="AN493" s="229"/>
      <c r="AO493" s="229"/>
      <c r="AP493" s="229"/>
      <c r="AQ493" s="67"/>
      <c r="AR493" s="67"/>
      <c r="AS493" s="67"/>
      <c r="AU493" s="263"/>
      <c r="BX493" s="327"/>
    </row>
    <row r="494" spans="1:76" s="240" customFormat="1">
      <c r="A494" s="392"/>
      <c r="B494" s="370"/>
      <c r="C494" s="392"/>
      <c r="E494" s="67"/>
      <c r="F494" s="67"/>
      <c r="G494" s="67"/>
      <c r="H494" s="229"/>
      <c r="I494" s="229"/>
      <c r="J494" s="229"/>
      <c r="K494" s="229"/>
      <c r="L494" s="229"/>
      <c r="M494" s="229"/>
      <c r="N494" s="229"/>
      <c r="O494" s="229"/>
      <c r="P494" s="229"/>
      <c r="Q494" s="229"/>
      <c r="R494" s="229"/>
      <c r="S494" s="229"/>
      <c r="T494" s="229"/>
      <c r="U494" s="229"/>
      <c r="V494" s="229"/>
      <c r="W494" s="229"/>
      <c r="X494" s="229"/>
      <c r="Y494" s="229"/>
      <c r="Z494" s="229"/>
      <c r="AA494" s="229"/>
      <c r="AB494" s="229"/>
      <c r="AC494" s="229"/>
      <c r="AD494" s="229"/>
      <c r="AE494" s="229"/>
      <c r="AF494" s="229"/>
      <c r="AG494" s="229"/>
      <c r="AH494" s="229"/>
      <c r="AI494" s="229"/>
      <c r="AJ494" s="229"/>
      <c r="AK494" s="229"/>
      <c r="AL494" s="229"/>
      <c r="AM494" s="229"/>
      <c r="AN494" s="229"/>
      <c r="AO494" s="229"/>
      <c r="AP494" s="229"/>
      <c r="AQ494" s="67"/>
      <c r="AR494" s="67"/>
      <c r="AS494" s="67"/>
      <c r="AU494" s="263"/>
      <c r="BX494" s="327"/>
    </row>
    <row r="495" spans="1:76" s="240" customFormat="1">
      <c r="A495" s="392"/>
      <c r="B495" s="370"/>
      <c r="C495" s="392"/>
      <c r="E495" s="67"/>
      <c r="F495" s="67"/>
      <c r="G495" s="67"/>
      <c r="H495" s="229"/>
      <c r="I495" s="229"/>
      <c r="J495" s="229"/>
      <c r="K495" s="229"/>
      <c r="L495" s="229"/>
      <c r="M495" s="229"/>
      <c r="N495" s="229"/>
      <c r="O495" s="229"/>
      <c r="P495" s="229"/>
      <c r="Q495" s="229"/>
      <c r="R495" s="229"/>
      <c r="S495" s="229"/>
      <c r="T495" s="229"/>
      <c r="U495" s="229"/>
      <c r="V495" s="229"/>
      <c r="W495" s="229"/>
      <c r="X495" s="229"/>
      <c r="Y495" s="229"/>
      <c r="Z495" s="229"/>
      <c r="AA495" s="229"/>
      <c r="AB495" s="229"/>
      <c r="AC495" s="229"/>
      <c r="AD495" s="229"/>
      <c r="AE495" s="229"/>
      <c r="AF495" s="229"/>
      <c r="AG495" s="229"/>
      <c r="AH495" s="229"/>
      <c r="AI495" s="229"/>
      <c r="AJ495" s="229"/>
      <c r="AK495" s="229"/>
      <c r="AL495" s="229"/>
      <c r="AM495" s="229"/>
      <c r="AN495" s="229"/>
      <c r="AO495" s="229"/>
      <c r="AP495" s="229"/>
      <c r="AQ495" s="67"/>
      <c r="AR495" s="67"/>
      <c r="AS495" s="67"/>
      <c r="AU495" s="263"/>
      <c r="BX495" s="327"/>
    </row>
    <row r="496" spans="1:76" s="240" customFormat="1">
      <c r="A496" s="392"/>
      <c r="B496" s="370"/>
      <c r="C496" s="392"/>
      <c r="E496" s="67"/>
      <c r="F496" s="67"/>
      <c r="G496" s="67"/>
      <c r="H496" s="229"/>
      <c r="I496" s="229"/>
      <c r="J496" s="229"/>
      <c r="K496" s="229"/>
      <c r="L496" s="229"/>
      <c r="M496" s="229"/>
      <c r="N496" s="229"/>
      <c r="O496" s="229"/>
      <c r="P496" s="229"/>
      <c r="Q496" s="229"/>
      <c r="R496" s="229"/>
      <c r="S496" s="229"/>
      <c r="T496" s="229"/>
      <c r="U496" s="229"/>
      <c r="V496" s="229"/>
      <c r="W496" s="229"/>
      <c r="X496" s="229"/>
      <c r="Y496" s="229"/>
      <c r="Z496" s="229"/>
      <c r="AA496" s="229"/>
      <c r="AB496" s="229"/>
      <c r="AC496" s="229"/>
      <c r="AD496" s="229"/>
      <c r="AE496" s="229"/>
      <c r="AF496" s="229"/>
      <c r="AG496" s="229"/>
      <c r="AH496" s="229"/>
      <c r="AI496" s="229"/>
      <c r="AJ496" s="229"/>
      <c r="AK496" s="229"/>
      <c r="AL496" s="229"/>
      <c r="AM496" s="229"/>
      <c r="AN496" s="229"/>
      <c r="AO496" s="229"/>
      <c r="AP496" s="229"/>
      <c r="AQ496" s="67"/>
      <c r="AR496" s="67"/>
      <c r="AS496" s="67"/>
      <c r="AU496" s="263"/>
      <c r="BX496" s="327"/>
    </row>
  </sheetData>
  <mergeCells count="64">
    <mergeCell ref="AL5:AL6"/>
    <mergeCell ref="AM5:AM6"/>
    <mergeCell ref="H4:Q4"/>
    <mergeCell ref="O5:O6"/>
    <mergeCell ref="P5:P6"/>
    <mergeCell ref="Q5:Q6"/>
    <mergeCell ref="H5:H6"/>
    <mergeCell ref="I5:I6"/>
    <mergeCell ref="J5:J6"/>
    <mergeCell ref="K5:K6"/>
    <mergeCell ref="L5:L6"/>
    <mergeCell ref="M5:M6"/>
    <mergeCell ref="N5:N6"/>
    <mergeCell ref="BX4:BX6"/>
    <mergeCell ref="AN5:AN6"/>
    <mergeCell ref="AO5:AO6"/>
    <mergeCell ref="AU271:AX271"/>
    <mergeCell ref="BV4:BW5"/>
    <mergeCell ref="BM4:BM6"/>
    <mergeCell ref="BQ4:BR5"/>
    <mergeCell ref="BS4:BS6"/>
    <mergeCell ref="BT4:BU5"/>
    <mergeCell ref="BN4:BO5"/>
    <mergeCell ref="BP4:BP6"/>
    <mergeCell ref="BK4:BL5"/>
    <mergeCell ref="BB4:BC5"/>
    <mergeCell ref="BD4:BD6"/>
    <mergeCell ref="BE4:BF5"/>
    <mergeCell ref="BG4:BG6"/>
    <mergeCell ref="AQ2:AS2"/>
    <mergeCell ref="AU4:AU6"/>
    <mergeCell ref="AV4:AV6"/>
    <mergeCell ref="AW4:AZ5"/>
    <mergeCell ref="BA4:BA6"/>
    <mergeCell ref="BH4:BI5"/>
    <mergeCell ref="BJ4:BJ6"/>
    <mergeCell ref="AQ4:AQ6"/>
    <mergeCell ref="R5:R6"/>
    <mergeCell ref="AD5:AD6"/>
    <mergeCell ref="AP5:AP6"/>
    <mergeCell ref="S4:S6"/>
    <mergeCell ref="AE4:AE6"/>
    <mergeCell ref="AF4:AO4"/>
    <mergeCell ref="AF5:AF6"/>
    <mergeCell ref="AG5:AG6"/>
    <mergeCell ref="AH5:AH6"/>
    <mergeCell ref="AI5:AI6"/>
    <mergeCell ref="AJ5:AJ6"/>
    <mergeCell ref="AK5:AK6"/>
    <mergeCell ref="AB5:AB6"/>
    <mergeCell ref="B4:D4"/>
    <mergeCell ref="B5:B6"/>
    <mergeCell ref="C5:C6"/>
    <mergeCell ref="D5:D6"/>
    <mergeCell ref="T4:AC4"/>
    <mergeCell ref="T5:T6"/>
    <mergeCell ref="U5:U6"/>
    <mergeCell ref="V5:V6"/>
    <mergeCell ref="W5:W6"/>
    <mergeCell ref="X5:X6"/>
    <mergeCell ref="Y5:Y6"/>
    <mergeCell ref="Z5:Z6"/>
    <mergeCell ref="AA5:AA6"/>
    <mergeCell ref="AC5:AC6"/>
  </mergeCells>
  <dataValidations count="4">
    <dataValidation type="list" allowBlank="1" showInputMessage="1" showErrorMessage="1" sqref="AQ158 AQ163">
      <formula1>$F$16:$F$17</formula1>
    </dataValidation>
    <dataValidation type="list" allowBlank="1" showInputMessage="1" showErrorMessage="1" sqref="AR29 AQ26:AQ28">
      <formula1>"Sans objet,à définir,Compris,Non prévu,"</formula1>
    </dataValidation>
    <dataValidation type="list" allowBlank="1" showInputMessage="1" showErrorMessage="1" sqref="AQ47 AQ56 AQ61 AQ225:AQ227 AQ133 AQ79 AQ21 AQ73 AQ143 AQ136:AQ137 AQ155:AQ157 AQ39 AQ71 AQ97:AQ99">
      <formula1>"Sans objet,à définir,Compris,Non prévu,Pm,"</formula1>
    </dataValidation>
    <dataValidation type="list" allowBlank="1" showInputMessage="1" showErrorMessage="1" sqref="C64:D64 C15:D15">
      <formula1>INDIRECT(B15)</formula1>
    </dataValidation>
  </dataValidations>
  <printOptions horizontalCentered="1"/>
  <pageMargins left="0.23622047244094491" right="0.23622047244094491" top="0.23622047244094491" bottom="0.74803149606299213" header="0" footer="0.31496062992125984"/>
  <pageSetup paperSize="9" scale="92" fitToHeight="0" orientation="landscape" r:id="rId1"/>
  <headerFooter>
    <oddFooter>&amp;C&amp;G&amp;R&amp;P/&amp;N</oddFooter>
  </headerFooter>
  <legacyDrawingHF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BB_PRIX!$B$5:$B$86</xm:f>
          </x14:formula1>
          <xm:sqref>B64 B15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A93"/>
  <sheetViews>
    <sheetView zoomScale="85" zoomScaleNormal="85" workbookViewId="0">
      <pane ySplit="4" topLeftCell="A30" activePane="bottomLeft" state="frozen"/>
      <selection pane="bottomLeft" activeCell="J46" sqref="J46"/>
    </sheetView>
  </sheetViews>
  <sheetFormatPr baseColWidth="10" defaultRowHeight="15"/>
  <cols>
    <col min="1" max="1" width="2.7109375" style="141" customWidth="1"/>
    <col min="2" max="2" width="5.28515625" style="142" customWidth="1"/>
    <col min="3" max="3" width="10.28515625" style="142" customWidth="1"/>
    <col min="4" max="4" width="51.5703125" style="142" customWidth="1"/>
    <col min="5" max="6" width="5.5703125" style="142" customWidth="1"/>
    <col min="7" max="7" width="11.42578125" style="142" customWidth="1"/>
    <col min="8" max="8" width="12.5703125" style="142" customWidth="1"/>
    <col min="9" max="9" width="5.5703125" style="142" customWidth="1"/>
    <col min="10" max="10" width="11.42578125" style="142" customWidth="1"/>
    <col min="11" max="11" width="13" style="142" customWidth="1"/>
    <col min="12" max="13" width="11.42578125" style="142" customWidth="1"/>
    <col min="14" max="14" width="5.5703125" style="142" customWidth="1"/>
    <col min="15" max="16" width="11.42578125" style="142" customWidth="1"/>
    <col min="17" max="17" width="5.5703125" style="142" customWidth="1" collapsed="1"/>
    <col min="18" max="19" width="11.42578125" style="142" customWidth="1"/>
    <col min="20" max="20" width="5.5703125" style="142" customWidth="1" collapsed="1"/>
    <col min="21" max="22" width="11.42578125" style="142" customWidth="1"/>
    <col min="23" max="23" width="5.5703125" style="142" customWidth="1"/>
    <col min="24" max="25" width="11.42578125" style="142" customWidth="1"/>
    <col min="26" max="26" width="5.5703125" style="142" customWidth="1"/>
    <col min="27" max="28" width="11.42578125" style="142" customWidth="1"/>
    <col min="29" max="29" width="5.5703125" style="142" customWidth="1"/>
    <col min="30" max="31" width="11.42578125" style="142" customWidth="1"/>
    <col min="32" max="32" width="5.5703125" style="142" customWidth="1"/>
    <col min="33" max="36" width="11.42578125" style="142" customWidth="1"/>
    <col min="37" max="53" width="11.5703125" style="141"/>
    <col min="54" max="258" width="11.5703125" style="142"/>
    <col min="259" max="259" width="2.7109375" style="142" customWidth="1"/>
    <col min="260" max="260" width="11.5703125" style="142"/>
    <col min="261" max="261" width="10.28515625" style="142" customWidth="1"/>
    <col min="262" max="262" width="37.28515625" style="142" customWidth="1"/>
    <col min="263" max="263" width="11.5703125" style="142"/>
    <col min="264" max="264" width="12.5703125" style="142" bestFit="1" customWidth="1"/>
    <col min="265" max="265" width="5.5703125" style="142" customWidth="1"/>
    <col min="266" max="266" width="11.5703125" style="142"/>
    <col min="267" max="267" width="13" style="142" customWidth="1"/>
    <col min="268" max="269" width="11.5703125" style="142"/>
    <col min="270" max="270" width="5.5703125" style="142" customWidth="1"/>
    <col min="271" max="272" width="11.5703125" style="142"/>
    <col min="273" max="273" width="5.5703125" style="142" customWidth="1"/>
    <col min="274" max="275" width="11.5703125" style="142"/>
    <col min="276" max="276" width="5.5703125" style="142" customWidth="1"/>
    <col min="277" max="278" width="11.5703125" style="142"/>
    <col min="279" max="279" width="5.5703125" style="142" customWidth="1"/>
    <col min="280" max="281" width="11.5703125" style="142"/>
    <col min="282" max="282" width="5.5703125" style="142" customWidth="1"/>
    <col min="283" max="284" width="11.5703125" style="142"/>
    <col min="285" max="285" width="5.5703125" style="142" customWidth="1"/>
    <col min="286" max="287" width="11.5703125" style="142"/>
    <col min="288" max="288" width="5.5703125" style="142" customWidth="1"/>
    <col min="289" max="514" width="11.5703125" style="142"/>
    <col min="515" max="515" width="2.7109375" style="142" customWidth="1"/>
    <col min="516" max="516" width="11.5703125" style="142"/>
    <col min="517" max="517" width="10.28515625" style="142" customWidth="1"/>
    <col min="518" max="518" width="37.28515625" style="142" customWidth="1"/>
    <col min="519" max="519" width="11.5703125" style="142"/>
    <col min="520" max="520" width="12.5703125" style="142" bestFit="1" customWidth="1"/>
    <col min="521" max="521" width="5.5703125" style="142" customWidth="1"/>
    <col min="522" max="522" width="11.5703125" style="142"/>
    <col min="523" max="523" width="13" style="142" customWidth="1"/>
    <col min="524" max="525" width="11.5703125" style="142"/>
    <col min="526" max="526" width="5.5703125" style="142" customWidth="1"/>
    <col min="527" max="528" width="11.5703125" style="142"/>
    <col min="529" max="529" width="5.5703125" style="142" customWidth="1"/>
    <col min="530" max="531" width="11.5703125" style="142"/>
    <col min="532" max="532" width="5.5703125" style="142" customWidth="1"/>
    <col min="533" max="534" width="11.5703125" style="142"/>
    <col min="535" max="535" width="5.5703125" style="142" customWidth="1"/>
    <col min="536" max="537" width="11.5703125" style="142"/>
    <col min="538" max="538" width="5.5703125" style="142" customWidth="1"/>
    <col min="539" max="540" width="11.5703125" style="142"/>
    <col min="541" max="541" width="5.5703125" style="142" customWidth="1"/>
    <col min="542" max="543" width="11.5703125" style="142"/>
    <col min="544" max="544" width="5.5703125" style="142" customWidth="1"/>
    <col min="545" max="770" width="11.5703125" style="142"/>
    <col min="771" max="771" width="2.7109375" style="142" customWidth="1"/>
    <col min="772" max="772" width="11.5703125" style="142"/>
    <col min="773" max="773" width="10.28515625" style="142" customWidth="1"/>
    <col min="774" max="774" width="37.28515625" style="142" customWidth="1"/>
    <col min="775" max="775" width="11.5703125" style="142"/>
    <col min="776" max="776" width="12.5703125" style="142" bestFit="1" customWidth="1"/>
    <col min="777" max="777" width="5.5703125" style="142" customWidth="1"/>
    <col min="778" max="778" width="11.5703125" style="142"/>
    <col min="779" max="779" width="13" style="142" customWidth="1"/>
    <col min="780" max="781" width="11.5703125" style="142"/>
    <col min="782" max="782" width="5.5703125" style="142" customWidth="1"/>
    <col min="783" max="784" width="11.5703125" style="142"/>
    <col min="785" max="785" width="5.5703125" style="142" customWidth="1"/>
    <col min="786" max="787" width="11.5703125" style="142"/>
    <col min="788" max="788" width="5.5703125" style="142" customWidth="1"/>
    <col min="789" max="790" width="11.5703125" style="142"/>
    <col min="791" max="791" width="5.5703125" style="142" customWidth="1"/>
    <col min="792" max="793" width="11.5703125" style="142"/>
    <col min="794" max="794" width="5.5703125" style="142" customWidth="1"/>
    <col min="795" max="796" width="11.5703125" style="142"/>
    <col min="797" max="797" width="5.5703125" style="142" customWidth="1"/>
    <col min="798" max="799" width="11.5703125" style="142"/>
    <col min="800" max="800" width="5.5703125" style="142" customWidth="1"/>
    <col min="801" max="1026" width="11.5703125" style="142"/>
    <col min="1027" max="1027" width="2.7109375" style="142" customWidth="1"/>
    <col min="1028" max="1028" width="11.5703125" style="142"/>
    <col min="1029" max="1029" width="10.28515625" style="142" customWidth="1"/>
    <col min="1030" max="1030" width="37.28515625" style="142" customWidth="1"/>
    <col min="1031" max="1031" width="11.5703125" style="142"/>
    <col min="1032" max="1032" width="12.5703125" style="142" bestFit="1" customWidth="1"/>
    <col min="1033" max="1033" width="5.5703125" style="142" customWidth="1"/>
    <col min="1034" max="1034" width="11.5703125" style="142"/>
    <col min="1035" max="1035" width="13" style="142" customWidth="1"/>
    <col min="1036" max="1037" width="11.5703125" style="142"/>
    <col min="1038" max="1038" width="5.5703125" style="142" customWidth="1"/>
    <col min="1039" max="1040" width="11.5703125" style="142"/>
    <col min="1041" max="1041" width="5.5703125" style="142" customWidth="1"/>
    <col min="1042" max="1043" width="11.5703125" style="142"/>
    <col min="1044" max="1044" width="5.5703125" style="142" customWidth="1"/>
    <col min="1045" max="1046" width="11.5703125" style="142"/>
    <col min="1047" max="1047" width="5.5703125" style="142" customWidth="1"/>
    <col min="1048" max="1049" width="11.5703125" style="142"/>
    <col min="1050" max="1050" width="5.5703125" style="142" customWidth="1"/>
    <col min="1051" max="1052" width="11.5703125" style="142"/>
    <col min="1053" max="1053" width="5.5703125" style="142" customWidth="1"/>
    <col min="1054" max="1055" width="11.5703125" style="142"/>
    <col min="1056" max="1056" width="5.5703125" style="142" customWidth="1"/>
    <col min="1057" max="1282" width="11.5703125" style="142"/>
    <col min="1283" max="1283" width="2.7109375" style="142" customWidth="1"/>
    <col min="1284" max="1284" width="11.5703125" style="142"/>
    <col min="1285" max="1285" width="10.28515625" style="142" customWidth="1"/>
    <col min="1286" max="1286" width="37.28515625" style="142" customWidth="1"/>
    <col min="1287" max="1287" width="11.5703125" style="142"/>
    <col min="1288" max="1288" width="12.5703125" style="142" bestFit="1" customWidth="1"/>
    <col min="1289" max="1289" width="5.5703125" style="142" customWidth="1"/>
    <col min="1290" max="1290" width="11.5703125" style="142"/>
    <col min="1291" max="1291" width="13" style="142" customWidth="1"/>
    <col min="1292" max="1293" width="11.5703125" style="142"/>
    <col min="1294" max="1294" width="5.5703125" style="142" customWidth="1"/>
    <col min="1295" max="1296" width="11.5703125" style="142"/>
    <col min="1297" max="1297" width="5.5703125" style="142" customWidth="1"/>
    <col min="1298" max="1299" width="11.5703125" style="142"/>
    <col min="1300" max="1300" width="5.5703125" style="142" customWidth="1"/>
    <col min="1301" max="1302" width="11.5703125" style="142"/>
    <col min="1303" max="1303" width="5.5703125" style="142" customWidth="1"/>
    <col min="1304" max="1305" width="11.5703125" style="142"/>
    <col min="1306" max="1306" width="5.5703125" style="142" customWidth="1"/>
    <col min="1307" max="1308" width="11.5703125" style="142"/>
    <col min="1309" max="1309" width="5.5703125" style="142" customWidth="1"/>
    <col min="1310" max="1311" width="11.5703125" style="142"/>
    <col min="1312" max="1312" width="5.5703125" style="142" customWidth="1"/>
    <col min="1313" max="1538" width="11.5703125" style="142"/>
    <col min="1539" max="1539" width="2.7109375" style="142" customWidth="1"/>
    <col min="1540" max="1540" width="11.5703125" style="142"/>
    <col min="1541" max="1541" width="10.28515625" style="142" customWidth="1"/>
    <col min="1542" max="1542" width="37.28515625" style="142" customWidth="1"/>
    <col min="1543" max="1543" width="11.5703125" style="142"/>
    <col min="1544" max="1544" width="12.5703125" style="142" bestFit="1" customWidth="1"/>
    <col min="1545" max="1545" width="5.5703125" style="142" customWidth="1"/>
    <col min="1546" max="1546" width="11.5703125" style="142"/>
    <col min="1547" max="1547" width="13" style="142" customWidth="1"/>
    <col min="1548" max="1549" width="11.5703125" style="142"/>
    <col min="1550" max="1550" width="5.5703125" style="142" customWidth="1"/>
    <col min="1551" max="1552" width="11.5703125" style="142"/>
    <col min="1553" max="1553" width="5.5703125" style="142" customWidth="1"/>
    <col min="1554" max="1555" width="11.5703125" style="142"/>
    <col min="1556" max="1556" width="5.5703125" style="142" customWidth="1"/>
    <col min="1557" max="1558" width="11.5703125" style="142"/>
    <col min="1559" max="1559" width="5.5703125" style="142" customWidth="1"/>
    <col min="1560" max="1561" width="11.5703125" style="142"/>
    <col min="1562" max="1562" width="5.5703125" style="142" customWidth="1"/>
    <col min="1563" max="1564" width="11.5703125" style="142"/>
    <col min="1565" max="1565" width="5.5703125" style="142" customWidth="1"/>
    <col min="1566" max="1567" width="11.5703125" style="142"/>
    <col min="1568" max="1568" width="5.5703125" style="142" customWidth="1"/>
    <col min="1569" max="1794" width="11.5703125" style="142"/>
    <col min="1795" max="1795" width="2.7109375" style="142" customWidth="1"/>
    <col min="1796" max="1796" width="11.5703125" style="142"/>
    <col min="1797" max="1797" width="10.28515625" style="142" customWidth="1"/>
    <col min="1798" max="1798" width="37.28515625" style="142" customWidth="1"/>
    <col min="1799" max="1799" width="11.5703125" style="142"/>
    <col min="1800" max="1800" width="12.5703125" style="142" bestFit="1" customWidth="1"/>
    <col min="1801" max="1801" width="5.5703125" style="142" customWidth="1"/>
    <col min="1802" max="1802" width="11.5703125" style="142"/>
    <col min="1803" max="1803" width="13" style="142" customWidth="1"/>
    <col min="1804" max="1805" width="11.5703125" style="142"/>
    <col min="1806" max="1806" width="5.5703125" style="142" customWidth="1"/>
    <col min="1807" max="1808" width="11.5703125" style="142"/>
    <col min="1809" max="1809" width="5.5703125" style="142" customWidth="1"/>
    <col min="1810" max="1811" width="11.5703125" style="142"/>
    <col min="1812" max="1812" width="5.5703125" style="142" customWidth="1"/>
    <col min="1813" max="1814" width="11.5703125" style="142"/>
    <col min="1815" max="1815" width="5.5703125" style="142" customWidth="1"/>
    <col min="1816" max="1817" width="11.5703125" style="142"/>
    <col min="1818" max="1818" width="5.5703125" style="142" customWidth="1"/>
    <col min="1819" max="1820" width="11.5703125" style="142"/>
    <col min="1821" max="1821" width="5.5703125" style="142" customWidth="1"/>
    <col min="1822" max="1823" width="11.5703125" style="142"/>
    <col min="1824" max="1824" width="5.5703125" style="142" customWidth="1"/>
    <col min="1825" max="2050" width="11.5703125" style="142"/>
    <col min="2051" max="2051" width="2.7109375" style="142" customWidth="1"/>
    <col min="2052" max="2052" width="11.5703125" style="142"/>
    <col min="2053" max="2053" width="10.28515625" style="142" customWidth="1"/>
    <col min="2054" max="2054" width="37.28515625" style="142" customWidth="1"/>
    <col min="2055" max="2055" width="11.5703125" style="142"/>
    <col min="2056" max="2056" width="12.5703125" style="142" bestFit="1" customWidth="1"/>
    <col min="2057" max="2057" width="5.5703125" style="142" customWidth="1"/>
    <col min="2058" max="2058" width="11.5703125" style="142"/>
    <col min="2059" max="2059" width="13" style="142" customWidth="1"/>
    <col min="2060" max="2061" width="11.5703125" style="142"/>
    <col min="2062" max="2062" width="5.5703125" style="142" customWidth="1"/>
    <col min="2063" max="2064" width="11.5703125" style="142"/>
    <col min="2065" max="2065" width="5.5703125" style="142" customWidth="1"/>
    <col min="2066" max="2067" width="11.5703125" style="142"/>
    <col min="2068" max="2068" width="5.5703125" style="142" customWidth="1"/>
    <col min="2069" max="2070" width="11.5703125" style="142"/>
    <col min="2071" max="2071" width="5.5703125" style="142" customWidth="1"/>
    <col min="2072" max="2073" width="11.5703125" style="142"/>
    <col min="2074" max="2074" width="5.5703125" style="142" customWidth="1"/>
    <col min="2075" max="2076" width="11.5703125" style="142"/>
    <col min="2077" max="2077" width="5.5703125" style="142" customWidth="1"/>
    <col min="2078" max="2079" width="11.5703125" style="142"/>
    <col min="2080" max="2080" width="5.5703125" style="142" customWidth="1"/>
    <col min="2081" max="2306" width="11.5703125" style="142"/>
    <col min="2307" max="2307" width="2.7109375" style="142" customWidth="1"/>
    <col min="2308" max="2308" width="11.5703125" style="142"/>
    <col min="2309" max="2309" width="10.28515625" style="142" customWidth="1"/>
    <col min="2310" max="2310" width="37.28515625" style="142" customWidth="1"/>
    <col min="2311" max="2311" width="11.5703125" style="142"/>
    <col min="2312" max="2312" width="12.5703125" style="142" bestFit="1" customWidth="1"/>
    <col min="2313" max="2313" width="5.5703125" style="142" customWidth="1"/>
    <col min="2314" max="2314" width="11.5703125" style="142"/>
    <col min="2315" max="2315" width="13" style="142" customWidth="1"/>
    <col min="2316" max="2317" width="11.5703125" style="142"/>
    <col min="2318" max="2318" width="5.5703125" style="142" customWidth="1"/>
    <col min="2319" max="2320" width="11.5703125" style="142"/>
    <col min="2321" max="2321" width="5.5703125" style="142" customWidth="1"/>
    <col min="2322" max="2323" width="11.5703125" style="142"/>
    <col min="2324" max="2324" width="5.5703125" style="142" customWidth="1"/>
    <col min="2325" max="2326" width="11.5703125" style="142"/>
    <col min="2327" max="2327" width="5.5703125" style="142" customWidth="1"/>
    <col min="2328" max="2329" width="11.5703125" style="142"/>
    <col min="2330" max="2330" width="5.5703125" style="142" customWidth="1"/>
    <col min="2331" max="2332" width="11.5703125" style="142"/>
    <col min="2333" max="2333" width="5.5703125" style="142" customWidth="1"/>
    <col min="2334" max="2335" width="11.5703125" style="142"/>
    <col min="2336" max="2336" width="5.5703125" style="142" customWidth="1"/>
    <col min="2337" max="2562" width="11.5703125" style="142"/>
    <col min="2563" max="2563" width="2.7109375" style="142" customWidth="1"/>
    <col min="2564" max="2564" width="11.5703125" style="142"/>
    <col min="2565" max="2565" width="10.28515625" style="142" customWidth="1"/>
    <col min="2566" max="2566" width="37.28515625" style="142" customWidth="1"/>
    <col min="2567" max="2567" width="11.5703125" style="142"/>
    <col min="2568" max="2568" width="12.5703125" style="142" bestFit="1" customWidth="1"/>
    <col min="2569" max="2569" width="5.5703125" style="142" customWidth="1"/>
    <col min="2570" max="2570" width="11.5703125" style="142"/>
    <col min="2571" max="2571" width="13" style="142" customWidth="1"/>
    <col min="2572" max="2573" width="11.5703125" style="142"/>
    <col min="2574" max="2574" width="5.5703125" style="142" customWidth="1"/>
    <col min="2575" max="2576" width="11.5703125" style="142"/>
    <col min="2577" max="2577" width="5.5703125" style="142" customWidth="1"/>
    <col min="2578" max="2579" width="11.5703125" style="142"/>
    <col min="2580" max="2580" width="5.5703125" style="142" customWidth="1"/>
    <col min="2581" max="2582" width="11.5703125" style="142"/>
    <col min="2583" max="2583" width="5.5703125" style="142" customWidth="1"/>
    <col min="2584" max="2585" width="11.5703125" style="142"/>
    <col min="2586" max="2586" width="5.5703125" style="142" customWidth="1"/>
    <col min="2587" max="2588" width="11.5703125" style="142"/>
    <col min="2589" max="2589" width="5.5703125" style="142" customWidth="1"/>
    <col min="2590" max="2591" width="11.5703125" style="142"/>
    <col min="2592" max="2592" width="5.5703125" style="142" customWidth="1"/>
    <col min="2593" max="2818" width="11.5703125" style="142"/>
    <col min="2819" max="2819" width="2.7109375" style="142" customWidth="1"/>
    <col min="2820" max="2820" width="11.5703125" style="142"/>
    <col min="2821" max="2821" width="10.28515625" style="142" customWidth="1"/>
    <col min="2822" max="2822" width="37.28515625" style="142" customWidth="1"/>
    <col min="2823" max="2823" width="11.5703125" style="142"/>
    <col min="2824" max="2824" width="12.5703125" style="142" bestFit="1" customWidth="1"/>
    <col min="2825" max="2825" width="5.5703125" style="142" customWidth="1"/>
    <col min="2826" max="2826" width="11.5703125" style="142"/>
    <col min="2827" max="2827" width="13" style="142" customWidth="1"/>
    <col min="2828" max="2829" width="11.5703125" style="142"/>
    <col min="2830" max="2830" width="5.5703125" style="142" customWidth="1"/>
    <col min="2831" max="2832" width="11.5703125" style="142"/>
    <col min="2833" max="2833" width="5.5703125" style="142" customWidth="1"/>
    <col min="2834" max="2835" width="11.5703125" style="142"/>
    <col min="2836" max="2836" width="5.5703125" style="142" customWidth="1"/>
    <col min="2837" max="2838" width="11.5703125" style="142"/>
    <col min="2839" max="2839" width="5.5703125" style="142" customWidth="1"/>
    <col min="2840" max="2841" width="11.5703125" style="142"/>
    <col min="2842" max="2842" width="5.5703125" style="142" customWidth="1"/>
    <col min="2843" max="2844" width="11.5703125" style="142"/>
    <col min="2845" max="2845" width="5.5703125" style="142" customWidth="1"/>
    <col min="2846" max="2847" width="11.5703125" style="142"/>
    <col min="2848" max="2848" width="5.5703125" style="142" customWidth="1"/>
    <col min="2849" max="3074" width="11.5703125" style="142"/>
    <col min="3075" max="3075" width="2.7109375" style="142" customWidth="1"/>
    <col min="3076" max="3076" width="11.5703125" style="142"/>
    <col min="3077" max="3077" width="10.28515625" style="142" customWidth="1"/>
    <col min="3078" max="3078" width="37.28515625" style="142" customWidth="1"/>
    <col min="3079" max="3079" width="11.5703125" style="142"/>
    <col min="3080" max="3080" width="12.5703125" style="142" bestFit="1" customWidth="1"/>
    <col min="3081" max="3081" width="5.5703125" style="142" customWidth="1"/>
    <col min="3082" max="3082" width="11.5703125" style="142"/>
    <col min="3083" max="3083" width="13" style="142" customWidth="1"/>
    <col min="3084" max="3085" width="11.5703125" style="142"/>
    <col min="3086" max="3086" width="5.5703125" style="142" customWidth="1"/>
    <col min="3087" max="3088" width="11.5703125" style="142"/>
    <col min="3089" max="3089" width="5.5703125" style="142" customWidth="1"/>
    <col min="3090" max="3091" width="11.5703125" style="142"/>
    <col min="3092" max="3092" width="5.5703125" style="142" customWidth="1"/>
    <col min="3093" max="3094" width="11.5703125" style="142"/>
    <col min="3095" max="3095" width="5.5703125" style="142" customWidth="1"/>
    <col min="3096" max="3097" width="11.5703125" style="142"/>
    <col min="3098" max="3098" width="5.5703125" style="142" customWidth="1"/>
    <col min="3099" max="3100" width="11.5703125" style="142"/>
    <col min="3101" max="3101" width="5.5703125" style="142" customWidth="1"/>
    <col min="3102" max="3103" width="11.5703125" style="142"/>
    <col min="3104" max="3104" width="5.5703125" style="142" customWidth="1"/>
    <col min="3105" max="3330" width="11.5703125" style="142"/>
    <col min="3331" max="3331" width="2.7109375" style="142" customWidth="1"/>
    <col min="3332" max="3332" width="11.5703125" style="142"/>
    <col min="3333" max="3333" width="10.28515625" style="142" customWidth="1"/>
    <col min="3334" max="3334" width="37.28515625" style="142" customWidth="1"/>
    <col min="3335" max="3335" width="11.5703125" style="142"/>
    <col min="3336" max="3336" width="12.5703125" style="142" bestFit="1" customWidth="1"/>
    <col min="3337" max="3337" width="5.5703125" style="142" customWidth="1"/>
    <col min="3338" max="3338" width="11.5703125" style="142"/>
    <col min="3339" max="3339" width="13" style="142" customWidth="1"/>
    <col min="3340" max="3341" width="11.5703125" style="142"/>
    <col min="3342" max="3342" width="5.5703125" style="142" customWidth="1"/>
    <col min="3343" max="3344" width="11.5703125" style="142"/>
    <col min="3345" max="3345" width="5.5703125" style="142" customWidth="1"/>
    <col min="3346" max="3347" width="11.5703125" style="142"/>
    <col min="3348" max="3348" width="5.5703125" style="142" customWidth="1"/>
    <col min="3349" max="3350" width="11.5703125" style="142"/>
    <col min="3351" max="3351" width="5.5703125" style="142" customWidth="1"/>
    <col min="3352" max="3353" width="11.5703125" style="142"/>
    <col min="3354" max="3354" width="5.5703125" style="142" customWidth="1"/>
    <col min="3355" max="3356" width="11.5703125" style="142"/>
    <col min="3357" max="3357" width="5.5703125" style="142" customWidth="1"/>
    <col min="3358" max="3359" width="11.5703125" style="142"/>
    <col min="3360" max="3360" width="5.5703125" style="142" customWidth="1"/>
    <col min="3361" max="3586" width="11.5703125" style="142"/>
    <col min="3587" max="3587" width="2.7109375" style="142" customWidth="1"/>
    <col min="3588" max="3588" width="11.5703125" style="142"/>
    <col min="3589" max="3589" width="10.28515625" style="142" customWidth="1"/>
    <col min="3590" max="3590" width="37.28515625" style="142" customWidth="1"/>
    <col min="3591" max="3591" width="11.5703125" style="142"/>
    <col min="3592" max="3592" width="12.5703125" style="142" bestFit="1" customWidth="1"/>
    <col min="3593" max="3593" width="5.5703125" style="142" customWidth="1"/>
    <col min="3594" max="3594" width="11.5703125" style="142"/>
    <col min="3595" max="3595" width="13" style="142" customWidth="1"/>
    <col min="3596" max="3597" width="11.5703125" style="142"/>
    <col min="3598" max="3598" width="5.5703125" style="142" customWidth="1"/>
    <col min="3599" max="3600" width="11.5703125" style="142"/>
    <col min="3601" max="3601" width="5.5703125" style="142" customWidth="1"/>
    <col min="3602" max="3603" width="11.5703125" style="142"/>
    <col min="3604" max="3604" width="5.5703125" style="142" customWidth="1"/>
    <col min="3605" max="3606" width="11.5703125" style="142"/>
    <col min="3607" max="3607" width="5.5703125" style="142" customWidth="1"/>
    <col min="3608" max="3609" width="11.5703125" style="142"/>
    <col min="3610" max="3610" width="5.5703125" style="142" customWidth="1"/>
    <col min="3611" max="3612" width="11.5703125" style="142"/>
    <col min="3613" max="3613" width="5.5703125" style="142" customWidth="1"/>
    <col min="3614" max="3615" width="11.5703125" style="142"/>
    <col min="3616" max="3616" width="5.5703125" style="142" customWidth="1"/>
    <col min="3617" max="3842" width="11.5703125" style="142"/>
    <col min="3843" max="3843" width="2.7109375" style="142" customWidth="1"/>
    <col min="3844" max="3844" width="11.5703125" style="142"/>
    <col min="3845" max="3845" width="10.28515625" style="142" customWidth="1"/>
    <col min="3846" max="3846" width="37.28515625" style="142" customWidth="1"/>
    <col min="3847" max="3847" width="11.5703125" style="142"/>
    <col min="3848" max="3848" width="12.5703125" style="142" bestFit="1" customWidth="1"/>
    <col min="3849" max="3849" width="5.5703125" style="142" customWidth="1"/>
    <col min="3850" max="3850" width="11.5703125" style="142"/>
    <col min="3851" max="3851" width="13" style="142" customWidth="1"/>
    <col min="3852" max="3853" width="11.5703125" style="142"/>
    <col min="3854" max="3854" width="5.5703125" style="142" customWidth="1"/>
    <col min="3855" max="3856" width="11.5703125" style="142"/>
    <col min="3857" max="3857" width="5.5703125" style="142" customWidth="1"/>
    <col min="3858" max="3859" width="11.5703125" style="142"/>
    <col min="3860" max="3860" width="5.5703125" style="142" customWidth="1"/>
    <col min="3861" max="3862" width="11.5703125" style="142"/>
    <col min="3863" max="3863" width="5.5703125" style="142" customWidth="1"/>
    <col min="3864" max="3865" width="11.5703125" style="142"/>
    <col min="3866" max="3866" width="5.5703125" style="142" customWidth="1"/>
    <col min="3867" max="3868" width="11.5703125" style="142"/>
    <col min="3869" max="3869" width="5.5703125" style="142" customWidth="1"/>
    <col min="3870" max="3871" width="11.5703125" style="142"/>
    <col min="3872" max="3872" width="5.5703125" style="142" customWidth="1"/>
    <col min="3873" max="4098" width="11.5703125" style="142"/>
    <col min="4099" max="4099" width="2.7109375" style="142" customWidth="1"/>
    <col min="4100" max="4100" width="11.5703125" style="142"/>
    <col min="4101" max="4101" width="10.28515625" style="142" customWidth="1"/>
    <col min="4102" max="4102" width="37.28515625" style="142" customWidth="1"/>
    <col min="4103" max="4103" width="11.5703125" style="142"/>
    <col min="4104" max="4104" width="12.5703125" style="142" bestFit="1" customWidth="1"/>
    <col min="4105" max="4105" width="5.5703125" style="142" customWidth="1"/>
    <col min="4106" max="4106" width="11.5703125" style="142"/>
    <col min="4107" max="4107" width="13" style="142" customWidth="1"/>
    <col min="4108" max="4109" width="11.5703125" style="142"/>
    <col min="4110" max="4110" width="5.5703125" style="142" customWidth="1"/>
    <col min="4111" max="4112" width="11.5703125" style="142"/>
    <col min="4113" max="4113" width="5.5703125" style="142" customWidth="1"/>
    <col min="4114" max="4115" width="11.5703125" style="142"/>
    <col min="4116" max="4116" width="5.5703125" style="142" customWidth="1"/>
    <col min="4117" max="4118" width="11.5703125" style="142"/>
    <col min="4119" max="4119" width="5.5703125" style="142" customWidth="1"/>
    <col min="4120" max="4121" width="11.5703125" style="142"/>
    <col min="4122" max="4122" width="5.5703125" style="142" customWidth="1"/>
    <col min="4123" max="4124" width="11.5703125" style="142"/>
    <col min="4125" max="4125" width="5.5703125" style="142" customWidth="1"/>
    <col min="4126" max="4127" width="11.5703125" style="142"/>
    <col min="4128" max="4128" width="5.5703125" style="142" customWidth="1"/>
    <col min="4129" max="4354" width="11.5703125" style="142"/>
    <col min="4355" max="4355" width="2.7109375" style="142" customWidth="1"/>
    <col min="4356" max="4356" width="11.5703125" style="142"/>
    <col min="4357" max="4357" width="10.28515625" style="142" customWidth="1"/>
    <col min="4358" max="4358" width="37.28515625" style="142" customWidth="1"/>
    <col min="4359" max="4359" width="11.5703125" style="142"/>
    <col min="4360" max="4360" width="12.5703125" style="142" bestFit="1" customWidth="1"/>
    <col min="4361" max="4361" width="5.5703125" style="142" customWidth="1"/>
    <col min="4362" max="4362" width="11.5703125" style="142"/>
    <col min="4363" max="4363" width="13" style="142" customWidth="1"/>
    <col min="4364" max="4365" width="11.5703125" style="142"/>
    <col min="4366" max="4366" width="5.5703125" style="142" customWidth="1"/>
    <col min="4367" max="4368" width="11.5703125" style="142"/>
    <col min="4369" max="4369" width="5.5703125" style="142" customWidth="1"/>
    <col min="4370" max="4371" width="11.5703125" style="142"/>
    <col min="4372" max="4372" width="5.5703125" style="142" customWidth="1"/>
    <col min="4373" max="4374" width="11.5703125" style="142"/>
    <col min="4375" max="4375" width="5.5703125" style="142" customWidth="1"/>
    <col min="4376" max="4377" width="11.5703125" style="142"/>
    <col min="4378" max="4378" width="5.5703125" style="142" customWidth="1"/>
    <col min="4379" max="4380" width="11.5703125" style="142"/>
    <col min="4381" max="4381" width="5.5703125" style="142" customWidth="1"/>
    <col min="4382" max="4383" width="11.5703125" style="142"/>
    <col min="4384" max="4384" width="5.5703125" style="142" customWidth="1"/>
    <col min="4385" max="4610" width="11.5703125" style="142"/>
    <col min="4611" max="4611" width="2.7109375" style="142" customWidth="1"/>
    <col min="4612" max="4612" width="11.5703125" style="142"/>
    <col min="4613" max="4613" width="10.28515625" style="142" customWidth="1"/>
    <col min="4614" max="4614" width="37.28515625" style="142" customWidth="1"/>
    <col min="4615" max="4615" width="11.5703125" style="142"/>
    <col min="4616" max="4616" width="12.5703125" style="142" bestFit="1" customWidth="1"/>
    <col min="4617" max="4617" width="5.5703125" style="142" customWidth="1"/>
    <col min="4618" max="4618" width="11.5703125" style="142"/>
    <col min="4619" max="4619" width="13" style="142" customWidth="1"/>
    <col min="4620" max="4621" width="11.5703125" style="142"/>
    <col min="4622" max="4622" width="5.5703125" style="142" customWidth="1"/>
    <col min="4623" max="4624" width="11.5703125" style="142"/>
    <col min="4625" max="4625" width="5.5703125" style="142" customWidth="1"/>
    <col min="4626" max="4627" width="11.5703125" style="142"/>
    <col min="4628" max="4628" width="5.5703125" style="142" customWidth="1"/>
    <col min="4629" max="4630" width="11.5703125" style="142"/>
    <col min="4631" max="4631" width="5.5703125" style="142" customWidth="1"/>
    <col min="4632" max="4633" width="11.5703125" style="142"/>
    <col min="4634" max="4634" width="5.5703125" style="142" customWidth="1"/>
    <col min="4635" max="4636" width="11.5703125" style="142"/>
    <col min="4637" max="4637" width="5.5703125" style="142" customWidth="1"/>
    <col min="4638" max="4639" width="11.5703125" style="142"/>
    <col min="4640" max="4640" width="5.5703125" style="142" customWidth="1"/>
    <col min="4641" max="4866" width="11.5703125" style="142"/>
    <col min="4867" max="4867" width="2.7109375" style="142" customWidth="1"/>
    <col min="4868" max="4868" width="11.5703125" style="142"/>
    <col min="4869" max="4869" width="10.28515625" style="142" customWidth="1"/>
    <col min="4870" max="4870" width="37.28515625" style="142" customWidth="1"/>
    <col min="4871" max="4871" width="11.5703125" style="142"/>
    <col min="4872" max="4872" width="12.5703125" style="142" bestFit="1" customWidth="1"/>
    <col min="4873" max="4873" width="5.5703125" style="142" customWidth="1"/>
    <col min="4874" max="4874" width="11.5703125" style="142"/>
    <col min="4875" max="4875" width="13" style="142" customWidth="1"/>
    <col min="4876" max="4877" width="11.5703125" style="142"/>
    <col min="4878" max="4878" width="5.5703125" style="142" customWidth="1"/>
    <col min="4879" max="4880" width="11.5703125" style="142"/>
    <col min="4881" max="4881" width="5.5703125" style="142" customWidth="1"/>
    <col min="4882" max="4883" width="11.5703125" style="142"/>
    <col min="4884" max="4884" width="5.5703125" style="142" customWidth="1"/>
    <col min="4885" max="4886" width="11.5703125" style="142"/>
    <col min="4887" max="4887" width="5.5703125" style="142" customWidth="1"/>
    <col min="4888" max="4889" width="11.5703125" style="142"/>
    <col min="4890" max="4890" width="5.5703125" style="142" customWidth="1"/>
    <col min="4891" max="4892" width="11.5703125" style="142"/>
    <col min="4893" max="4893" width="5.5703125" style="142" customWidth="1"/>
    <col min="4894" max="4895" width="11.5703125" style="142"/>
    <col min="4896" max="4896" width="5.5703125" style="142" customWidth="1"/>
    <col min="4897" max="5122" width="11.5703125" style="142"/>
    <col min="5123" max="5123" width="2.7109375" style="142" customWidth="1"/>
    <col min="5124" max="5124" width="11.5703125" style="142"/>
    <col min="5125" max="5125" width="10.28515625" style="142" customWidth="1"/>
    <col min="5126" max="5126" width="37.28515625" style="142" customWidth="1"/>
    <col min="5127" max="5127" width="11.5703125" style="142"/>
    <col min="5128" max="5128" width="12.5703125" style="142" bestFit="1" customWidth="1"/>
    <col min="5129" max="5129" width="5.5703125" style="142" customWidth="1"/>
    <col min="5130" max="5130" width="11.5703125" style="142"/>
    <col min="5131" max="5131" width="13" style="142" customWidth="1"/>
    <col min="5132" max="5133" width="11.5703125" style="142"/>
    <col min="5134" max="5134" width="5.5703125" style="142" customWidth="1"/>
    <col min="5135" max="5136" width="11.5703125" style="142"/>
    <col min="5137" max="5137" width="5.5703125" style="142" customWidth="1"/>
    <col min="5138" max="5139" width="11.5703125" style="142"/>
    <col min="5140" max="5140" width="5.5703125" style="142" customWidth="1"/>
    <col min="5141" max="5142" width="11.5703125" style="142"/>
    <col min="5143" max="5143" width="5.5703125" style="142" customWidth="1"/>
    <col min="5144" max="5145" width="11.5703125" style="142"/>
    <col min="5146" max="5146" width="5.5703125" style="142" customWidth="1"/>
    <col min="5147" max="5148" width="11.5703125" style="142"/>
    <col min="5149" max="5149" width="5.5703125" style="142" customWidth="1"/>
    <col min="5150" max="5151" width="11.5703125" style="142"/>
    <col min="5152" max="5152" width="5.5703125" style="142" customWidth="1"/>
    <col min="5153" max="5378" width="11.5703125" style="142"/>
    <col min="5379" max="5379" width="2.7109375" style="142" customWidth="1"/>
    <col min="5380" max="5380" width="11.5703125" style="142"/>
    <col min="5381" max="5381" width="10.28515625" style="142" customWidth="1"/>
    <col min="5382" max="5382" width="37.28515625" style="142" customWidth="1"/>
    <col min="5383" max="5383" width="11.5703125" style="142"/>
    <col min="5384" max="5384" width="12.5703125" style="142" bestFit="1" customWidth="1"/>
    <col min="5385" max="5385" width="5.5703125" style="142" customWidth="1"/>
    <col min="5386" max="5386" width="11.5703125" style="142"/>
    <col min="5387" max="5387" width="13" style="142" customWidth="1"/>
    <col min="5388" max="5389" width="11.5703125" style="142"/>
    <col min="5390" max="5390" width="5.5703125" style="142" customWidth="1"/>
    <col min="5391" max="5392" width="11.5703125" style="142"/>
    <col min="5393" max="5393" width="5.5703125" style="142" customWidth="1"/>
    <col min="5394" max="5395" width="11.5703125" style="142"/>
    <col min="5396" max="5396" width="5.5703125" style="142" customWidth="1"/>
    <col min="5397" max="5398" width="11.5703125" style="142"/>
    <col min="5399" max="5399" width="5.5703125" style="142" customWidth="1"/>
    <col min="5400" max="5401" width="11.5703125" style="142"/>
    <col min="5402" max="5402" width="5.5703125" style="142" customWidth="1"/>
    <col min="5403" max="5404" width="11.5703125" style="142"/>
    <col min="5405" max="5405" width="5.5703125" style="142" customWidth="1"/>
    <col min="5406" max="5407" width="11.5703125" style="142"/>
    <col min="5408" max="5408" width="5.5703125" style="142" customWidth="1"/>
    <col min="5409" max="5634" width="11.5703125" style="142"/>
    <col min="5635" max="5635" width="2.7109375" style="142" customWidth="1"/>
    <col min="5636" max="5636" width="11.5703125" style="142"/>
    <col min="5637" max="5637" width="10.28515625" style="142" customWidth="1"/>
    <col min="5638" max="5638" width="37.28515625" style="142" customWidth="1"/>
    <col min="5639" max="5639" width="11.5703125" style="142"/>
    <col min="5640" max="5640" width="12.5703125" style="142" bestFit="1" customWidth="1"/>
    <col min="5641" max="5641" width="5.5703125" style="142" customWidth="1"/>
    <col min="5642" max="5642" width="11.5703125" style="142"/>
    <col min="5643" max="5643" width="13" style="142" customWidth="1"/>
    <col min="5644" max="5645" width="11.5703125" style="142"/>
    <col min="5646" max="5646" width="5.5703125" style="142" customWidth="1"/>
    <col min="5647" max="5648" width="11.5703125" style="142"/>
    <col min="5649" max="5649" width="5.5703125" style="142" customWidth="1"/>
    <col min="5650" max="5651" width="11.5703125" style="142"/>
    <col min="5652" max="5652" width="5.5703125" style="142" customWidth="1"/>
    <col min="5653" max="5654" width="11.5703125" style="142"/>
    <col min="5655" max="5655" width="5.5703125" style="142" customWidth="1"/>
    <col min="5656" max="5657" width="11.5703125" style="142"/>
    <col min="5658" max="5658" width="5.5703125" style="142" customWidth="1"/>
    <col min="5659" max="5660" width="11.5703125" style="142"/>
    <col min="5661" max="5661" width="5.5703125" style="142" customWidth="1"/>
    <col min="5662" max="5663" width="11.5703125" style="142"/>
    <col min="5664" max="5664" width="5.5703125" style="142" customWidth="1"/>
    <col min="5665" max="5890" width="11.5703125" style="142"/>
    <col min="5891" max="5891" width="2.7109375" style="142" customWidth="1"/>
    <col min="5892" max="5892" width="11.5703125" style="142"/>
    <col min="5893" max="5893" width="10.28515625" style="142" customWidth="1"/>
    <col min="5894" max="5894" width="37.28515625" style="142" customWidth="1"/>
    <col min="5895" max="5895" width="11.5703125" style="142"/>
    <col min="5896" max="5896" width="12.5703125" style="142" bestFit="1" customWidth="1"/>
    <col min="5897" max="5897" width="5.5703125" style="142" customWidth="1"/>
    <col min="5898" max="5898" width="11.5703125" style="142"/>
    <col min="5899" max="5899" width="13" style="142" customWidth="1"/>
    <col min="5900" max="5901" width="11.5703125" style="142"/>
    <col min="5902" max="5902" width="5.5703125" style="142" customWidth="1"/>
    <col min="5903" max="5904" width="11.5703125" style="142"/>
    <col min="5905" max="5905" width="5.5703125" style="142" customWidth="1"/>
    <col min="5906" max="5907" width="11.5703125" style="142"/>
    <col min="5908" max="5908" width="5.5703125" style="142" customWidth="1"/>
    <col min="5909" max="5910" width="11.5703125" style="142"/>
    <col min="5911" max="5911" width="5.5703125" style="142" customWidth="1"/>
    <col min="5912" max="5913" width="11.5703125" style="142"/>
    <col min="5914" max="5914" width="5.5703125" style="142" customWidth="1"/>
    <col min="5915" max="5916" width="11.5703125" style="142"/>
    <col min="5917" max="5917" width="5.5703125" style="142" customWidth="1"/>
    <col min="5918" max="5919" width="11.5703125" style="142"/>
    <col min="5920" max="5920" width="5.5703125" style="142" customWidth="1"/>
    <col min="5921" max="6146" width="11.5703125" style="142"/>
    <col min="6147" max="6147" width="2.7109375" style="142" customWidth="1"/>
    <col min="6148" max="6148" width="11.5703125" style="142"/>
    <col min="6149" max="6149" width="10.28515625" style="142" customWidth="1"/>
    <col min="6150" max="6150" width="37.28515625" style="142" customWidth="1"/>
    <col min="6151" max="6151" width="11.5703125" style="142"/>
    <col min="6152" max="6152" width="12.5703125" style="142" bestFit="1" customWidth="1"/>
    <col min="6153" max="6153" width="5.5703125" style="142" customWidth="1"/>
    <col min="6154" max="6154" width="11.5703125" style="142"/>
    <col min="6155" max="6155" width="13" style="142" customWidth="1"/>
    <col min="6156" max="6157" width="11.5703125" style="142"/>
    <col min="6158" max="6158" width="5.5703125" style="142" customWidth="1"/>
    <col min="6159" max="6160" width="11.5703125" style="142"/>
    <col min="6161" max="6161" width="5.5703125" style="142" customWidth="1"/>
    <col min="6162" max="6163" width="11.5703125" style="142"/>
    <col min="6164" max="6164" width="5.5703125" style="142" customWidth="1"/>
    <col min="6165" max="6166" width="11.5703125" style="142"/>
    <col min="6167" max="6167" width="5.5703125" style="142" customWidth="1"/>
    <col min="6168" max="6169" width="11.5703125" style="142"/>
    <col min="6170" max="6170" width="5.5703125" style="142" customWidth="1"/>
    <col min="6171" max="6172" width="11.5703125" style="142"/>
    <col min="6173" max="6173" width="5.5703125" style="142" customWidth="1"/>
    <col min="6174" max="6175" width="11.5703125" style="142"/>
    <col min="6176" max="6176" width="5.5703125" style="142" customWidth="1"/>
    <col min="6177" max="6402" width="11.5703125" style="142"/>
    <col min="6403" max="6403" width="2.7109375" style="142" customWidth="1"/>
    <col min="6404" max="6404" width="11.5703125" style="142"/>
    <col min="6405" max="6405" width="10.28515625" style="142" customWidth="1"/>
    <col min="6406" max="6406" width="37.28515625" style="142" customWidth="1"/>
    <col min="6407" max="6407" width="11.5703125" style="142"/>
    <col min="6408" max="6408" width="12.5703125" style="142" bestFit="1" customWidth="1"/>
    <col min="6409" max="6409" width="5.5703125" style="142" customWidth="1"/>
    <col min="6410" max="6410" width="11.5703125" style="142"/>
    <col min="6411" max="6411" width="13" style="142" customWidth="1"/>
    <col min="6412" max="6413" width="11.5703125" style="142"/>
    <col min="6414" max="6414" width="5.5703125" style="142" customWidth="1"/>
    <col min="6415" max="6416" width="11.5703125" style="142"/>
    <col min="6417" max="6417" width="5.5703125" style="142" customWidth="1"/>
    <col min="6418" max="6419" width="11.5703125" style="142"/>
    <col min="6420" max="6420" width="5.5703125" style="142" customWidth="1"/>
    <col min="6421" max="6422" width="11.5703125" style="142"/>
    <col min="6423" max="6423" width="5.5703125" style="142" customWidth="1"/>
    <col min="6424" max="6425" width="11.5703125" style="142"/>
    <col min="6426" max="6426" width="5.5703125" style="142" customWidth="1"/>
    <col min="6427" max="6428" width="11.5703125" style="142"/>
    <col min="6429" max="6429" width="5.5703125" style="142" customWidth="1"/>
    <col min="6430" max="6431" width="11.5703125" style="142"/>
    <col min="6432" max="6432" width="5.5703125" style="142" customWidth="1"/>
    <col min="6433" max="6658" width="11.5703125" style="142"/>
    <col min="6659" max="6659" width="2.7109375" style="142" customWidth="1"/>
    <col min="6660" max="6660" width="11.5703125" style="142"/>
    <col min="6661" max="6661" width="10.28515625" style="142" customWidth="1"/>
    <col min="6662" max="6662" width="37.28515625" style="142" customWidth="1"/>
    <col min="6663" max="6663" width="11.5703125" style="142"/>
    <col min="6664" max="6664" width="12.5703125" style="142" bestFit="1" customWidth="1"/>
    <col min="6665" max="6665" width="5.5703125" style="142" customWidth="1"/>
    <col min="6666" max="6666" width="11.5703125" style="142"/>
    <col min="6667" max="6667" width="13" style="142" customWidth="1"/>
    <col min="6668" max="6669" width="11.5703125" style="142"/>
    <col min="6670" max="6670" width="5.5703125" style="142" customWidth="1"/>
    <col min="6671" max="6672" width="11.5703125" style="142"/>
    <col min="6673" max="6673" width="5.5703125" style="142" customWidth="1"/>
    <col min="6674" max="6675" width="11.5703125" style="142"/>
    <col min="6676" max="6676" width="5.5703125" style="142" customWidth="1"/>
    <col min="6677" max="6678" width="11.5703125" style="142"/>
    <col min="6679" max="6679" width="5.5703125" style="142" customWidth="1"/>
    <col min="6680" max="6681" width="11.5703125" style="142"/>
    <col min="6682" max="6682" width="5.5703125" style="142" customWidth="1"/>
    <col min="6683" max="6684" width="11.5703125" style="142"/>
    <col min="6685" max="6685" width="5.5703125" style="142" customWidth="1"/>
    <col min="6686" max="6687" width="11.5703125" style="142"/>
    <col min="6688" max="6688" width="5.5703125" style="142" customWidth="1"/>
    <col min="6689" max="6914" width="11.5703125" style="142"/>
    <col min="6915" max="6915" width="2.7109375" style="142" customWidth="1"/>
    <col min="6916" max="6916" width="11.5703125" style="142"/>
    <col min="6917" max="6917" width="10.28515625" style="142" customWidth="1"/>
    <col min="6918" max="6918" width="37.28515625" style="142" customWidth="1"/>
    <col min="6919" max="6919" width="11.5703125" style="142"/>
    <col min="6920" max="6920" width="12.5703125" style="142" bestFit="1" customWidth="1"/>
    <col min="6921" max="6921" width="5.5703125" style="142" customWidth="1"/>
    <col min="6922" max="6922" width="11.5703125" style="142"/>
    <col min="6923" max="6923" width="13" style="142" customWidth="1"/>
    <col min="6924" max="6925" width="11.5703125" style="142"/>
    <col min="6926" max="6926" width="5.5703125" style="142" customWidth="1"/>
    <col min="6927" max="6928" width="11.5703125" style="142"/>
    <col min="6929" max="6929" width="5.5703125" style="142" customWidth="1"/>
    <col min="6930" max="6931" width="11.5703125" style="142"/>
    <col min="6932" max="6932" width="5.5703125" style="142" customWidth="1"/>
    <col min="6933" max="6934" width="11.5703125" style="142"/>
    <col min="6935" max="6935" width="5.5703125" style="142" customWidth="1"/>
    <col min="6936" max="6937" width="11.5703125" style="142"/>
    <col min="6938" max="6938" width="5.5703125" style="142" customWidth="1"/>
    <col min="6939" max="6940" width="11.5703125" style="142"/>
    <col min="6941" max="6941" width="5.5703125" style="142" customWidth="1"/>
    <col min="6942" max="6943" width="11.5703125" style="142"/>
    <col min="6944" max="6944" width="5.5703125" style="142" customWidth="1"/>
    <col min="6945" max="7170" width="11.5703125" style="142"/>
    <col min="7171" max="7171" width="2.7109375" style="142" customWidth="1"/>
    <col min="7172" max="7172" width="11.5703125" style="142"/>
    <col min="7173" max="7173" width="10.28515625" style="142" customWidth="1"/>
    <col min="7174" max="7174" width="37.28515625" style="142" customWidth="1"/>
    <col min="7175" max="7175" width="11.5703125" style="142"/>
    <col min="7176" max="7176" width="12.5703125" style="142" bestFit="1" customWidth="1"/>
    <col min="7177" max="7177" width="5.5703125" style="142" customWidth="1"/>
    <col min="7178" max="7178" width="11.5703125" style="142"/>
    <col min="7179" max="7179" width="13" style="142" customWidth="1"/>
    <col min="7180" max="7181" width="11.5703125" style="142"/>
    <col min="7182" max="7182" width="5.5703125" style="142" customWidth="1"/>
    <col min="7183" max="7184" width="11.5703125" style="142"/>
    <col min="7185" max="7185" width="5.5703125" style="142" customWidth="1"/>
    <col min="7186" max="7187" width="11.5703125" style="142"/>
    <col min="7188" max="7188" width="5.5703125" style="142" customWidth="1"/>
    <col min="7189" max="7190" width="11.5703125" style="142"/>
    <col min="7191" max="7191" width="5.5703125" style="142" customWidth="1"/>
    <col min="7192" max="7193" width="11.5703125" style="142"/>
    <col min="7194" max="7194" width="5.5703125" style="142" customWidth="1"/>
    <col min="7195" max="7196" width="11.5703125" style="142"/>
    <col min="7197" max="7197" width="5.5703125" style="142" customWidth="1"/>
    <col min="7198" max="7199" width="11.5703125" style="142"/>
    <col min="7200" max="7200" width="5.5703125" style="142" customWidth="1"/>
    <col min="7201" max="7426" width="11.5703125" style="142"/>
    <col min="7427" max="7427" width="2.7109375" style="142" customWidth="1"/>
    <col min="7428" max="7428" width="11.5703125" style="142"/>
    <col min="7429" max="7429" width="10.28515625" style="142" customWidth="1"/>
    <col min="7430" max="7430" width="37.28515625" style="142" customWidth="1"/>
    <col min="7431" max="7431" width="11.5703125" style="142"/>
    <col min="7432" max="7432" width="12.5703125" style="142" bestFit="1" customWidth="1"/>
    <col min="7433" max="7433" width="5.5703125" style="142" customWidth="1"/>
    <col min="7434" max="7434" width="11.5703125" style="142"/>
    <col min="7435" max="7435" width="13" style="142" customWidth="1"/>
    <col min="7436" max="7437" width="11.5703125" style="142"/>
    <col min="7438" max="7438" width="5.5703125" style="142" customWidth="1"/>
    <col min="7439" max="7440" width="11.5703125" style="142"/>
    <col min="7441" max="7441" width="5.5703125" style="142" customWidth="1"/>
    <col min="7442" max="7443" width="11.5703125" style="142"/>
    <col min="7444" max="7444" width="5.5703125" style="142" customWidth="1"/>
    <col min="7445" max="7446" width="11.5703125" style="142"/>
    <col min="7447" max="7447" width="5.5703125" style="142" customWidth="1"/>
    <col min="7448" max="7449" width="11.5703125" style="142"/>
    <col min="7450" max="7450" width="5.5703125" style="142" customWidth="1"/>
    <col min="7451" max="7452" width="11.5703125" style="142"/>
    <col min="7453" max="7453" width="5.5703125" style="142" customWidth="1"/>
    <col min="7454" max="7455" width="11.5703125" style="142"/>
    <col min="7456" max="7456" width="5.5703125" style="142" customWidth="1"/>
    <col min="7457" max="7682" width="11.5703125" style="142"/>
    <col min="7683" max="7683" width="2.7109375" style="142" customWidth="1"/>
    <col min="7684" max="7684" width="11.5703125" style="142"/>
    <col min="7685" max="7685" width="10.28515625" style="142" customWidth="1"/>
    <col min="7686" max="7686" width="37.28515625" style="142" customWidth="1"/>
    <col min="7687" max="7687" width="11.5703125" style="142"/>
    <col min="7688" max="7688" width="12.5703125" style="142" bestFit="1" customWidth="1"/>
    <col min="7689" max="7689" width="5.5703125" style="142" customWidth="1"/>
    <col min="7690" max="7690" width="11.5703125" style="142"/>
    <col min="7691" max="7691" width="13" style="142" customWidth="1"/>
    <col min="7692" max="7693" width="11.5703125" style="142"/>
    <col min="7694" max="7694" width="5.5703125" style="142" customWidth="1"/>
    <col min="7695" max="7696" width="11.5703125" style="142"/>
    <col min="7697" max="7697" width="5.5703125" style="142" customWidth="1"/>
    <col min="7698" max="7699" width="11.5703125" style="142"/>
    <col min="7700" max="7700" width="5.5703125" style="142" customWidth="1"/>
    <col min="7701" max="7702" width="11.5703125" style="142"/>
    <col min="7703" max="7703" width="5.5703125" style="142" customWidth="1"/>
    <col min="7704" max="7705" width="11.5703125" style="142"/>
    <col min="7706" max="7706" width="5.5703125" style="142" customWidth="1"/>
    <col min="7707" max="7708" width="11.5703125" style="142"/>
    <col min="7709" max="7709" width="5.5703125" style="142" customWidth="1"/>
    <col min="7710" max="7711" width="11.5703125" style="142"/>
    <col min="7712" max="7712" width="5.5703125" style="142" customWidth="1"/>
    <col min="7713" max="7938" width="11.5703125" style="142"/>
    <col min="7939" max="7939" width="2.7109375" style="142" customWidth="1"/>
    <col min="7940" max="7940" width="11.5703125" style="142"/>
    <col min="7941" max="7941" width="10.28515625" style="142" customWidth="1"/>
    <col min="7942" max="7942" width="37.28515625" style="142" customWidth="1"/>
    <col min="7943" max="7943" width="11.5703125" style="142"/>
    <col min="7944" max="7944" width="12.5703125" style="142" bestFit="1" customWidth="1"/>
    <col min="7945" max="7945" width="5.5703125" style="142" customWidth="1"/>
    <col min="7946" max="7946" width="11.5703125" style="142"/>
    <col min="7947" max="7947" width="13" style="142" customWidth="1"/>
    <col min="7948" max="7949" width="11.5703125" style="142"/>
    <col min="7950" max="7950" width="5.5703125" style="142" customWidth="1"/>
    <col min="7951" max="7952" width="11.5703125" style="142"/>
    <col min="7953" max="7953" width="5.5703125" style="142" customWidth="1"/>
    <col min="7954" max="7955" width="11.5703125" style="142"/>
    <col min="7956" max="7956" width="5.5703125" style="142" customWidth="1"/>
    <col min="7957" max="7958" width="11.5703125" style="142"/>
    <col min="7959" max="7959" width="5.5703125" style="142" customWidth="1"/>
    <col min="7960" max="7961" width="11.5703125" style="142"/>
    <col min="7962" max="7962" width="5.5703125" style="142" customWidth="1"/>
    <col min="7963" max="7964" width="11.5703125" style="142"/>
    <col min="7965" max="7965" width="5.5703125" style="142" customWidth="1"/>
    <col min="7966" max="7967" width="11.5703125" style="142"/>
    <col min="7968" max="7968" width="5.5703125" style="142" customWidth="1"/>
    <col min="7969" max="8194" width="11.5703125" style="142"/>
    <col min="8195" max="8195" width="2.7109375" style="142" customWidth="1"/>
    <col min="8196" max="8196" width="11.5703125" style="142"/>
    <col min="8197" max="8197" width="10.28515625" style="142" customWidth="1"/>
    <col min="8198" max="8198" width="37.28515625" style="142" customWidth="1"/>
    <col min="8199" max="8199" width="11.5703125" style="142"/>
    <col min="8200" max="8200" width="12.5703125" style="142" bestFit="1" customWidth="1"/>
    <col min="8201" max="8201" width="5.5703125" style="142" customWidth="1"/>
    <col min="8202" max="8202" width="11.5703125" style="142"/>
    <col min="8203" max="8203" width="13" style="142" customWidth="1"/>
    <col min="8204" max="8205" width="11.5703125" style="142"/>
    <col min="8206" max="8206" width="5.5703125" style="142" customWidth="1"/>
    <col min="8207" max="8208" width="11.5703125" style="142"/>
    <col min="8209" max="8209" width="5.5703125" style="142" customWidth="1"/>
    <col min="8210" max="8211" width="11.5703125" style="142"/>
    <col min="8212" max="8212" width="5.5703125" style="142" customWidth="1"/>
    <col min="8213" max="8214" width="11.5703125" style="142"/>
    <col min="8215" max="8215" width="5.5703125" style="142" customWidth="1"/>
    <col min="8216" max="8217" width="11.5703125" style="142"/>
    <col min="8218" max="8218" width="5.5703125" style="142" customWidth="1"/>
    <col min="8219" max="8220" width="11.5703125" style="142"/>
    <col min="8221" max="8221" width="5.5703125" style="142" customWidth="1"/>
    <col min="8222" max="8223" width="11.5703125" style="142"/>
    <col min="8224" max="8224" width="5.5703125" style="142" customWidth="1"/>
    <col min="8225" max="8450" width="11.5703125" style="142"/>
    <col min="8451" max="8451" width="2.7109375" style="142" customWidth="1"/>
    <col min="8452" max="8452" width="11.5703125" style="142"/>
    <col min="8453" max="8453" width="10.28515625" style="142" customWidth="1"/>
    <col min="8454" max="8454" width="37.28515625" style="142" customWidth="1"/>
    <col min="8455" max="8455" width="11.5703125" style="142"/>
    <col min="8456" max="8456" width="12.5703125" style="142" bestFit="1" customWidth="1"/>
    <col min="8457" max="8457" width="5.5703125" style="142" customWidth="1"/>
    <col min="8458" max="8458" width="11.5703125" style="142"/>
    <col min="8459" max="8459" width="13" style="142" customWidth="1"/>
    <col min="8460" max="8461" width="11.5703125" style="142"/>
    <col min="8462" max="8462" width="5.5703125" style="142" customWidth="1"/>
    <col min="8463" max="8464" width="11.5703125" style="142"/>
    <col min="8465" max="8465" width="5.5703125" style="142" customWidth="1"/>
    <col min="8466" max="8467" width="11.5703125" style="142"/>
    <col min="8468" max="8468" width="5.5703125" style="142" customWidth="1"/>
    <col min="8469" max="8470" width="11.5703125" style="142"/>
    <col min="8471" max="8471" width="5.5703125" style="142" customWidth="1"/>
    <col min="8472" max="8473" width="11.5703125" style="142"/>
    <col min="8474" max="8474" width="5.5703125" style="142" customWidth="1"/>
    <col min="8475" max="8476" width="11.5703125" style="142"/>
    <col min="8477" max="8477" width="5.5703125" style="142" customWidth="1"/>
    <col min="8478" max="8479" width="11.5703125" style="142"/>
    <col min="8480" max="8480" width="5.5703125" style="142" customWidth="1"/>
    <col min="8481" max="8706" width="11.5703125" style="142"/>
    <col min="8707" max="8707" width="2.7109375" style="142" customWidth="1"/>
    <col min="8708" max="8708" width="11.5703125" style="142"/>
    <col min="8709" max="8709" width="10.28515625" style="142" customWidth="1"/>
    <col min="8710" max="8710" width="37.28515625" style="142" customWidth="1"/>
    <col min="8711" max="8711" width="11.5703125" style="142"/>
    <col min="8712" max="8712" width="12.5703125" style="142" bestFit="1" customWidth="1"/>
    <col min="8713" max="8713" width="5.5703125" style="142" customWidth="1"/>
    <col min="8714" max="8714" width="11.5703125" style="142"/>
    <col min="8715" max="8715" width="13" style="142" customWidth="1"/>
    <col min="8716" max="8717" width="11.5703125" style="142"/>
    <col min="8718" max="8718" width="5.5703125" style="142" customWidth="1"/>
    <col min="8719" max="8720" width="11.5703125" style="142"/>
    <col min="8721" max="8721" width="5.5703125" style="142" customWidth="1"/>
    <col min="8722" max="8723" width="11.5703125" style="142"/>
    <col min="8724" max="8724" width="5.5703125" style="142" customWidth="1"/>
    <col min="8725" max="8726" width="11.5703125" style="142"/>
    <col min="8727" max="8727" width="5.5703125" style="142" customWidth="1"/>
    <col min="8728" max="8729" width="11.5703125" style="142"/>
    <col min="8730" max="8730" width="5.5703125" style="142" customWidth="1"/>
    <col min="8731" max="8732" width="11.5703125" style="142"/>
    <col min="8733" max="8733" width="5.5703125" style="142" customWidth="1"/>
    <col min="8734" max="8735" width="11.5703125" style="142"/>
    <col min="8736" max="8736" width="5.5703125" style="142" customWidth="1"/>
    <col min="8737" max="8962" width="11.5703125" style="142"/>
    <col min="8963" max="8963" width="2.7109375" style="142" customWidth="1"/>
    <col min="8964" max="8964" width="11.5703125" style="142"/>
    <col min="8965" max="8965" width="10.28515625" style="142" customWidth="1"/>
    <col min="8966" max="8966" width="37.28515625" style="142" customWidth="1"/>
    <col min="8967" max="8967" width="11.5703125" style="142"/>
    <col min="8968" max="8968" width="12.5703125" style="142" bestFit="1" customWidth="1"/>
    <col min="8969" max="8969" width="5.5703125" style="142" customWidth="1"/>
    <col min="8970" max="8970" width="11.5703125" style="142"/>
    <col min="8971" max="8971" width="13" style="142" customWidth="1"/>
    <col min="8972" max="8973" width="11.5703125" style="142"/>
    <col min="8974" max="8974" width="5.5703125" style="142" customWidth="1"/>
    <col min="8975" max="8976" width="11.5703125" style="142"/>
    <col min="8977" max="8977" width="5.5703125" style="142" customWidth="1"/>
    <col min="8978" max="8979" width="11.5703125" style="142"/>
    <col min="8980" max="8980" width="5.5703125" style="142" customWidth="1"/>
    <col min="8981" max="8982" width="11.5703125" style="142"/>
    <col min="8983" max="8983" width="5.5703125" style="142" customWidth="1"/>
    <col min="8984" max="8985" width="11.5703125" style="142"/>
    <col min="8986" max="8986" width="5.5703125" style="142" customWidth="1"/>
    <col min="8987" max="8988" width="11.5703125" style="142"/>
    <col min="8989" max="8989" width="5.5703125" style="142" customWidth="1"/>
    <col min="8990" max="8991" width="11.5703125" style="142"/>
    <col min="8992" max="8992" width="5.5703125" style="142" customWidth="1"/>
    <col min="8993" max="9218" width="11.5703125" style="142"/>
    <col min="9219" max="9219" width="2.7109375" style="142" customWidth="1"/>
    <col min="9220" max="9220" width="11.5703125" style="142"/>
    <col min="9221" max="9221" width="10.28515625" style="142" customWidth="1"/>
    <col min="9222" max="9222" width="37.28515625" style="142" customWidth="1"/>
    <col min="9223" max="9223" width="11.5703125" style="142"/>
    <col min="9224" max="9224" width="12.5703125" style="142" bestFit="1" customWidth="1"/>
    <col min="9225" max="9225" width="5.5703125" style="142" customWidth="1"/>
    <col min="9226" max="9226" width="11.5703125" style="142"/>
    <col min="9227" max="9227" width="13" style="142" customWidth="1"/>
    <col min="9228" max="9229" width="11.5703125" style="142"/>
    <col min="9230" max="9230" width="5.5703125" style="142" customWidth="1"/>
    <col min="9231" max="9232" width="11.5703125" style="142"/>
    <col min="9233" max="9233" width="5.5703125" style="142" customWidth="1"/>
    <col min="9234" max="9235" width="11.5703125" style="142"/>
    <col min="9236" max="9236" width="5.5703125" style="142" customWidth="1"/>
    <col min="9237" max="9238" width="11.5703125" style="142"/>
    <col min="9239" max="9239" width="5.5703125" style="142" customWidth="1"/>
    <col min="9240" max="9241" width="11.5703125" style="142"/>
    <col min="9242" max="9242" width="5.5703125" style="142" customWidth="1"/>
    <col min="9243" max="9244" width="11.5703125" style="142"/>
    <col min="9245" max="9245" width="5.5703125" style="142" customWidth="1"/>
    <col min="9246" max="9247" width="11.5703125" style="142"/>
    <col min="9248" max="9248" width="5.5703125" style="142" customWidth="1"/>
    <col min="9249" max="9474" width="11.5703125" style="142"/>
    <col min="9475" max="9475" width="2.7109375" style="142" customWidth="1"/>
    <col min="9476" max="9476" width="11.5703125" style="142"/>
    <col min="9477" max="9477" width="10.28515625" style="142" customWidth="1"/>
    <col min="9478" max="9478" width="37.28515625" style="142" customWidth="1"/>
    <col min="9479" max="9479" width="11.5703125" style="142"/>
    <col min="9480" max="9480" width="12.5703125" style="142" bestFit="1" customWidth="1"/>
    <col min="9481" max="9481" width="5.5703125" style="142" customWidth="1"/>
    <col min="9482" max="9482" width="11.5703125" style="142"/>
    <col min="9483" max="9483" width="13" style="142" customWidth="1"/>
    <col min="9484" max="9485" width="11.5703125" style="142"/>
    <col min="9486" max="9486" width="5.5703125" style="142" customWidth="1"/>
    <col min="9487" max="9488" width="11.5703125" style="142"/>
    <col min="9489" max="9489" width="5.5703125" style="142" customWidth="1"/>
    <col min="9490" max="9491" width="11.5703125" style="142"/>
    <col min="9492" max="9492" width="5.5703125" style="142" customWidth="1"/>
    <col min="9493" max="9494" width="11.5703125" style="142"/>
    <col min="9495" max="9495" width="5.5703125" style="142" customWidth="1"/>
    <col min="9496" max="9497" width="11.5703125" style="142"/>
    <col min="9498" max="9498" width="5.5703125" style="142" customWidth="1"/>
    <col min="9499" max="9500" width="11.5703125" style="142"/>
    <col min="9501" max="9501" width="5.5703125" style="142" customWidth="1"/>
    <col min="9502" max="9503" width="11.5703125" style="142"/>
    <col min="9504" max="9504" width="5.5703125" style="142" customWidth="1"/>
    <col min="9505" max="9730" width="11.5703125" style="142"/>
    <col min="9731" max="9731" width="2.7109375" style="142" customWidth="1"/>
    <col min="9732" max="9732" width="11.5703125" style="142"/>
    <col min="9733" max="9733" width="10.28515625" style="142" customWidth="1"/>
    <col min="9734" max="9734" width="37.28515625" style="142" customWidth="1"/>
    <col min="9735" max="9735" width="11.5703125" style="142"/>
    <col min="9736" max="9736" width="12.5703125" style="142" bestFit="1" customWidth="1"/>
    <col min="9737" max="9737" width="5.5703125" style="142" customWidth="1"/>
    <col min="9738" max="9738" width="11.5703125" style="142"/>
    <col min="9739" max="9739" width="13" style="142" customWidth="1"/>
    <col min="9740" max="9741" width="11.5703125" style="142"/>
    <col min="9742" max="9742" width="5.5703125" style="142" customWidth="1"/>
    <col min="9743" max="9744" width="11.5703125" style="142"/>
    <col min="9745" max="9745" width="5.5703125" style="142" customWidth="1"/>
    <col min="9746" max="9747" width="11.5703125" style="142"/>
    <col min="9748" max="9748" width="5.5703125" style="142" customWidth="1"/>
    <col min="9749" max="9750" width="11.5703125" style="142"/>
    <col min="9751" max="9751" width="5.5703125" style="142" customWidth="1"/>
    <col min="9752" max="9753" width="11.5703125" style="142"/>
    <col min="9754" max="9754" width="5.5703125" style="142" customWidth="1"/>
    <col min="9755" max="9756" width="11.5703125" style="142"/>
    <col min="9757" max="9757" width="5.5703125" style="142" customWidth="1"/>
    <col min="9758" max="9759" width="11.5703125" style="142"/>
    <col min="9760" max="9760" width="5.5703125" style="142" customWidth="1"/>
    <col min="9761" max="9986" width="11.5703125" style="142"/>
    <col min="9987" max="9987" width="2.7109375" style="142" customWidth="1"/>
    <col min="9988" max="9988" width="11.5703125" style="142"/>
    <col min="9989" max="9989" width="10.28515625" style="142" customWidth="1"/>
    <col min="9990" max="9990" width="37.28515625" style="142" customWidth="1"/>
    <col min="9991" max="9991" width="11.5703125" style="142"/>
    <col min="9992" max="9992" width="12.5703125" style="142" bestFit="1" customWidth="1"/>
    <col min="9993" max="9993" width="5.5703125" style="142" customWidth="1"/>
    <col min="9994" max="9994" width="11.5703125" style="142"/>
    <col min="9995" max="9995" width="13" style="142" customWidth="1"/>
    <col min="9996" max="9997" width="11.5703125" style="142"/>
    <col min="9998" max="9998" width="5.5703125" style="142" customWidth="1"/>
    <col min="9999" max="10000" width="11.5703125" style="142"/>
    <col min="10001" max="10001" width="5.5703125" style="142" customWidth="1"/>
    <col min="10002" max="10003" width="11.5703125" style="142"/>
    <col min="10004" max="10004" width="5.5703125" style="142" customWidth="1"/>
    <col min="10005" max="10006" width="11.5703125" style="142"/>
    <col min="10007" max="10007" width="5.5703125" style="142" customWidth="1"/>
    <col min="10008" max="10009" width="11.5703125" style="142"/>
    <col min="10010" max="10010" width="5.5703125" style="142" customWidth="1"/>
    <col min="10011" max="10012" width="11.5703125" style="142"/>
    <col min="10013" max="10013" width="5.5703125" style="142" customWidth="1"/>
    <col min="10014" max="10015" width="11.5703125" style="142"/>
    <col min="10016" max="10016" width="5.5703125" style="142" customWidth="1"/>
    <col min="10017" max="10242" width="11.5703125" style="142"/>
    <col min="10243" max="10243" width="2.7109375" style="142" customWidth="1"/>
    <col min="10244" max="10244" width="11.5703125" style="142"/>
    <col min="10245" max="10245" width="10.28515625" style="142" customWidth="1"/>
    <col min="10246" max="10246" width="37.28515625" style="142" customWidth="1"/>
    <col min="10247" max="10247" width="11.5703125" style="142"/>
    <col min="10248" max="10248" width="12.5703125" style="142" bestFit="1" customWidth="1"/>
    <col min="10249" max="10249" width="5.5703125" style="142" customWidth="1"/>
    <col min="10250" max="10250" width="11.5703125" style="142"/>
    <col min="10251" max="10251" width="13" style="142" customWidth="1"/>
    <col min="10252" max="10253" width="11.5703125" style="142"/>
    <col min="10254" max="10254" width="5.5703125" style="142" customWidth="1"/>
    <col min="10255" max="10256" width="11.5703125" style="142"/>
    <col min="10257" max="10257" width="5.5703125" style="142" customWidth="1"/>
    <col min="10258" max="10259" width="11.5703125" style="142"/>
    <col min="10260" max="10260" width="5.5703125" style="142" customWidth="1"/>
    <col min="10261" max="10262" width="11.5703125" style="142"/>
    <col min="10263" max="10263" width="5.5703125" style="142" customWidth="1"/>
    <col min="10264" max="10265" width="11.5703125" style="142"/>
    <col min="10266" max="10266" width="5.5703125" style="142" customWidth="1"/>
    <col min="10267" max="10268" width="11.5703125" style="142"/>
    <col min="10269" max="10269" width="5.5703125" style="142" customWidth="1"/>
    <col min="10270" max="10271" width="11.5703125" style="142"/>
    <col min="10272" max="10272" width="5.5703125" style="142" customWidth="1"/>
    <col min="10273" max="10498" width="11.5703125" style="142"/>
    <col min="10499" max="10499" width="2.7109375" style="142" customWidth="1"/>
    <col min="10500" max="10500" width="11.5703125" style="142"/>
    <col min="10501" max="10501" width="10.28515625" style="142" customWidth="1"/>
    <col min="10502" max="10502" width="37.28515625" style="142" customWidth="1"/>
    <col min="10503" max="10503" width="11.5703125" style="142"/>
    <col min="10504" max="10504" width="12.5703125" style="142" bestFit="1" customWidth="1"/>
    <col min="10505" max="10505" width="5.5703125" style="142" customWidth="1"/>
    <col min="10506" max="10506" width="11.5703125" style="142"/>
    <col min="10507" max="10507" width="13" style="142" customWidth="1"/>
    <col min="10508" max="10509" width="11.5703125" style="142"/>
    <col min="10510" max="10510" width="5.5703125" style="142" customWidth="1"/>
    <col min="10511" max="10512" width="11.5703125" style="142"/>
    <col min="10513" max="10513" width="5.5703125" style="142" customWidth="1"/>
    <col min="10514" max="10515" width="11.5703125" style="142"/>
    <col min="10516" max="10516" width="5.5703125" style="142" customWidth="1"/>
    <col min="10517" max="10518" width="11.5703125" style="142"/>
    <col min="10519" max="10519" width="5.5703125" style="142" customWidth="1"/>
    <col min="10520" max="10521" width="11.5703125" style="142"/>
    <col min="10522" max="10522" width="5.5703125" style="142" customWidth="1"/>
    <col min="10523" max="10524" width="11.5703125" style="142"/>
    <col min="10525" max="10525" width="5.5703125" style="142" customWidth="1"/>
    <col min="10526" max="10527" width="11.5703125" style="142"/>
    <col min="10528" max="10528" width="5.5703125" style="142" customWidth="1"/>
    <col min="10529" max="10754" width="11.5703125" style="142"/>
    <col min="10755" max="10755" width="2.7109375" style="142" customWidth="1"/>
    <col min="10756" max="10756" width="11.5703125" style="142"/>
    <col min="10757" max="10757" width="10.28515625" style="142" customWidth="1"/>
    <col min="10758" max="10758" width="37.28515625" style="142" customWidth="1"/>
    <col min="10759" max="10759" width="11.5703125" style="142"/>
    <col min="10760" max="10760" width="12.5703125" style="142" bestFit="1" customWidth="1"/>
    <col min="10761" max="10761" width="5.5703125" style="142" customWidth="1"/>
    <col min="10762" max="10762" width="11.5703125" style="142"/>
    <col min="10763" max="10763" width="13" style="142" customWidth="1"/>
    <col min="10764" max="10765" width="11.5703125" style="142"/>
    <col min="10766" max="10766" width="5.5703125" style="142" customWidth="1"/>
    <col min="10767" max="10768" width="11.5703125" style="142"/>
    <col min="10769" max="10769" width="5.5703125" style="142" customWidth="1"/>
    <col min="10770" max="10771" width="11.5703125" style="142"/>
    <col min="10772" max="10772" width="5.5703125" style="142" customWidth="1"/>
    <col min="10773" max="10774" width="11.5703125" style="142"/>
    <col min="10775" max="10775" width="5.5703125" style="142" customWidth="1"/>
    <col min="10776" max="10777" width="11.5703125" style="142"/>
    <col min="10778" max="10778" width="5.5703125" style="142" customWidth="1"/>
    <col min="10779" max="10780" width="11.5703125" style="142"/>
    <col min="10781" max="10781" width="5.5703125" style="142" customWidth="1"/>
    <col min="10782" max="10783" width="11.5703125" style="142"/>
    <col min="10784" max="10784" width="5.5703125" style="142" customWidth="1"/>
    <col min="10785" max="11010" width="11.5703125" style="142"/>
    <col min="11011" max="11011" width="2.7109375" style="142" customWidth="1"/>
    <col min="11012" max="11012" width="11.5703125" style="142"/>
    <col min="11013" max="11013" width="10.28515625" style="142" customWidth="1"/>
    <col min="11014" max="11014" width="37.28515625" style="142" customWidth="1"/>
    <col min="11015" max="11015" width="11.5703125" style="142"/>
    <col min="11016" max="11016" width="12.5703125" style="142" bestFit="1" customWidth="1"/>
    <col min="11017" max="11017" width="5.5703125" style="142" customWidth="1"/>
    <col min="11018" max="11018" width="11.5703125" style="142"/>
    <col min="11019" max="11019" width="13" style="142" customWidth="1"/>
    <col min="11020" max="11021" width="11.5703125" style="142"/>
    <col min="11022" max="11022" width="5.5703125" style="142" customWidth="1"/>
    <col min="11023" max="11024" width="11.5703125" style="142"/>
    <col min="11025" max="11025" width="5.5703125" style="142" customWidth="1"/>
    <col min="11026" max="11027" width="11.5703125" style="142"/>
    <col min="11028" max="11028" width="5.5703125" style="142" customWidth="1"/>
    <col min="11029" max="11030" width="11.5703125" style="142"/>
    <col min="11031" max="11031" width="5.5703125" style="142" customWidth="1"/>
    <col min="11032" max="11033" width="11.5703125" style="142"/>
    <col min="11034" max="11034" width="5.5703125" style="142" customWidth="1"/>
    <col min="11035" max="11036" width="11.5703125" style="142"/>
    <col min="11037" max="11037" width="5.5703125" style="142" customWidth="1"/>
    <col min="11038" max="11039" width="11.5703125" style="142"/>
    <col min="11040" max="11040" width="5.5703125" style="142" customWidth="1"/>
    <col min="11041" max="11266" width="11.5703125" style="142"/>
    <col min="11267" max="11267" width="2.7109375" style="142" customWidth="1"/>
    <col min="11268" max="11268" width="11.5703125" style="142"/>
    <col min="11269" max="11269" width="10.28515625" style="142" customWidth="1"/>
    <col min="11270" max="11270" width="37.28515625" style="142" customWidth="1"/>
    <col min="11271" max="11271" width="11.5703125" style="142"/>
    <col min="11272" max="11272" width="12.5703125" style="142" bestFit="1" customWidth="1"/>
    <col min="11273" max="11273" width="5.5703125" style="142" customWidth="1"/>
    <col min="11274" max="11274" width="11.5703125" style="142"/>
    <col min="11275" max="11275" width="13" style="142" customWidth="1"/>
    <col min="11276" max="11277" width="11.5703125" style="142"/>
    <col min="11278" max="11278" width="5.5703125" style="142" customWidth="1"/>
    <col min="11279" max="11280" width="11.5703125" style="142"/>
    <col min="11281" max="11281" width="5.5703125" style="142" customWidth="1"/>
    <col min="11282" max="11283" width="11.5703125" style="142"/>
    <col min="11284" max="11284" width="5.5703125" style="142" customWidth="1"/>
    <col min="11285" max="11286" width="11.5703125" style="142"/>
    <col min="11287" max="11287" width="5.5703125" style="142" customWidth="1"/>
    <col min="11288" max="11289" width="11.5703125" style="142"/>
    <col min="11290" max="11290" width="5.5703125" style="142" customWidth="1"/>
    <col min="11291" max="11292" width="11.5703125" style="142"/>
    <col min="11293" max="11293" width="5.5703125" style="142" customWidth="1"/>
    <col min="11294" max="11295" width="11.5703125" style="142"/>
    <col min="11296" max="11296" width="5.5703125" style="142" customWidth="1"/>
    <col min="11297" max="11522" width="11.5703125" style="142"/>
    <col min="11523" max="11523" width="2.7109375" style="142" customWidth="1"/>
    <col min="11524" max="11524" width="11.5703125" style="142"/>
    <col min="11525" max="11525" width="10.28515625" style="142" customWidth="1"/>
    <col min="11526" max="11526" width="37.28515625" style="142" customWidth="1"/>
    <col min="11527" max="11527" width="11.5703125" style="142"/>
    <col min="11528" max="11528" width="12.5703125" style="142" bestFit="1" customWidth="1"/>
    <col min="11529" max="11529" width="5.5703125" style="142" customWidth="1"/>
    <col min="11530" max="11530" width="11.5703125" style="142"/>
    <col min="11531" max="11531" width="13" style="142" customWidth="1"/>
    <col min="11532" max="11533" width="11.5703125" style="142"/>
    <col min="11534" max="11534" width="5.5703125" style="142" customWidth="1"/>
    <col min="11535" max="11536" width="11.5703125" style="142"/>
    <col min="11537" max="11537" width="5.5703125" style="142" customWidth="1"/>
    <col min="11538" max="11539" width="11.5703125" style="142"/>
    <col min="11540" max="11540" width="5.5703125" style="142" customWidth="1"/>
    <col min="11541" max="11542" width="11.5703125" style="142"/>
    <col min="11543" max="11543" width="5.5703125" style="142" customWidth="1"/>
    <col min="11544" max="11545" width="11.5703125" style="142"/>
    <col min="11546" max="11546" width="5.5703125" style="142" customWidth="1"/>
    <col min="11547" max="11548" width="11.5703125" style="142"/>
    <col min="11549" max="11549" width="5.5703125" style="142" customWidth="1"/>
    <col min="11550" max="11551" width="11.5703125" style="142"/>
    <col min="11552" max="11552" width="5.5703125" style="142" customWidth="1"/>
    <col min="11553" max="11778" width="11.5703125" style="142"/>
    <col min="11779" max="11779" width="2.7109375" style="142" customWidth="1"/>
    <col min="11780" max="11780" width="11.5703125" style="142"/>
    <col min="11781" max="11781" width="10.28515625" style="142" customWidth="1"/>
    <col min="11782" max="11782" width="37.28515625" style="142" customWidth="1"/>
    <col min="11783" max="11783" width="11.5703125" style="142"/>
    <col min="11784" max="11784" width="12.5703125" style="142" bestFit="1" customWidth="1"/>
    <col min="11785" max="11785" width="5.5703125" style="142" customWidth="1"/>
    <col min="11786" max="11786" width="11.5703125" style="142"/>
    <col min="11787" max="11787" width="13" style="142" customWidth="1"/>
    <col min="11788" max="11789" width="11.5703125" style="142"/>
    <col min="11790" max="11790" width="5.5703125" style="142" customWidth="1"/>
    <col min="11791" max="11792" width="11.5703125" style="142"/>
    <col min="11793" max="11793" width="5.5703125" style="142" customWidth="1"/>
    <col min="11794" max="11795" width="11.5703125" style="142"/>
    <col min="11796" max="11796" width="5.5703125" style="142" customWidth="1"/>
    <col min="11797" max="11798" width="11.5703125" style="142"/>
    <col min="11799" max="11799" width="5.5703125" style="142" customWidth="1"/>
    <col min="11800" max="11801" width="11.5703125" style="142"/>
    <col min="11802" max="11802" width="5.5703125" style="142" customWidth="1"/>
    <col min="11803" max="11804" width="11.5703125" style="142"/>
    <col min="11805" max="11805" width="5.5703125" style="142" customWidth="1"/>
    <col min="11806" max="11807" width="11.5703125" style="142"/>
    <col min="11808" max="11808" width="5.5703125" style="142" customWidth="1"/>
    <col min="11809" max="12034" width="11.5703125" style="142"/>
    <col min="12035" max="12035" width="2.7109375" style="142" customWidth="1"/>
    <col min="12036" max="12036" width="11.5703125" style="142"/>
    <col min="12037" max="12037" width="10.28515625" style="142" customWidth="1"/>
    <col min="12038" max="12038" width="37.28515625" style="142" customWidth="1"/>
    <col min="12039" max="12039" width="11.5703125" style="142"/>
    <col min="12040" max="12040" width="12.5703125" style="142" bestFit="1" customWidth="1"/>
    <col min="12041" max="12041" width="5.5703125" style="142" customWidth="1"/>
    <col min="12042" max="12042" width="11.5703125" style="142"/>
    <col min="12043" max="12043" width="13" style="142" customWidth="1"/>
    <col min="12044" max="12045" width="11.5703125" style="142"/>
    <col min="12046" max="12046" width="5.5703125" style="142" customWidth="1"/>
    <col min="12047" max="12048" width="11.5703125" style="142"/>
    <col min="12049" max="12049" width="5.5703125" style="142" customWidth="1"/>
    <col min="12050" max="12051" width="11.5703125" style="142"/>
    <col min="12052" max="12052" width="5.5703125" style="142" customWidth="1"/>
    <col min="12053" max="12054" width="11.5703125" style="142"/>
    <col min="12055" max="12055" width="5.5703125" style="142" customWidth="1"/>
    <col min="12056" max="12057" width="11.5703125" style="142"/>
    <col min="12058" max="12058" width="5.5703125" style="142" customWidth="1"/>
    <col min="12059" max="12060" width="11.5703125" style="142"/>
    <col min="12061" max="12061" width="5.5703125" style="142" customWidth="1"/>
    <col min="12062" max="12063" width="11.5703125" style="142"/>
    <col min="12064" max="12064" width="5.5703125" style="142" customWidth="1"/>
    <col min="12065" max="12290" width="11.5703125" style="142"/>
    <col min="12291" max="12291" width="2.7109375" style="142" customWidth="1"/>
    <col min="12292" max="12292" width="11.5703125" style="142"/>
    <col min="12293" max="12293" width="10.28515625" style="142" customWidth="1"/>
    <col min="12294" max="12294" width="37.28515625" style="142" customWidth="1"/>
    <col min="12295" max="12295" width="11.5703125" style="142"/>
    <col min="12296" max="12296" width="12.5703125" style="142" bestFit="1" customWidth="1"/>
    <col min="12297" max="12297" width="5.5703125" style="142" customWidth="1"/>
    <col min="12298" max="12298" width="11.5703125" style="142"/>
    <col min="12299" max="12299" width="13" style="142" customWidth="1"/>
    <col min="12300" max="12301" width="11.5703125" style="142"/>
    <col min="12302" max="12302" width="5.5703125" style="142" customWidth="1"/>
    <col min="12303" max="12304" width="11.5703125" style="142"/>
    <col min="12305" max="12305" width="5.5703125" style="142" customWidth="1"/>
    <col min="12306" max="12307" width="11.5703125" style="142"/>
    <col min="12308" max="12308" width="5.5703125" style="142" customWidth="1"/>
    <col min="12309" max="12310" width="11.5703125" style="142"/>
    <col min="12311" max="12311" width="5.5703125" style="142" customWidth="1"/>
    <col min="12312" max="12313" width="11.5703125" style="142"/>
    <col min="12314" max="12314" width="5.5703125" style="142" customWidth="1"/>
    <col min="12315" max="12316" width="11.5703125" style="142"/>
    <col min="12317" max="12317" width="5.5703125" style="142" customWidth="1"/>
    <col min="12318" max="12319" width="11.5703125" style="142"/>
    <col min="12320" max="12320" width="5.5703125" style="142" customWidth="1"/>
    <col min="12321" max="12546" width="11.5703125" style="142"/>
    <col min="12547" max="12547" width="2.7109375" style="142" customWidth="1"/>
    <col min="12548" max="12548" width="11.5703125" style="142"/>
    <col min="12549" max="12549" width="10.28515625" style="142" customWidth="1"/>
    <col min="12550" max="12550" width="37.28515625" style="142" customWidth="1"/>
    <col min="12551" max="12551" width="11.5703125" style="142"/>
    <col min="12552" max="12552" width="12.5703125" style="142" bestFit="1" customWidth="1"/>
    <col min="12553" max="12553" width="5.5703125" style="142" customWidth="1"/>
    <col min="12554" max="12554" width="11.5703125" style="142"/>
    <col min="12555" max="12555" width="13" style="142" customWidth="1"/>
    <col min="12556" max="12557" width="11.5703125" style="142"/>
    <col min="12558" max="12558" width="5.5703125" style="142" customWidth="1"/>
    <col min="12559" max="12560" width="11.5703125" style="142"/>
    <col min="12561" max="12561" width="5.5703125" style="142" customWidth="1"/>
    <col min="12562" max="12563" width="11.5703125" style="142"/>
    <col min="12564" max="12564" width="5.5703125" style="142" customWidth="1"/>
    <col min="12565" max="12566" width="11.5703125" style="142"/>
    <col min="12567" max="12567" width="5.5703125" style="142" customWidth="1"/>
    <col min="12568" max="12569" width="11.5703125" style="142"/>
    <col min="12570" max="12570" width="5.5703125" style="142" customWidth="1"/>
    <col min="12571" max="12572" width="11.5703125" style="142"/>
    <col min="12573" max="12573" width="5.5703125" style="142" customWidth="1"/>
    <col min="12574" max="12575" width="11.5703125" style="142"/>
    <col min="12576" max="12576" width="5.5703125" style="142" customWidth="1"/>
    <col min="12577" max="12802" width="11.5703125" style="142"/>
    <col min="12803" max="12803" width="2.7109375" style="142" customWidth="1"/>
    <col min="12804" max="12804" width="11.5703125" style="142"/>
    <col min="12805" max="12805" width="10.28515625" style="142" customWidth="1"/>
    <col min="12806" max="12806" width="37.28515625" style="142" customWidth="1"/>
    <col min="12807" max="12807" width="11.5703125" style="142"/>
    <col min="12808" max="12808" width="12.5703125" style="142" bestFit="1" customWidth="1"/>
    <col min="12809" max="12809" width="5.5703125" style="142" customWidth="1"/>
    <col min="12810" max="12810" width="11.5703125" style="142"/>
    <col min="12811" max="12811" width="13" style="142" customWidth="1"/>
    <col min="12812" max="12813" width="11.5703125" style="142"/>
    <col min="12814" max="12814" width="5.5703125" style="142" customWidth="1"/>
    <col min="12815" max="12816" width="11.5703125" style="142"/>
    <col min="12817" max="12817" width="5.5703125" style="142" customWidth="1"/>
    <col min="12818" max="12819" width="11.5703125" style="142"/>
    <col min="12820" max="12820" width="5.5703125" style="142" customWidth="1"/>
    <col min="12821" max="12822" width="11.5703125" style="142"/>
    <col min="12823" max="12823" width="5.5703125" style="142" customWidth="1"/>
    <col min="12824" max="12825" width="11.5703125" style="142"/>
    <col min="12826" max="12826" width="5.5703125" style="142" customWidth="1"/>
    <col min="12827" max="12828" width="11.5703125" style="142"/>
    <col min="12829" max="12829" width="5.5703125" style="142" customWidth="1"/>
    <col min="12830" max="12831" width="11.5703125" style="142"/>
    <col min="12832" max="12832" width="5.5703125" style="142" customWidth="1"/>
    <col min="12833" max="13058" width="11.5703125" style="142"/>
    <col min="13059" max="13059" width="2.7109375" style="142" customWidth="1"/>
    <col min="13060" max="13060" width="11.5703125" style="142"/>
    <col min="13061" max="13061" width="10.28515625" style="142" customWidth="1"/>
    <col min="13062" max="13062" width="37.28515625" style="142" customWidth="1"/>
    <col min="13063" max="13063" width="11.5703125" style="142"/>
    <col min="13064" max="13064" width="12.5703125" style="142" bestFit="1" customWidth="1"/>
    <col min="13065" max="13065" width="5.5703125" style="142" customWidth="1"/>
    <col min="13066" max="13066" width="11.5703125" style="142"/>
    <col min="13067" max="13067" width="13" style="142" customWidth="1"/>
    <col min="13068" max="13069" width="11.5703125" style="142"/>
    <col min="13070" max="13070" width="5.5703125" style="142" customWidth="1"/>
    <col min="13071" max="13072" width="11.5703125" style="142"/>
    <col min="13073" max="13073" width="5.5703125" style="142" customWidth="1"/>
    <col min="13074" max="13075" width="11.5703125" style="142"/>
    <col min="13076" max="13076" width="5.5703125" style="142" customWidth="1"/>
    <col min="13077" max="13078" width="11.5703125" style="142"/>
    <col min="13079" max="13079" width="5.5703125" style="142" customWidth="1"/>
    <col min="13080" max="13081" width="11.5703125" style="142"/>
    <col min="13082" max="13082" width="5.5703125" style="142" customWidth="1"/>
    <col min="13083" max="13084" width="11.5703125" style="142"/>
    <col min="13085" max="13085" width="5.5703125" style="142" customWidth="1"/>
    <col min="13086" max="13087" width="11.5703125" style="142"/>
    <col min="13088" max="13088" width="5.5703125" style="142" customWidth="1"/>
    <col min="13089" max="13314" width="11.5703125" style="142"/>
    <col min="13315" max="13315" width="2.7109375" style="142" customWidth="1"/>
    <col min="13316" max="13316" width="11.5703125" style="142"/>
    <col min="13317" max="13317" width="10.28515625" style="142" customWidth="1"/>
    <col min="13318" max="13318" width="37.28515625" style="142" customWidth="1"/>
    <col min="13319" max="13319" width="11.5703125" style="142"/>
    <col min="13320" max="13320" width="12.5703125" style="142" bestFit="1" customWidth="1"/>
    <col min="13321" max="13321" width="5.5703125" style="142" customWidth="1"/>
    <col min="13322" max="13322" width="11.5703125" style="142"/>
    <col min="13323" max="13323" width="13" style="142" customWidth="1"/>
    <col min="13324" max="13325" width="11.5703125" style="142"/>
    <col min="13326" max="13326" width="5.5703125" style="142" customWidth="1"/>
    <col min="13327" max="13328" width="11.5703125" style="142"/>
    <col min="13329" max="13329" width="5.5703125" style="142" customWidth="1"/>
    <col min="13330" max="13331" width="11.5703125" style="142"/>
    <col min="13332" max="13332" width="5.5703125" style="142" customWidth="1"/>
    <col min="13333" max="13334" width="11.5703125" style="142"/>
    <col min="13335" max="13335" width="5.5703125" style="142" customWidth="1"/>
    <col min="13336" max="13337" width="11.5703125" style="142"/>
    <col min="13338" max="13338" width="5.5703125" style="142" customWidth="1"/>
    <col min="13339" max="13340" width="11.5703125" style="142"/>
    <col min="13341" max="13341" width="5.5703125" style="142" customWidth="1"/>
    <col min="13342" max="13343" width="11.5703125" style="142"/>
    <col min="13344" max="13344" width="5.5703125" style="142" customWidth="1"/>
    <col min="13345" max="13570" width="11.5703125" style="142"/>
    <col min="13571" max="13571" width="2.7109375" style="142" customWidth="1"/>
    <col min="13572" max="13572" width="11.5703125" style="142"/>
    <col min="13573" max="13573" width="10.28515625" style="142" customWidth="1"/>
    <col min="13574" max="13574" width="37.28515625" style="142" customWidth="1"/>
    <col min="13575" max="13575" width="11.5703125" style="142"/>
    <col min="13576" max="13576" width="12.5703125" style="142" bestFit="1" customWidth="1"/>
    <col min="13577" max="13577" width="5.5703125" style="142" customWidth="1"/>
    <col min="13578" max="13578" width="11.5703125" style="142"/>
    <col min="13579" max="13579" width="13" style="142" customWidth="1"/>
    <col min="13580" max="13581" width="11.5703125" style="142"/>
    <col min="13582" max="13582" width="5.5703125" style="142" customWidth="1"/>
    <col min="13583" max="13584" width="11.5703125" style="142"/>
    <col min="13585" max="13585" width="5.5703125" style="142" customWidth="1"/>
    <col min="13586" max="13587" width="11.5703125" style="142"/>
    <col min="13588" max="13588" width="5.5703125" style="142" customWidth="1"/>
    <col min="13589" max="13590" width="11.5703125" style="142"/>
    <col min="13591" max="13591" width="5.5703125" style="142" customWidth="1"/>
    <col min="13592" max="13593" width="11.5703125" style="142"/>
    <col min="13594" max="13594" width="5.5703125" style="142" customWidth="1"/>
    <col min="13595" max="13596" width="11.5703125" style="142"/>
    <col min="13597" max="13597" width="5.5703125" style="142" customWidth="1"/>
    <col min="13598" max="13599" width="11.5703125" style="142"/>
    <col min="13600" max="13600" width="5.5703125" style="142" customWidth="1"/>
    <col min="13601" max="13826" width="11.5703125" style="142"/>
    <col min="13827" max="13827" width="2.7109375" style="142" customWidth="1"/>
    <col min="13828" max="13828" width="11.5703125" style="142"/>
    <col min="13829" max="13829" width="10.28515625" style="142" customWidth="1"/>
    <col min="13830" max="13830" width="37.28515625" style="142" customWidth="1"/>
    <col min="13831" max="13831" width="11.5703125" style="142"/>
    <col min="13832" max="13832" width="12.5703125" style="142" bestFit="1" customWidth="1"/>
    <col min="13833" max="13833" width="5.5703125" style="142" customWidth="1"/>
    <col min="13834" max="13834" width="11.5703125" style="142"/>
    <col min="13835" max="13835" width="13" style="142" customWidth="1"/>
    <col min="13836" max="13837" width="11.5703125" style="142"/>
    <col min="13838" max="13838" width="5.5703125" style="142" customWidth="1"/>
    <col min="13839" max="13840" width="11.5703125" style="142"/>
    <col min="13841" max="13841" width="5.5703125" style="142" customWidth="1"/>
    <col min="13842" max="13843" width="11.5703125" style="142"/>
    <col min="13844" max="13844" width="5.5703125" style="142" customWidth="1"/>
    <col min="13845" max="13846" width="11.5703125" style="142"/>
    <col min="13847" max="13847" width="5.5703125" style="142" customWidth="1"/>
    <col min="13848" max="13849" width="11.5703125" style="142"/>
    <col min="13850" max="13850" width="5.5703125" style="142" customWidth="1"/>
    <col min="13851" max="13852" width="11.5703125" style="142"/>
    <col min="13853" max="13853" width="5.5703125" style="142" customWidth="1"/>
    <col min="13854" max="13855" width="11.5703125" style="142"/>
    <col min="13856" max="13856" width="5.5703125" style="142" customWidth="1"/>
    <col min="13857" max="14082" width="11.5703125" style="142"/>
    <col min="14083" max="14083" width="2.7109375" style="142" customWidth="1"/>
    <col min="14084" max="14084" width="11.5703125" style="142"/>
    <col min="14085" max="14085" width="10.28515625" style="142" customWidth="1"/>
    <col min="14086" max="14086" width="37.28515625" style="142" customWidth="1"/>
    <col min="14087" max="14087" width="11.5703125" style="142"/>
    <col min="14088" max="14088" width="12.5703125" style="142" bestFit="1" customWidth="1"/>
    <col min="14089" max="14089" width="5.5703125" style="142" customWidth="1"/>
    <col min="14090" max="14090" width="11.5703125" style="142"/>
    <col min="14091" max="14091" width="13" style="142" customWidth="1"/>
    <col min="14092" max="14093" width="11.5703125" style="142"/>
    <col min="14094" max="14094" width="5.5703125" style="142" customWidth="1"/>
    <col min="14095" max="14096" width="11.5703125" style="142"/>
    <col min="14097" max="14097" width="5.5703125" style="142" customWidth="1"/>
    <col min="14098" max="14099" width="11.5703125" style="142"/>
    <col min="14100" max="14100" width="5.5703125" style="142" customWidth="1"/>
    <col min="14101" max="14102" width="11.5703125" style="142"/>
    <col min="14103" max="14103" width="5.5703125" style="142" customWidth="1"/>
    <col min="14104" max="14105" width="11.5703125" style="142"/>
    <col min="14106" max="14106" width="5.5703125" style="142" customWidth="1"/>
    <col min="14107" max="14108" width="11.5703125" style="142"/>
    <col min="14109" max="14109" width="5.5703125" style="142" customWidth="1"/>
    <col min="14110" max="14111" width="11.5703125" style="142"/>
    <col min="14112" max="14112" width="5.5703125" style="142" customWidth="1"/>
    <col min="14113" max="14338" width="11.5703125" style="142"/>
    <col min="14339" max="14339" width="2.7109375" style="142" customWidth="1"/>
    <col min="14340" max="14340" width="11.5703125" style="142"/>
    <col min="14341" max="14341" width="10.28515625" style="142" customWidth="1"/>
    <col min="14342" max="14342" width="37.28515625" style="142" customWidth="1"/>
    <col min="14343" max="14343" width="11.5703125" style="142"/>
    <col min="14344" max="14344" width="12.5703125" style="142" bestFit="1" customWidth="1"/>
    <col min="14345" max="14345" width="5.5703125" style="142" customWidth="1"/>
    <col min="14346" max="14346" width="11.5703125" style="142"/>
    <col min="14347" max="14347" width="13" style="142" customWidth="1"/>
    <col min="14348" max="14349" width="11.5703125" style="142"/>
    <col min="14350" max="14350" width="5.5703125" style="142" customWidth="1"/>
    <col min="14351" max="14352" width="11.5703125" style="142"/>
    <col min="14353" max="14353" width="5.5703125" style="142" customWidth="1"/>
    <col min="14354" max="14355" width="11.5703125" style="142"/>
    <col min="14356" max="14356" width="5.5703125" style="142" customWidth="1"/>
    <col min="14357" max="14358" width="11.5703125" style="142"/>
    <col min="14359" max="14359" width="5.5703125" style="142" customWidth="1"/>
    <col min="14360" max="14361" width="11.5703125" style="142"/>
    <col min="14362" max="14362" width="5.5703125" style="142" customWidth="1"/>
    <col min="14363" max="14364" width="11.5703125" style="142"/>
    <col min="14365" max="14365" width="5.5703125" style="142" customWidth="1"/>
    <col min="14366" max="14367" width="11.5703125" style="142"/>
    <col min="14368" max="14368" width="5.5703125" style="142" customWidth="1"/>
    <col min="14369" max="14594" width="11.5703125" style="142"/>
    <col min="14595" max="14595" width="2.7109375" style="142" customWidth="1"/>
    <col min="14596" max="14596" width="11.5703125" style="142"/>
    <col min="14597" max="14597" width="10.28515625" style="142" customWidth="1"/>
    <col min="14598" max="14598" width="37.28515625" style="142" customWidth="1"/>
    <col min="14599" max="14599" width="11.5703125" style="142"/>
    <col min="14600" max="14600" width="12.5703125" style="142" bestFit="1" customWidth="1"/>
    <col min="14601" max="14601" width="5.5703125" style="142" customWidth="1"/>
    <col min="14602" max="14602" width="11.5703125" style="142"/>
    <col min="14603" max="14603" width="13" style="142" customWidth="1"/>
    <col min="14604" max="14605" width="11.5703125" style="142"/>
    <col min="14606" max="14606" width="5.5703125" style="142" customWidth="1"/>
    <col min="14607" max="14608" width="11.5703125" style="142"/>
    <col min="14609" max="14609" width="5.5703125" style="142" customWidth="1"/>
    <col min="14610" max="14611" width="11.5703125" style="142"/>
    <col min="14612" max="14612" width="5.5703125" style="142" customWidth="1"/>
    <col min="14613" max="14614" width="11.5703125" style="142"/>
    <col min="14615" max="14615" width="5.5703125" style="142" customWidth="1"/>
    <col min="14616" max="14617" width="11.5703125" style="142"/>
    <col min="14618" max="14618" width="5.5703125" style="142" customWidth="1"/>
    <col min="14619" max="14620" width="11.5703125" style="142"/>
    <col min="14621" max="14621" width="5.5703125" style="142" customWidth="1"/>
    <col min="14622" max="14623" width="11.5703125" style="142"/>
    <col min="14624" max="14624" width="5.5703125" style="142" customWidth="1"/>
    <col min="14625" max="14850" width="11.5703125" style="142"/>
    <col min="14851" max="14851" width="2.7109375" style="142" customWidth="1"/>
    <col min="14852" max="14852" width="11.5703125" style="142"/>
    <col min="14853" max="14853" width="10.28515625" style="142" customWidth="1"/>
    <col min="14854" max="14854" width="37.28515625" style="142" customWidth="1"/>
    <col min="14855" max="14855" width="11.5703125" style="142"/>
    <col min="14856" max="14856" width="12.5703125" style="142" bestFit="1" customWidth="1"/>
    <col min="14857" max="14857" width="5.5703125" style="142" customWidth="1"/>
    <col min="14858" max="14858" width="11.5703125" style="142"/>
    <col min="14859" max="14859" width="13" style="142" customWidth="1"/>
    <col min="14860" max="14861" width="11.5703125" style="142"/>
    <col min="14862" max="14862" width="5.5703125" style="142" customWidth="1"/>
    <col min="14863" max="14864" width="11.5703125" style="142"/>
    <col min="14865" max="14865" width="5.5703125" style="142" customWidth="1"/>
    <col min="14866" max="14867" width="11.5703125" style="142"/>
    <col min="14868" max="14868" width="5.5703125" style="142" customWidth="1"/>
    <col min="14869" max="14870" width="11.5703125" style="142"/>
    <col min="14871" max="14871" width="5.5703125" style="142" customWidth="1"/>
    <col min="14872" max="14873" width="11.5703125" style="142"/>
    <col min="14874" max="14874" width="5.5703125" style="142" customWidth="1"/>
    <col min="14875" max="14876" width="11.5703125" style="142"/>
    <col min="14877" max="14877" width="5.5703125" style="142" customWidth="1"/>
    <col min="14878" max="14879" width="11.5703125" style="142"/>
    <col min="14880" max="14880" width="5.5703125" style="142" customWidth="1"/>
    <col min="14881" max="15106" width="11.5703125" style="142"/>
    <col min="15107" max="15107" width="2.7109375" style="142" customWidth="1"/>
    <col min="15108" max="15108" width="11.5703125" style="142"/>
    <col min="15109" max="15109" width="10.28515625" style="142" customWidth="1"/>
    <col min="15110" max="15110" width="37.28515625" style="142" customWidth="1"/>
    <col min="15111" max="15111" width="11.5703125" style="142"/>
    <col min="15112" max="15112" width="12.5703125" style="142" bestFit="1" customWidth="1"/>
    <col min="15113" max="15113" width="5.5703125" style="142" customWidth="1"/>
    <col min="15114" max="15114" width="11.5703125" style="142"/>
    <col min="15115" max="15115" width="13" style="142" customWidth="1"/>
    <col min="15116" max="15117" width="11.5703125" style="142"/>
    <col min="15118" max="15118" width="5.5703125" style="142" customWidth="1"/>
    <col min="15119" max="15120" width="11.5703125" style="142"/>
    <col min="15121" max="15121" width="5.5703125" style="142" customWidth="1"/>
    <col min="15122" max="15123" width="11.5703125" style="142"/>
    <col min="15124" max="15124" width="5.5703125" style="142" customWidth="1"/>
    <col min="15125" max="15126" width="11.5703125" style="142"/>
    <col min="15127" max="15127" width="5.5703125" style="142" customWidth="1"/>
    <col min="15128" max="15129" width="11.5703125" style="142"/>
    <col min="15130" max="15130" width="5.5703125" style="142" customWidth="1"/>
    <col min="15131" max="15132" width="11.5703125" style="142"/>
    <col min="15133" max="15133" width="5.5703125" style="142" customWidth="1"/>
    <col min="15134" max="15135" width="11.5703125" style="142"/>
    <col min="15136" max="15136" width="5.5703125" style="142" customWidth="1"/>
    <col min="15137" max="15362" width="11.5703125" style="142"/>
    <col min="15363" max="15363" width="2.7109375" style="142" customWidth="1"/>
    <col min="15364" max="15364" width="11.5703125" style="142"/>
    <col min="15365" max="15365" width="10.28515625" style="142" customWidth="1"/>
    <col min="15366" max="15366" width="37.28515625" style="142" customWidth="1"/>
    <col min="15367" max="15367" width="11.5703125" style="142"/>
    <col min="15368" max="15368" width="12.5703125" style="142" bestFit="1" customWidth="1"/>
    <col min="15369" max="15369" width="5.5703125" style="142" customWidth="1"/>
    <col min="15370" max="15370" width="11.5703125" style="142"/>
    <col min="15371" max="15371" width="13" style="142" customWidth="1"/>
    <col min="15372" max="15373" width="11.5703125" style="142"/>
    <col min="15374" max="15374" width="5.5703125" style="142" customWidth="1"/>
    <col min="15375" max="15376" width="11.5703125" style="142"/>
    <col min="15377" max="15377" width="5.5703125" style="142" customWidth="1"/>
    <col min="15378" max="15379" width="11.5703125" style="142"/>
    <col min="15380" max="15380" width="5.5703125" style="142" customWidth="1"/>
    <col min="15381" max="15382" width="11.5703125" style="142"/>
    <col min="15383" max="15383" width="5.5703125" style="142" customWidth="1"/>
    <col min="15384" max="15385" width="11.5703125" style="142"/>
    <col min="15386" max="15386" width="5.5703125" style="142" customWidth="1"/>
    <col min="15387" max="15388" width="11.5703125" style="142"/>
    <col min="15389" max="15389" width="5.5703125" style="142" customWidth="1"/>
    <col min="15390" max="15391" width="11.5703125" style="142"/>
    <col min="15392" max="15392" width="5.5703125" style="142" customWidth="1"/>
    <col min="15393" max="15618" width="11.5703125" style="142"/>
    <col min="15619" max="15619" width="2.7109375" style="142" customWidth="1"/>
    <col min="15620" max="15620" width="11.5703125" style="142"/>
    <col min="15621" max="15621" width="10.28515625" style="142" customWidth="1"/>
    <col min="15622" max="15622" width="37.28515625" style="142" customWidth="1"/>
    <col min="15623" max="15623" width="11.5703125" style="142"/>
    <col min="15624" max="15624" width="12.5703125" style="142" bestFit="1" customWidth="1"/>
    <col min="15625" max="15625" width="5.5703125" style="142" customWidth="1"/>
    <col min="15626" max="15626" width="11.5703125" style="142"/>
    <col min="15627" max="15627" width="13" style="142" customWidth="1"/>
    <col min="15628" max="15629" width="11.5703125" style="142"/>
    <col min="15630" max="15630" width="5.5703125" style="142" customWidth="1"/>
    <col min="15631" max="15632" width="11.5703125" style="142"/>
    <col min="15633" max="15633" width="5.5703125" style="142" customWidth="1"/>
    <col min="15634" max="15635" width="11.5703125" style="142"/>
    <col min="15636" max="15636" width="5.5703125" style="142" customWidth="1"/>
    <col min="15637" max="15638" width="11.5703125" style="142"/>
    <col min="15639" max="15639" width="5.5703125" style="142" customWidth="1"/>
    <col min="15640" max="15641" width="11.5703125" style="142"/>
    <col min="15642" max="15642" width="5.5703125" style="142" customWidth="1"/>
    <col min="15643" max="15644" width="11.5703125" style="142"/>
    <col min="15645" max="15645" width="5.5703125" style="142" customWidth="1"/>
    <col min="15646" max="15647" width="11.5703125" style="142"/>
    <col min="15648" max="15648" width="5.5703125" style="142" customWidth="1"/>
    <col min="15649" max="15874" width="11.5703125" style="142"/>
    <col min="15875" max="15875" width="2.7109375" style="142" customWidth="1"/>
    <col min="15876" max="15876" width="11.5703125" style="142"/>
    <col min="15877" max="15877" width="10.28515625" style="142" customWidth="1"/>
    <col min="15878" max="15878" width="37.28515625" style="142" customWidth="1"/>
    <col min="15879" max="15879" width="11.5703125" style="142"/>
    <col min="15880" max="15880" width="12.5703125" style="142" bestFit="1" customWidth="1"/>
    <col min="15881" max="15881" width="5.5703125" style="142" customWidth="1"/>
    <col min="15882" max="15882" width="11.5703125" style="142"/>
    <col min="15883" max="15883" width="13" style="142" customWidth="1"/>
    <col min="15884" max="15885" width="11.5703125" style="142"/>
    <col min="15886" max="15886" width="5.5703125" style="142" customWidth="1"/>
    <col min="15887" max="15888" width="11.5703125" style="142"/>
    <col min="15889" max="15889" width="5.5703125" style="142" customWidth="1"/>
    <col min="15890" max="15891" width="11.5703125" style="142"/>
    <col min="15892" max="15892" width="5.5703125" style="142" customWidth="1"/>
    <col min="15893" max="15894" width="11.5703125" style="142"/>
    <col min="15895" max="15895" width="5.5703125" style="142" customWidth="1"/>
    <col min="15896" max="15897" width="11.5703125" style="142"/>
    <col min="15898" max="15898" width="5.5703125" style="142" customWidth="1"/>
    <col min="15899" max="15900" width="11.5703125" style="142"/>
    <col min="15901" max="15901" width="5.5703125" style="142" customWidth="1"/>
    <col min="15902" max="15903" width="11.5703125" style="142"/>
    <col min="15904" max="15904" width="5.5703125" style="142" customWidth="1"/>
    <col min="15905" max="16130" width="11.5703125" style="142"/>
    <col min="16131" max="16131" width="2.7109375" style="142" customWidth="1"/>
    <col min="16132" max="16132" width="11.5703125" style="142"/>
    <col min="16133" max="16133" width="10.28515625" style="142" customWidth="1"/>
    <col min="16134" max="16134" width="37.28515625" style="142" customWidth="1"/>
    <col min="16135" max="16135" width="11.5703125" style="142"/>
    <col min="16136" max="16136" width="12.5703125" style="142" bestFit="1" customWidth="1"/>
    <col min="16137" max="16137" width="5.5703125" style="142" customWidth="1"/>
    <col min="16138" max="16138" width="11.5703125" style="142"/>
    <col min="16139" max="16139" width="13" style="142" customWidth="1"/>
    <col min="16140" max="16141" width="11.5703125" style="142"/>
    <col min="16142" max="16142" width="5.5703125" style="142" customWidth="1"/>
    <col min="16143" max="16144" width="11.5703125" style="142"/>
    <col min="16145" max="16145" width="5.5703125" style="142" customWidth="1"/>
    <col min="16146" max="16147" width="11.5703125" style="142"/>
    <col min="16148" max="16148" width="5.5703125" style="142" customWidth="1"/>
    <col min="16149" max="16150" width="11.5703125" style="142"/>
    <col min="16151" max="16151" width="5.5703125" style="142" customWidth="1"/>
    <col min="16152" max="16153" width="11.5703125" style="142"/>
    <col min="16154" max="16154" width="5.5703125" style="142" customWidth="1"/>
    <col min="16155" max="16156" width="11.5703125" style="142"/>
    <col min="16157" max="16157" width="5.5703125" style="142" customWidth="1"/>
    <col min="16158" max="16159" width="11.5703125" style="142"/>
    <col min="16160" max="16160" width="5.5703125" style="142" customWidth="1"/>
    <col min="16161" max="16384" width="11.5703125" style="142"/>
  </cols>
  <sheetData>
    <row r="1" spans="2:36" s="141" customFormat="1" ht="9" customHeight="1" thickBot="1"/>
    <row r="2" spans="2:36" ht="41.25" customHeight="1" thickBot="1">
      <c r="B2" s="371"/>
      <c r="C2" s="372"/>
      <c r="D2" s="607" t="s">
        <v>84</v>
      </c>
      <c r="E2" s="561" t="s">
        <v>83</v>
      </c>
      <c r="F2" s="562"/>
      <c r="G2" s="562"/>
      <c r="H2" s="563"/>
      <c r="I2" s="558" t="s">
        <v>81</v>
      </c>
      <c r="J2" s="559"/>
      <c r="K2" s="559"/>
      <c r="L2" s="559"/>
      <c r="M2" s="560"/>
      <c r="N2" s="558" t="s">
        <v>85</v>
      </c>
      <c r="O2" s="559"/>
      <c r="P2" s="559"/>
      <c r="Q2" s="559"/>
      <c r="R2" s="559"/>
      <c r="S2" s="559"/>
      <c r="T2" s="559"/>
      <c r="U2" s="559"/>
      <c r="V2" s="560"/>
      <c r="W2" s="558" t="s">
        <v>86</v>
      </c>
      <c r="X2" s="559"/>
      <c r="Y2" s="559"/>
      <c r="Z2" s="559"/>
      <c r="AA2" s="559"/>
      <c r="AB2" s="560"/>
      <c r="AC2" s="558" t="s">
        <v>94</v>
      </c>
      <c r="AD2" s="559"/>
      <c r="AE2" s="559"/>
      <c r="AF2" s="559"/>
      <c r="AG2" s="559"/>
      <c r="AH2" s="559"/>
      <c r="AI2" s="580" t="s">
        <v>95</v>
      </c>
      <c r="AJ2" s="581"/>
    </row>
    <row r="3" spans="2:36" ht="31.9" customHeight="1" thickBot="1">
      <c r="B3" s="373"/>
      <c r="C3" s="374"/>
      <c r="D3" s="608"/>
      <c r="E3" s="564"/>
      <c r="F3" s="565"/>
      <c r="G3" s="565"/>
      <c r="H3" s="566"/>
      <c r="I3" s="605" t="s">
        <v>82</v>
      </c>
      <c r="J3" s="606"/>
      <c r="K3" s="606"/>
      <c r="L3" s="606"/>
      <c r="M3" s="143">
        <v>1.3</v>
      </c>
      <c r="N3" s="576" t="s">
        <v>111</v>
      </c>
      <c r="O3" s="577"/>
      <c r="P3" s="143">
        <v>1.3</v>
      </c>
      <c r="Q3" s="576" t="s">
        <v>110</v>
      </c>
      <c r="R3" s="577"/>
      <c r="S3" s="143">
        <v>1.3</v>
      </c>
      <c r="T3" s="576" t="s">
        <v>109</v>
      </c>
      <c r="U3" s="577"/>
      <c r="V3" s="143">
        <v>1.3</v>
      </c>
      <c r="W3" s="572" t="s">
        <v>87</v>
      </c>
      <c r="X3" s="573"/>
      <c r="Y3" s="143">
        <v>1.3</v>
      </c>
      <c r="Z3" s="574" t="s">
        <v>88</v>
      </c>
      <c r="AA3" s="575"/>
      <c r="AB3" s="143">
        <v>1.3</v>
      </c>
      <c r="AC3" s="574" t="s">
        <v>97</v>
      </c>
      <c r="AD3" s="575"/>
      <c r="AE3" s="143">
        <v>1.1100000000000001</v>
      </c>
      <c r="AF3" s="574" t="s">
        <v>100</v>
      </c>
      <c r="AG3" s="575"/>
      <c r="AH3" s="143">
        <v>1.1100000000000001</v>
      </c>
      <c r="AI3" s="582"/>
      <c r="AJ3" s="583"/>
    </row>
    <row r="4" spans="2:36" s="141" customFormat="1" ht="15.75" thickBot="1"/>
    <row r="5" spans="2:36" s="141" customFormat="1" ht="27" customHeight="1" thickBot="1">
      <c r="B5" s="378" t="s">
        <v>445</v>
      </c>
      <c r="C5" s="375"/>
      <c r="D5" s="375"/>
      <c r="E5" s="591" t="s">
        <v>96</v>
      </c>
      <c r="F5" s="592"/>
      <c r="G5" s="592"/>
      <c r="H5" s="593"/>
      <c r="I5" s="567" t="s">
        <v>0</v>
      </c>
      <c r="J5" s="570" t="s">
        <v>14</v>
      </c>
      <c r="K5" s="594"/>
      <c r="L5" s="594"/>
      <c r="M5" s="594"/>
      <c r="N5" s="567" t="s">
        <v>0</v>
      </c>
      <c r="O5" s="570" t="s">
        <v>89</v>
      </c>
      <c r="P5" s="571"/>
      <c r="Q5" s="567" t="s">
        <v>0</v>
      </c>
      <c r="R5" s="570" t="s">
        <v>90</v>
      </c>
      <c r="S5" s="571"/>
      <c r="T5" s="567" t="s">
        <v>0</v>
      </c>
      <c r="U5" s="570" t="s">
        <v>112</v>
      </c>
      <c r="V5" s="571"/>
      <c r="W5" s="567" t="s">
        <v>0</v>
      </c>
      <c r="X5" s="570" t="s">
        <v>92</v>
      </c>
      <c r="Y5" s="571"/>
      <c r="Z5" s="567" t="s">
        <v>0</v>
      </c>
      <c r="AA5" s="570" t="s">
        <v>93</v>
      </c>
      <c r="AB5" s="571"/>
      <c r="AC5" s="567" t="s">
        <v>0</v>
      </c>
      <c r="AD5" s="570" t="s">
        <v>98</v>
      </c>
      <c r="AE5" s="571"/>
      <c r="AF5" s="567" t="s">
        <v>0</v>
      </c>
      <c r="AG5" s="570" t="s">
        <v>99</v>
      </c>
      <c r="AH5" s="571"/>
      <c r="AI5" s="595" t="s">
        <v>9</v>
      </c>
      <c r="AJ5" s="596"/>
    </row>
    <row r="6" spans="2:36" s="141" customFormat="1" ht="27" customHeight="1">
      <c r="B6" s="379"/>
      <c r="C6" s="578" t="s">
        <v>10</v>
      </c>
      <c r="D6" s="599" t="s">
        <v>11</v>
      </c>
      <c r="E6" s="601" t="s">
        <v>25</v>
      </c>
      <c r="F6" s="603" t="s">
        <v>27</v>
      </c>
      <c r="G6" s="144" t="s">
        <v>12</v>
      </c>
      <c r="H6" s="145" t="s">
        <v>13</v>
      </c>
      <c r="I6" s="568"/>
      <c r="J6" s="146" t="s">
        <v>101</v>
      </c>
      <c r="K6" s="147">
        <v>29.5</v>
      </c>
      <c r="L6" s="148" t="s">
        <v>1</v>
      </c>
      <c r="M6" s="149">
        <f>+COEF_MO</f>
        <v>1.3</v>
      </c>
      <c r="N6" s="568"/>
      <c r="O6" s="148" t="s">
        <v>2</v>
      </c>
      <c r="P6" s="150">
        <f>+COEF_FOURNITURE1</f>
        <v>1.3</v>
      </c>
      <c r="Q6" s="568"/>
      <c r="R6" s="148" t="s">
        <v>3</v>
      </c>
      <c r="S6" s="150">
        <v>1.3</v>
      </c>
      <c r="T6" s="568"/>
      <c r="U6" s="148" t="s">
        <v>4</v>
      </c>
      <c r="V6" s="150">
        <v>1.3</v>
      </c>
      <c r="W6" s="568"/>
      <c r="X6" s="148" t="s">
        <v>5</v>
      </c>
      <c r="Y6" s="150">
        <v>1.1499999999999999</v>
      </c>
      <c r="Z6" s="568"/>
      <c r="AA6" s="148" t="s">
        <v>6</v>
      </c>
      <c r="AB6" s="150">
        <v>1.3</v>
      </c>
      <c r="AC6" s="568"/>
      <c r="AD6" s="148" t="s">
        <v>7</v>
      </c>
      <c r="AE6" s="150">
        <f>+COEF_ST1</f>
        <v>1.1100000000000001</v>
      </c>
      <c r="AF6" s="568"/>
      <c r="AG6" s="148" t="s">
        <v>8</v>
      </c>
      <c r="AH6" s="150">
        <f>+COEF_ST2</f>
        <v>1.1100000000000001</v>
      </c>
      <c r="AI6" s="597"/>
      <c r="AJ6" s="598"/>
    </row>
    <row r="7" spans="2:36" s="141" customFormat="1" ht="27" customHeight="1">
      <c r="B7" s="376"/>
      <c r="C7" s="579"/>
      <c r="D7" s="600"/>
      <c r="E7" s="602"/>
      <c r="F7" s="604"/>
      <c r="G7" s="151" t="s">
        <v>15</v>
      </c>
      <c r="H7" s="152" t="s">
        <v>15</v>
      </c>
      <c r="I7" s="569"/>
      <c r="J7" s="153" t="s">
        <v>16</v>
      </c>
      <c r="K7" s="154" t="s">
        <v>17</v>
      </c>
      <c r="L7" s="154" t="s">
        <v>18</v>
      </c>
      <c r="M7" s="155" t="s">
        <v>19</v>
      </c>
      <c r="N7" s="569"/>
      <c r="O7" s="155" t="s">
        <v>20</v>
      </c>
      <c r="P7" s="156" t="s">
        <v>21</v>
      </c>
      <c r="Q7" s="569"/>
      <c r="R7" s="155" t="s">
        <v>20</v>
      </c>
      <c r="S7" s="156" t="s">
        <v>21</v>
      </c>
      <c r="T7" s="569"/>
      <c r="U7" s="155" t="s">
        <v>20</v>
      </c>
      <c r="V7" s="156" t="s">
        <v>21</v>
      </c>
      <c r="W7" s="569"/>
      <c r="X7" s="155" t="s">
        <v>20</v>
      </c>
      <c r="Y7" s="156" t="s">
        <v>21</v>
      </c>
      <c r="Z7" s="569"/>
      <c r="AA7" s="155" t="s">
        <v>20</v>
      </c>
      <c r="AB7" s="156" t="s">
        <v>21</v>
      </c>
      <c r="AC7" s="569"/>
      <c r="AD7" s="155" t="s">
        <v>20</v>
      </c>
      <c r="AE7" s="156" t="s">
        <v>21</v>
      </c>
      <c r="AF7" s="569"/>
      <c r="AG7" s="155" t="s">
        <v>20</v>
      </c>
      <c r="AH7" s="156" t="s">
        <v>21</v>
      </c>
      <c r="AI7" s="157" t="s">
        <v>22</v>
      </c>
      <c r="AJ7" s="156" t="s">
        <v>23</v>
      </c>
    </row>
    <row r="8" spans="2:36" s="141" customFormat="1">
      <c r="B8" s="158"/>
      <c r="C8" s="159"/>
      <c r="D8" s="160"/>
      <c r="E8" s="161"/>
      <c r="F8" s="159"/>
      <c r="G8" s="162"/>
      <c r="H8" s="163"/>
      <c r="I8" s="164"/>
      <c r="J8" s="162"/>
      <c r="K8" s="162"/>
      <c r="L8" s="162"/>
      <c r="M8" s="165"/>
      <c r="N8" s="164"/>
      <c r="O8" s="162"/>
      <c r="P8" s="163"/>
      <c r="Q8" s="164"/>
      <c r="R8" s="162"/>
      <c r="S8" s="163"/>
      <c r="T8" s="164"/>
      <c r="U8" s="162"/>
      <c r="V8" s="163"/>
      <c r="W8" s="164"/>
      <c r="X8" s="162"/>
      <c r="Y8" s="163"/>
      <c r="Z8" s="164"/>
      <c r="AA8" s="162"/>
      <c r="AB8" s="163"/>
      <c r="AC8" s="164"/>
      <c r="AD8" s="162"/>
      <c r="AE8" s="163"/>
      <c r="AF8" s="164"/>
      <c r="AG8" s="162"/>
      <c r="AH8" s="163"/>
      <c r="AI8" s="166"/>
      <c r="AJ8" s="163"/>
    </row>
    <row r="9" spans="2:36" s="141" customFormat="1">
      <c r="B9" s="158"/>
      <c r="C9" s="167" t="s">
        <v>472</v>
      </c>
      <c r="D9" s="168"/>
      <c r="E9" s="169"/>
      <c r="F9" s="170"/>
      <c r="G9" s="171"/>
      <c r="H9" s="464"/>
      <c r="I9" s="173"/>
      <c r="J9" s="171"/>
      <c r="K9" s="171"/>
      <c r="L9" s="171"/>
      <c r="M9" s="174"/>
      <c r="N9" s="173"/>
      <c r="O9" s="171"/>
      <c r="P9" s="172"/>
      <c r="Q9" s="173"/>
      <c r="R9" s="171"/>
      <c r="S9" s="172"/>
      <c r="T9" s="173"/>
      <c r="U9" s="171"/>
      <c r="V9" s="172"/>
      <c r="W9" s="173"/>
      <c r="X9" s="171"/>
      <c r="Y9" s="172"/>
      <c r="Z9" s="173"/>
      <c r="AA9" s="171"/>
      <c r="AB9" s="172"/>
      <c r="AC9" s="173"/>
      <c r="AD9" s="171"/>
      <c r="AE9" s="172"/>
      <c r="AF9" s="173"/>
      <c r="AG9" s="171"/>
      <c r="AH9" s="172"/>
      <c r="AI9" s="175"/>
      <c r="AJ9" s="172"/>
    </row>
    <row r="10" spans="2:36" s="141" customFormat="1">
      <c r="B10" s="158"/>
      <c r="C10" s="176"/>
      <c r="D10" s="338"/>
      <c r="E10" s="169"/>
      <c r="F10" s="170"/>
      <c r="G10" s="171"/>
      <c r="H10" s="172"/>
      <c r="I10" s="173"/>
      <c r="J10" s="171"/>
      <c r="K10" s="171"/>
      <c r="L10" s="171"/>
      <c r="M10" s="174"/>
      <c r="N10" s="173"/>
      <c r="O10" s="171"/>
      <c r="P10" s="172"/>
      <c r="Q10" s="173"/>
      <c r="R10" s="171"/>
      <c r="S10" s="172"/>
      <c r="T10" s="173"/>
      <c r="U10" s="171"/>
      <c r="V10" s="172"/>
      <c r="W10" s="173"/>
      <c r="X10" s="171"/>
      <c r="Y10" s="172"/>
      <c r="Z10" s="173"/>
      <c r="AA10" s="171"/>
      <c r="AB10" s="172"/>
      <c r="AC10" s="173"/>
      <c r="AD10" s="171"/>
      <c r="AE10" s="172"/>
      <c r="AF10" s="173"/>
      <c r="AG10" s="171"/>
      <c r="AH10" s="172"/>
      <c r="AI10" s="175"/>
      <c r="AJ10" s="172"/>
    </row>
    <row r="11" spans="2:36" s="141" customFormat="1">
      <c r="B11" s="158"/>
      <c r="C11" s="176"/>
      <c r="D11" s="178"/>
      <c r="E11" s="169"/>
      <c r="F11" s="170"/>
      <c r="G11" s="171"/>
      <c r="H11" s="463"/>
      <c r="I11" s="173"/>
      <c r="J11" s="171"/>
      <c r="K11" s="171"/>
      <c r="L11" s="171"/>
      <c r="M11" s="174"/>
      <c r="N11" s="173"/>
      <c r="O11" s="171"/>
      <c r="P11" s="172"/>
      <c r="Q11" s="173"/>
      <c r="R11" s="171"/>
      <c r="S11" s="172"/>
      <c r="T11" s="173"/>
      <c r="U11" s="171"/>
      <c r="V11" s="172"/>
      <c r="W11" s="173"/>
      <c r="X11" s="171"/>
      <c r="Y11" s="172"/>
      <c r="Z11" s="173"/>
      <c r="AA11" s="171"/>
      <c r="AB11" s="172"/>
      <c r="AC11" s="173"/>
      <c r="AD11" s="171"/>
      <c r="AE11" s="172"/>
      <c r="AF11" s="173"/>
      <c r="AG11" s="171"/>
      <c r="AH11" s="172"/>
      <c r="AI11" s="175"/>
      <c r="AJ11" s="172"/>
    </row>
    <row r="12" spans="2:36" s="141" customFormat="1">
      <c r="B12" s="158"/>
      <c r="C12" s="179"/>
      <c r="D12" s="180" t="s">
        <v>24</v>
      </c>
      <c r="E12" s="181" t="s">
        <v>26</v>
      </c>
      <c r="F12" s="182">
        <v>1</v>
      </c>
      <c r="G12" s="337">
        <f>+AI12+H12</f>
        <v>22.200000000000003</v>
      </c>
      <c r="H12" s="336">
        <f>+K12+O12+R12+U12+X12+AA12+AD12+AG12</f>
        <v>20</v>
      </c>
      <c r="I12" s="184">
        <f>+COEF_MO_INSTALL</f>
        <v>1.3</v>
      </c>
      <c r="J12" s="126">
        <v>0</v>
      </c>
      <c r="K12" s="126">
        <f>+J12*TH_INSTALL</f>
        <v>0</v>
      </c>
      <c r="L12" s="126">
        <f>+J12*F12</f>
        <v>0</v>
      </c>
      <c r="M12" s="185">
        <f>+K12*F12</f>
        <v>0</v>
      </c>
      <c r="N12" s="184">
        <f>+COEF_FOUR1_INSTALL</f>
        <v>1.3</v>
      </c>
      <c r="O12" s="126">
        <v>0</v>
      </c>
      <c r="P12" s="183">
        <f>+F12*O12</f>
        <v>0</v>
      </c>
      <c r="Q12" s="184">
        <f>+COEF_FOUR2_INSTALL</f>
        <v>1.3</v>
      </c>
      <c r="R12" s="126">
        <v>0</v>
      </c>
      <c r="S12" s="183">
        <f>+R12*F12</f>
        <v>0</v>
      </c>
      <c r="T12" s="184">
        <f>+COEF_FOUR3_INSTALL</f>
        <v>1.3</v>
      </c>
      <c r="U12" s="126">
        <v>0</v>
      </c>
      <c r="V12" s="183">
        <f>+U12*F12</f>
        <v>0</v>
      </c>
      <c r="W12" s="184">
        <f>+COEF_MTLLOC_INSTALL</f>
        <v>1.1499999999999999</v>
      </c>
      <c r="X12" s="126">
        <v>0</v>
      </c>
      <c r="Y12" s="183">
        <f>+X12*F12</f>
        <v>0</v>
      </c>
      <c r="Z12" s="184">
        <f>+COEF_MTLAMR_INSTALL</f>
        <v>1.3</v>
      </c>
      <c r="AA12" s="126">
        <v>0</v>
      </c>
      <c r="AB12" s="183">
        <f>+AA12*F12</f>
        <v>0</v>
      </c>
      <c r="AC12" s="184">
        <f>+COEF_ST1_INSTALL</f>
        <v>1.1100000000000001</v>
      </c>
      <c r="AD12" s="126">
        <v>10</v>
      </c>
      <c r="AE12" s="183">
        <f>+AD12*F12</f>
        <v>10</v>
      </c>
      <c r="AF12" s="184">
        <f>+COEF_ST2_INSTALL</f>
        <v>1.1100000000000001</v>
      </c>
      <c r="AG12" s="126">
        <v>10</v>
      </c>
      <c r="AH12" s="183">
        <f>+AG12*F12</f>
        <v>10</v>
      </c>
      <c r="AI12" s="186">
        <f>+(((K12)*I12)+(O12*N12)+(R12*Q12)+(U12*T12)+(X12*W12)+(AA12*Z12)+(AD12*AC12)+(AG12*AF12))-(H12)</f>
        <v>2.2000000000000028</v>
      </c>
      <c r="AJ12" s="183">
        <f>+AI12*F12</f>
        <v>2.2000000000000028</v>
      </c>
    </row>
    <row r="13" spans="2:36" s="141" customFormat="1">
      <c r="B13" s="158"/>
      <c r="C13" s="179"/>
      <c r="D13" s="180"/>
      <c r="E13" s="181"/>
      <c r="F13" s="182"/>
      <c r="G13" s="126"/>
      <c r="H13" s="183"/>
      <c r="I13" s="184"/>
      <c r="J13" s="126"/>
      <c r="K13" s="126"/>
      <c r="L13" s="126"/>
      <c r="M13" s="185"/>
      <c r="N13" s="184"/>
      <c r="O13" s="126"/>
      <c r="P13" s="183"/>
      <c r="Q13" s="184"/>
      <c r="R13" s="126"/>
      <c r="S13" s="183"/>
      <c r="T13" s="184"/>
      <c r="U13" s="126"/>
      <c r="V13" s="183"/>
      <c r="W13" s="184"/>
      <c r="X13" s="126"/>
      <c r="Y13" s="183"/>
      <c r="Z13" s="184"/>
      <c r="AA13" s="126"/>
      <c r="AB13" s="183"/>
      <c r="AC13" s="184"/>
      <c r="AD13" s="126"/>
      <c r="AE13" s="183"/>
      <c r="AF13" s="184"/>
      <c r="AG13" s="126"/>
      <c r="AH13" s="183"/>
      <c r="AI13" s="186"/>
      <c r="AJ13" s="183"/>
    </row>
    <row r="14" spans="2:36" s="141" customFormat="1">
      <c r="B14" s="158"/>
      <c r="C14" s="167" t="s">
        <v>473</v>
      </c>
      <c r="D14" s="168"/>
      <c r="E14" s="181"/>
      <c r="F14" s="182"/>
      <c r="G14" s="126"/>
      <c r="H14" s="183"/>
      <c r="I14" s="184"/>
      <c r="J14" s="126"/>
      <c r="K14" s="126"/>
      <c r="L14" s="126"/>
      <c r="M14" s="185"/>
      <c r="N14" s="184"/>
      <c r="O14" s="126"/>
      <c r="P14" s="183"/>
      <c r="Q14" s="184"/>
      <c r="R14" s="126"/>
      <c r="S14" s="183"/>
      <c r="T14" s="184"/>
      <c r="U14" s="126"/>
      <c r="V14" s="183"/>
      <c r="W14" s="184"/>
      <c r="X14" s="126"/>
      <c r="Y14" s="183"/>
      <c r="Z14" s="184"/>
      <c r="AA14" s="126"/>
      <c r="AB14" s="183"/>
      <c r="AC14" s="184"/>
      <c r="AD14" s="126"/>
      <c r="AE14" s="183"/>
      <c r="AF14" s="184"/>
      <c r="AG14" s="126"/>
      <c r="AH14" s="183"/>
      <c r="AI14" s="186"/>
      <c r="AJ14" s="183"/>
    </row>
    <row r="15" spans="2:36" s="141" customFormat="1">
      <c r="B15" s="158"/>
      <c r="C15" s="176"/>
      <c r="D15" s="180"/>
      <c r="E15" s="181"/>
      <c r="F15" s="182"/>
      <c r="G15" s="126"/>
      <c r="H15" s="183"/>
      <c r="I15" s="184"/>
      <c r="J15" s="126"/>
      <c r="K15" s="126"/>
      <c r="L15" s="126"/>
      <c r="M15" s="185"/>
      <c r="N15" s="184"/>
      <c r="O15" s="126"/>
      <c r="P15" s="183"/>
      <c r="Q15" s="184"/>
      <c r="R15" s="126"/>
      <c r="S15" s="183"/>
      <c r="T15" s="184"/>
      <c r="U15" s="126"/>
      <c r="V15" s="183"/>
      <c r="W15" s="184"/>
      <c r="X15" s="126"/>
      <c r="Y15" s="183"/>
      <c r="Z15" s="184"/>
      <c r="AA15" s="126"/>
      <c r="AB15" s="183"/>
      <c r="AC15" s="184"/>
      <c r="AD15" s="126"/>
      <c r="AE15" s="183"/>
      <c r="AF15" s="184"/>
      <c r="AG15" s="126"/>
      <c r="AH15" s="183"/>
      <c r="AI15" s="186"/>
      <c r="AJ15" s="183"/>
    </row>
    <row r="16" spans="2:36" s="141" customFormat="1">
      <c r="B16" s="158"/>
      <c r="C16" s="176"/>
      <c r="D16" s="180" t="s">
        <v>102</v>
      </c>
      <c r="E16" s="181" t="s">
        <v>26</v>
      </c>
      <c r="F16" s="182">
        <v>1</v>
      </c>
      <c r="G16" s="126">
        <f>+AI16+H16</f>
        <v>183.048</v>
      </c>
      <c r="H16" s="183">
        <f>+K16+O16+R16+U16+X16+AA16+AD16+AG16</f>
        <v>143.05000000000001</v>
      </c>
      <c r="I16" s="184">
        <f>+COEF_MO_INSTALL</f>
        <v>1.3</v>
      </c>
      <c r="J16" s="126">
        <v>1.5</v>
      </c>
      <c r="K16" s="126">
        <f>+J16*TH_INSTALL</f>
        <v>44.25</v>
      </c>
      <c r="L16" s="126">
        <f>+J16*F16</f>
        <v>1.5</v>
      </c>
      <c r="M16" s="185">
        <f>+K16*F16</f>
        <v>44.25</v>
      </c>
      <c r="N16" s="184">
        <f>+COEF_FOUR1_INSTALL</f>
        <v>1.3</v>
      </c>
      <c r="O16" s="126">
        <v>60</v>
      </c>
      <c r="P16" s="183">
        <f>+F16*O16</f>
        <v>60</v>
      </c>
      <c r="Q16" s="184">
        <f>+COEF_FOUR2_INSTALL</f>
        <v>1.3</v>
      </c>
      <c r="R16" s="126">
        <v>3.5</v>
      </c>
      <c r="S16" s="183">
        <f>+R16*F16</f>
        <v>3.5</v>
      </c>
      <c r="T16" s="184">
        <f>+COEF_FOUR3_INSTALL</f>
        <v>1.3</v>
      </c>
      <c r="U16" s="126">
        <v>12</v>
      </c>
      <c r="V16" s="183">
        <f>+U16*F16</f>
        <v>12</v>
      </c>
      <c r="W16" s="184">
        <f>+COEF_MTLLOC_INSTALL</f>
        <v>1.1499999999999999</v>
      </c>
      <c r="X16" s="126">
        <v>14</v>
      </c>
      <c r="Y16" s="183">
        <f>+X16*F16</f>
        <v>14</v>
      </c>
      <c r="Z16" s="184">
        <f>+COEF_MTLAMR_INSTALL</f>
        <v>1.3</v>
      </c>
      <c r="AA16" s="126">
        <v>5</v>
      </c>
      <c r="AB16" s="183">
        <f>+AA16*F16</f>
        <v>5</v>
      </c>
      <c r="AC16" s="184">
        <f>+COEF_ST1_INSTALL</f>
        <v>1.1100000000000001</v>
      </c>
      <c r="AD16" s="126">
        <v>2</v>
      </c>
      <c r="AE16" s="183">
        <f>+AD16*F16</f>
        <v>2</v>
      </c>
      <c r="AF16" s="184">
        <f>+COEF_ST2_INSTALL</f>
        <v>1.1100000000000001</v>
      </c>
      <c r="AG16" s="126">
        <v>2.2999999999999998</v>
      </c>
      <c r="AH16" s="183">
        <f>+AG16*F16</f>
        <v>2.2999999999999998</v>
      </c>
      <c r="AI16" s="186">
        <f t="shared" ref="AI16:AI17" si="0">+(((K16)*I16)+(O16*N16)+(R16*Q16)+(U16*T16)+(X16*W16)+(AA16*Z16)+(AD16*AC16)+(AG16*AF16))-(H16)</f>
        <v>39.99799999999999</v>
      </c>
      <c r="AJ16" s="183">
        <f>+AI16*F16</f>
        <v>39.99799999999999</v>
      </c>
    </row>
    <row r="17" spans="2:36" s="141" customFormat="1">
      <c r="B17" s="158"/>
      <c r="C17" s="176"/>
      <c r="D17" s="180" t="s">
        <v>454</v>
      </c>
      <c r="E17" s="181" t="s">
        <v>26</v>
      </c>
      <c r="F17" s="182">
        <v>1</v>
      </c>
      <c r="G17" s="126">
        <f>+AI17+H17</f>
        <v>249.99799999999999</v>
      </c>
      <c r="H17" s="183">
        <f>+K17+O17+R17+U17+X17+AA17+AD17+AG17</f>
        <v>194.55</v>
      </c>
      <c r="I17" s="184">
        <f>+COEF_MO_INSTALL</f>
        <v>1.3</v>
      </c>
      <c r="J17" s="126">
        <v>1.5</v>
      </c>
      <c r="K17" s="126">
        <f>+J17*TH_INSTALL</f>
        <v>44.25</v>
      </c>
      <c r="L17" s="126">
        <f>+J17*F17</f>
        <v>1.5</v>
      </c>
      <c r="M17" s="185">
        <f>+K17*F17</f>
        <v>44.25</v>
      </c>
      <c r="N17" s="184">
        <f>+COEF_FOUR1_INSTALL</f>
        <v>1.3</v>
      </c>
      <c r="O17" s="126">
        <v>60</v>
      </c>
      <c r="P17" s="183">
        <f>+F17*O17</f>
        <v>60</v>
      </c>
      <c r="Q17" s="184">
        <f>+COEF_FOUR2_INSTALL</f>
        <v>1.3</v>
      </c>
      <c r="R17" s="126">
        <v>55</v>
      </c>
      <c r="S17" s="183">
        <f>+R17*F17</f>
        <v>55</v>
      </c>
      <c r="T17" s="184">
        <f>+COEF_FOUR3_INSTALL</f>
        <v>1.3</v>
      </c>
      <c r="U17" s="126">
        <v>12</v>
      </c>
      <c r="V17" s="183">
        <f>+U17*F17</f>
        <v>12</v>
      </c>
      <c r="W17" s="184">
        <f>+COEF_MTLLOC_INSTALL</f>
        <v>1.1499999999999999</v>
      </c>
      <c r="X17" s="126">
        <v>14</v>
      </c>
      <c r="Y17" s="183">
        <f>+X17*F17</f>
        <v>14</v>
      </c>
      <c r="Z17" s="184">
        <f>+COEF_MTLAMR_INSTALL</f>
        <v>1.3</v>
      </c>
      <c r="AA17" s="126">
        <v>5</v>
      </c>
      <c r="AB17" s="183">
        <f>+AA17*F17</f>
        <v>5</v>
      </c>
      <c r="AC17" s="184">
        <f>+COEF_ST1_INSTALL</f>
        <v>1.1100000000000001</v>
      </c>
      <c r="AD17" s="126">
        <v>2</v>
      </c>
      <c r="AE17" s="183">
        <f>+AD17*F17</f>
        <v>2</v>
      </c>
      <c r="AF17" s="184">
        <f>+COEF_ST2_INSTALL</f>
        <v>1.1100000000000001</v>
      </c>
      <c r="AG17" s="126">
        <v>2.2999999999999998</v>
      </c>
      <c r="AH17" s="183">
        <f>+AG17*F17</f>
        <v>2.2999999999999998</v>
      </c>
      <c r="AI17" s="186">
        <f t="shared" si="0"/>
        <v>55.447999999999979</v>
      </c>
      <c r="AJ17" s="183">
        <f>+AI17*F17</f>
        <v>55.447999999999979</v>
      </c>
    </row>
    <row r="18" spans="2:36" s="141" customFormat="1">
      <c r="B18" s="158"/>
      <c r="C18" s="176"/>
      <c r="D18" s="180"/>
      <c r="E18" s="181"/>
      <c r="F18" s="182"/>
      <c r="G18" s="126"/>
      <c r="H18" s="183"/>
      <c r="I18" s="184"/>
      <c r="J18" s="126"/>
      <c r="K18" s="126"/>
      <c r="L18" s="126"/>
      <c r="M18" s="185"/>
      <c r="N18" s="184"/>
      <c r="O18" s="126"/>
      <c r="P18" s="183"/>
      <c r="Q18" s="184"/>
      <c r="R18" s="126"/>
      <c r="S18" s="183"/>
      <c r="T18" s="184"/>
      <c r="U18" s="126"/>
      <c r="V18" s="183"/>
      <c r="W18" s="184"/>
      <c r="X18" s="126"/>
      <c r="Y18" s="183"/>
      <c r="Z18" s="184"/>
      <c r="AA18" s="126"/>
      <c r="AB18" s="183"/>
      <c r="AC18" s="184"/>
      <c r="AD18" s="126"/>
      <c r="AE18" s="183"/>
      <c r="AF18" s="184"/>
      <c r="AG18" s="126"/>
      <c r="AH18" s="183"/>
      <c r="AI18" s="186"/>
      <c r="AJ18" s="183"/>
    </row>
    <row r="19" spans="2:36" s="141" customFormat="1" ht="15.75" thickBot="1">
      <c r="B19" s="158"/>
      <c r="C19" s="179"/>
      <c r="D19" s="180"/>
      <c r="E19" s="181"/>
      <c r="F19" s="182"/>
      <c r="G19" s="126"/>
      <c r="H19" s="183"/>
      <c r="I19" s="184"/>
      <c r="J19" s="126"/>
      <c r="K19" s="126"/>
      <c r="L19" s="126"/>
      <c r="M19" s="185"/>
      <c r="N19" s="184"/>
      <c r="O19" s="126"/>
      <c r="P19" s="183"/>
      <c r="Q19" s="184"/>
      <c r="R19" s="126"/>
      <c r="S19" s="183"/>
      <c r="T19" s="184"/>
      <c r="U19" s="126"/>
      <c r="V19" s="183"/>
      <c r="W19" s="184"/>
      <c r="X19" s="126"/>
      <c r="Y19" s="183"/>
      <c r="Z19" s="184"/>
      <c r="AA19" s="126"/>
      <c r="AB19" s="183"/>
      <c r="AC19" s="184"/>
      <c r="AD19" s="126"/>
      <c r="AE19" s="183"/>
      <c r="AF19" s="184"/>
      <c r="AG19" s="126"/>
      <c r="AH19" s="183"/>
      <c r="AI19" s="186"/>
      <c r="AJ19" s="183"/>
    </row>
    <row r="20" spans="2:36" s="141" customFormat="1" ht="27" customHeight="1" thickBot="1">
      <c r="B20" s="381" t="s">
        <v>446</v>
      </c>
      <c r="C20" s="382"/>
      <c r="D20" s="382"/>
      <c r="E20" s="625" t="s">
        <v>96</v>
      </c>
      <c r="F20" s="626"/>
      <c r="G20" s="626"/>
      <c r="H20" s="627"/>
      <c r="I20" s="553" t="s">
        <v>0</v>
      </c>
      <c r="J20" s="556" t="s">
        <v>14</v>
      </c>
      <c r="K20" s="628"/>
      <c r="L20" s="628"/>
      <c r="M20" s="628"/>
      <c r="N20" s="553" t="s">
        <v>0</v>
      </c>
      <c r="O20" s="556" t="s">
        <v>89</v>
      </c>
      <c r="P20" s="557"/>
      <c r="Q20" s="553" t="s">
        <v>0</v>
      </c>
      <c r="R20" s="556" t="s">
        <v>90</v>
      </c>
      <c r="S20" s="557"/>
      <c r="T20" s="553" t="s">
        <v>0</v>
      </c>
      <c r="U20" s="556" t="s">
        <v>112</v>
      </c>
      <c r="V20" s="557"/>
      <c r="W20" s="553" t="s">
        <v>0</v>
      </c>
      <c r="X20" s="556" t="s">
        <v>92</v>
      </c>
      <c r="Y20" s="557"/>
      <c r="Z20" s="553" t="s">
        <v>0</v>
      </c>
      <c r="AA20" s="556" t="s">
        <v>93</v>
      </c>
      <c r="AB20" s="557"/>
      <c r="AC20" s="553" t="s">
        <v>0</v>
      </c>
      <c r="AD20" s="556" t="s">
        <v>98</v>
      </c>
      <c r="AE20" s="557"/>
      <c r="AF20" s="553" t="s">
        <v>0</v>
      </c>
      <c r="AG20" s="556" t="s">
        <v>99</v>
      </c>
      <c r="AH20" s="557"/>
      <c r="AI20" s="615" t="s">
        <v>9</v>
      </c>
      <c r="AJ20" s="616"/>
    </row>
    <row r="21" spans="2:36" s="141" customFormat="1" ht="27" customHeight="1">
      <c r="B21" s="380"/>
      <c r="C21" s="609" t="s">
        <v>10</v>
      </c>
      <c r="D21" s="619" t="s">
        <v>11</v>
      </c>
      <c r="E21" s="621" t="s">
        <v>25</v>
      </c>
      <c r="F21" s="623" t="s">
        <v>27</v>
      </c>
      <c r="G21" s="187" t="s">
        <v>12</v>
      </c>
      <c r="H21" s="188" t="s">
        <v>13</v>
      </c>
      <c r="I21" s="554"/>
      <c r="J21" s="189" t="s">
        <v>270</v>
      </c>
      <c r="K21" s="190">
        <v>27.8</v>
      </c>
      <c r="L21" s="191" t="s">
        <v>1</v>
      </c>
      <c r="M21" s="192">
        <f>+COEF_MO</f>
        <v>1.3</v>
      </c>
      <c r="N21" s="554"/>
      <c r="O21" s="191" t="s">
        <v>2</v>
      </c>
      <c r="P21" s="193">
        <f>+COEF_FOURNITURE1</f>
        <v>1.3</v>
      </c>
      <c r="Q21" s="554"/>
      <c r="R21" s="191" t="s">
        <v>3</v>
      </c>
      <c r="S21" s="193">
        <v>1.3</v>
      </c>
      <c r="T21" s="554"/>
      <c r="U21" s="191" t="s">
        <v>4</v>
      </c>
      <c r="V21" s="193">
        <v>1.3</v>
      </c>
      <c r="W21" s="554"/>
      <c r="X21" s="191" t="s">
        <v>5</v>
      </c>
      <c r="Y21" s="193">
        <v>1.3</v>
      </c>
      <c r="Z21" s="554"/>
      <c r="AA21" s="191" t="s">
        <v>6</v>
      </c>
      <c r="AB21" s="193">
        <v>1.3</v>
      </c>
      <c r="AC21" s="554"/>
      <c r="AD21" s="191" t="s">
        <v>7</v>
      </c>
      <c r="AE21" s="193">
        <f>+COEF_ST1</f>
        <v>1.1100000000000001</v>
      </c>
      <c r="AF21" s="554"/>
      <c r="AG21" s="191" t="s">
        <v>8</v>
      </c>
      <c r="AH21" s="193">
        <f>+COEF_ST2</f>
        <v>1.1100000000000001</v>
      </c>
      <c r="AI21" s="617"/>
      <c r="AJ21" s="618"/>
    </row>
    <row r="22" spans="2:36" s="141" customFormat="1" ht="27" customHeight="1">
      <c r="B22" s="377"/>
      <c r="C22" s="610"/>
      <c r="D22" s="620"/>
      <c r="E22" s="622"/>
      <c r="F22" s="624"/>
      <c r="G22" s="194" t="s">
        <v>15</v>
      </c>
      <c r="H22" s="195" t="s">
        <v>15</v>
      </c>
      <c r="I22" s="555"/>
      <c r="J22" s="196" t="s">
        <v>16</v>
      </c>
      <c r="K22" s="197" t="s">
        <v>17</v>
      </c>
      <c r="L22" s="197" t="s">
        <v>18</v>
      </c>
      <c r="M22" s="198" t="s">
        <v>19</v>
      </c>
      <c r="N22" s="555"/>
      <c r="O22" s="198" t="s">
        <v>20</v>
      </c>
      <c r="P22" s="199" t="s">
        <v>21</v>
      </c>
      <c r="Q22" s="555"/>
      <c r="R22" s="198" t="s">
        <v>20</v>
      </c>
      <c r="S22" s="199" t="s">
        <v>21</v>
      </c>
      <c r="T22" s="555"/>
      <c r="U22" s="198" t="s">
        <v>20</v>
      </c>
      <c r="V22" s="199" t="s">
        <v>21</v>
      </c>
      <c r="W22" s="555"/>
      <c r="X22" s="198" t="s">
        <v>20</v>
      </c>
      <c r="Y22" s="199" t="s">
        <v>21</v>
      </c>
      <c r="Z22" s="555"/>
      <c r="AA22" s="198" t="s">
        <v>20</v>
      </c>
      <c r="AB22" s="199" t="s">
        <v>21</v>
      </c>
      <c r="AC22" s="555"/>
      <c r="AD22" s="198" t="s">
        <v>20</v>
      </c>
      <c r="AE22" s="199" t="s">
        <v>21</v>
      </c>
      <c r="AF22" s="555"/>
      <c r="AG22" s="198" t="s">
        <v>20</v>
      </c>
      <c r="AH22" s="199" t="s">
        <v>21</v>
      </c>
      <c r="AI22" s="200" t="s">
        <v>22</v>
      </c>
      <c r="AJ22" s="199" t="s">
        <v>23</v>
      </c>
    </row>
    <row r="23" spans="2:36" s="141" customFormat="1">
      <c r="B23" s="201"/>
      <c r="C23" s="159"/>
      <c r="D23" s="160"/>
      <c r="E23" s="161"/>
      <c r="F23" s="159"/>
      <c r="G23" s="162"/>
      <c r="H23" s="163"/>
      <c r="I23" s="164"/>
      <c r="J23" s="162"/>
      <c r="K23" s="162"/>
      <c r="L23" s="162"/>
      <c r="M23" s="165"/>
      <c r="N23" s="164"/>
      <c r="O23" s="162"/>
      <c r="P23" s="163"/>
      <c r="Q23" s="164"/>
      <c r="R23" s="162"/>
      <c r="S23" s="163"/>
      <c r="T23" s="164"/>
      <c r="U23" s="162"/>
      <c r="V23" s="163"/>
      <c r="W23" s="164"/>
      <c r="X23" s="162"/>
      <c r="Y23" s="163"/>
      <c r="Z23" s="164"/>
      <c r="AA23" s="162"/>
      <c r="AB23" s="163"/>
      <c r="AC23" s="164"/>
      <c r="AD23" s="162"/>
      <c r="AE23" s="163"/>
      <c r="AF23" s="164"/>
      <c r="AG23" s="162"/>
      <c r="AH23" s="163"/>
      <c r="AI23" s="166"/>
      <c r="AJ23" s="163"/>
    </row>
    <row r="24" spans="2:36" s="141" customFormat="1">
      <c r="B24" s="201"/>
      <c r="C24" s="202" t="s">
        <v>103</v>
      </c>
      <c r="D24" s="203"/>
      <c r="E24" s="169"/>
      <c r="F24" s="170"/>
      <c r="G24" s="171"/>
      <c r="H24" s="172"/>
      <c r="I24" s="173"/>
      <c r="J24" s="171"/>
      <c r="K24" s="171"/>
      <c r="L24" s="171"/>
      <c r="M24" s="174"/>
      <c r="N24" s="173"/>
      <c r="O24" s="171"/>
      <c r="P24" s="172"/>
      <c r="Q24" s="173"/>
      <c r="R24" s="171"/>
      <c r="S24" s="172"/>
      <c r="T24" s="173"/>
      <c r="U24" s="171"/>
      <c r="V24" s="172"/>
      <c r="W24" s="173"/>
      <c r="X24" s="171"/>
      <c r="Y24" s="172"/>
      <c r="Z24" s="173"/>
      <c r="AA24" s="171"/>
      <c r="AB24" s="172"/>
      <c r="AC24" s="173"/>
      <c r="AD24" s="171"/>
      <c r="AE24" s="172"/>
      <c r="AF24" s="173"/>
      <c r="AG24" s="171"/>
      <c r="AH24" s="172"/>
      <c r="AI24" s="175"/>
      <c r="AJ24" s="172"/>
    </row>
    <row r="25" spans="2:36" s="141" customFormat="1">
      <c r="B25" s="201"/>
      <c r="C25" s="176"/>
      <c r="D25" s="177"/>
      <c r="E25" s="169"/>
      <c r="F25" s="170"/>
      <c r="G25" s="171"/>
      <c r="H25" s="172"/>
      <c r="I25" s="173"/>
      <c r="J25" s="171"/>
      <c r="K25" s="171"/>
      <c r="L25" s="171"/>
      <c r="M25" s="174"/>
      <c r="N25" s="173"/>
      <c r="O25" s="171"/>
      <c r="P25" s="172"/>
      <c r="Q25" s="173"/>
      <c r="R25" s="171"/>
      <c r="S25" s="172"/>
      <c r="T25" s="173"/>
      <c r="U25" s="171"/>
      <c r="V25" s="172"/>
      <c r="W25" s="173"/>
      <c r="X25" s="171"/>
      <c r="Y25" s="172"/>
      <c r="Z25" s="173"/>
      <c r="AA25" s="171"/>
      <c r="AB25" s="172"/>
      <c r="AC25" s="173"/>
      <c r="AD25" s="171"/>
      <c r="AE25" s="172"/>
      <c r="AF25" s="173"/>
      <c r="AG25" s="171"/>
      <c r="AH25" s="172"/>
      <c r="AI25" s="175"/>
      <c r="AJ25" s="172"/>
    </row>
    <row r="26" spans="2:36" s="141" customFormat="1">
      <c r="B26" s="201"/>
      <c r="C26" s="176"/>
      <c r="D26" s="127" t="s">
        <v>116</v>
      </c>
      <c r="E26" s="181" t="s">
        <v>36</v>
      </c>
      <c r="F26" s="182">
        <v>1</v>
      </c>
      <c r="G26" s="126">
        <f>+AI26+H26</f>
        <v>6.1938000000000004</v>
      </c>
      <c r="H26" s="183">
        <f>+K26+O26+R26+U26+X26+AA26+AD26+AG26</f>
        <v>5.58</v>
      </c>
      <c r="I26" s="184">
        <f>+COEF_MO_TERR</f>
        <v>1.3</v>
      </c>
      <c r="J26" s="126">
        <v>0</v>
      </c>
      <c r="K26" s="126">
        <f>+J26*TH_TERR</f>
        <v>0</v>
      </c>
      <c r="L26" s="126">
        <f>+J26*F26</f>
        <v>0</v>
      </c>
      <c r="M26" s="185">
        <f>+K26*F26</f>
        <v>0</v>
      </c>
      <c r="N26" s="184">
        <f>+COEF_FOUR1_TERR</f>
        <v>1.3</v>
      </c>
      <c r="O26" s="126">
        <v>0</v>
      </c>
      <c r="P26" s="183">
        <f>+F26*O26</f>
        <v>0</v>
      </c>
      <c r="Q26" s="184">
        <f>+COEF_FOUR2_TERR</f>
        <v>1.3</v>
      </c>
      <c r="R26" s="126">
        <v>0</v>
      </c>
      <c r="S26" s="183">
        <f>+R26*F26</f>
        <v>0</v>
      </c>
      <c r="T26" s="184">
        <f>+COEF_FOUR3_TERR</f>
        <v>1.3</v>
      </c>
      <c r="U26" s="126">
        <v>0</v>
      </c>
      <c r="V26" s="183">
        <f>+U26*F26</f>
        <v>0</v>
      </c>
      <c r="W26" s="184">
        <f>+COEF_MTLLOC_TERR</f>
        <v>1.3</v>
      </c>
      <c r="X26" s="126">
        <v>0</v>
      </c>
      <c r="Y26" s="183">
        <f>+X26*F26</f>
        <v>0</v>
      </c>
      <c r="Z26" s="184">
        <f>+COEF_MTLAMR_TERR</f>
        <v>1.3</v>
      </c>
      <c r="AA26" s="126">
        <v>0</v>
      </c>
      <c r="AB26" s="183">
        <f>+AA26*F26</f>
        <v>0</v>
      </c>
      <c r="AC26" s="184">
        <f>+COEF_ST1_TERR</f>
        <v>1.1100000000000001</v>
      </c>
      <c r="AD26" s="222">
        <f>ROUND((20.1+22)*1.02*0.13,2)</f>
        <v>5.58</v>
      </c>
      <c r="AE26" s="183">
        <f>+AD26*F26</f>
        <v>5.58</v>
      </c>
      <c r="AF26" s="184">
        <f>+COEF_ST2_TERR</f>
        <v>1.1100000000000001</v>
      </c>
      <c r="AG26" s="126">
        <v>0</v>
      </c>
      <c r="AH26" s="183">
        <f>+AG26*F26</f>
        <v>0</v>
      </c>
      <c r="AI26" s="186">
        <f t="shared" ref="AI26:AI28" si="1">+(((K26)*I26)+(O26*N26)+(R26*Q26)+(U26*T26)+(X26*W26)+(AA26*Z26)+(AD26*AC26)+(AG26*AF26))-(H26)</f>
        <v>0.61380000000000035</v>
      </c>
      <c r="AJ26" s="183">
        <f>+AI26*F26</f>
        <v>0.61380000000000035</v>
      </c>
    </row>
    <row r="27" spans="2:36" s="141" customFormat="1">
      <c r="B27" s="201"/>
      <c r="C27" s="179"/>
      <c r="D27" s="127" t="s">
        <v>115</v>
      </c>
      <c r="E27" s="181" t="s">
        <v>36</v>
      </c>
      <c r="F27" s="182">
        <v>1</v>
      </c>
      <c r="G27" s="126">
        <f>+AI27+H27</f>
        <v>5.6943000000000001</v>
      </c>
      <c r="H27" s="183">
        <f>+K27+O27+R27+U27+X27+AA27+AD27+AG27</f>
        <v>5.13</v>
      </c>
      <c r="I27" s="184">
        <f>+COEF_MO_TERR</f>
        <v>1.3</v>
      </c>
      <c r="J27" s="126">
        <v>0</v>
      </c>
      <c r="K27" s="126">
        <f>+J27*TH_TERR</f>
        <v>0</v>
      </c>
      <c r="L27" s="126">
        <f>+J27*F27</f>
        <v>0</v>
      </c>
      <c r="M27" s="185">
        <f>+K27*F27</f>
        <v>0</v>
      </c>
      <c r="N27" s="184">
        <f>+COEF_FOUR1_TERR</f>
        <v>1.3</v>
      </c>
      <c r="O27" s="126">
        <v>0</v>
      </c>
      <c r="P27" s="183">
        <f>+F27*O27</f>
        <v>0</v>
      </c>
      <c r="Q27" s="184">
        <f>+COEF_FOUR2_TERR</f>
        <v>1.3</v>
      </c>
      <c r="R27" s="126">
        <v>0</v>
      </c>
      <c r="S27" s="183">
        <f>+R27*F27</f>
        <v>0</v>
      </c>
      <c r="T27" s="184">
        <f>+COEF_FOUR3_TERR</f>
        <v>1.3</v>
      </c>
      <c r="U27" s="126">
        <v>0</v>
      </c>
      <c r="V27" s="183">
        <f>+U27*F27</f>
        <v>0</v>
      </c>
      <c r="W27" s="184">
        <f>+COEF_MTLLOC_TERR</f>
        <v>1.3</v>
      </c>
      <c r="X27" s="126">
        <v>0</v>
      </c>
      <c r="Y27" s="183">
        <f>+X27*F27</f>
        <v>0</v>
      </c>
      <c r="Z27" s="184">
        <f>+COEF_MTLAMR_TERR</f>
        <v>1.3</v>
      </c>
      <c r="AA27" s="126">
        <v>0</v>
      </c>
      <c r="AB27" s="183">
        <f>+AA27*F27</f>
        <v>0</v>
      </c>
      <c r="AC27" s="184">
        <f>+COEF_ST1_TERR</f>
        <v>1.1100000000000001</v>
      </c>
      <c r="AD27" s="222">
        <f>ROUND(20.1*1.02*0.25,2)</f>
        <v>5.13</v>
      </c>
      <c r="AE27" s="183">
        <f>+AD27*F27</f>
        <v>5.13</v>
      </c>
      <c r="AF27" s="184">
        <f>+COEF_ST2_TERR</f>
        <v>1.1100000000000001</v>
      </c>
      <c r="AG27" s="126">
        <v>0</v>
      </c>
      <c r="AH27" s="183">
        <f>+AG27*F27</f>
        <v>0</v>
      </c>
      <c r="AI27" s="186">
        <f t="shared" si="1"/>
        <v>0.56430000000000025</v>
      </c>
      <c r="AJ27" s="183">
        <f>+AI27*F27</f>
        <v>0.56430000000000025</v>
      </c>
    </row>
    <row r="28" spans="2:36" s="141" customFormat="1">
      <c r="B28" s="201"/>
      <c r="C28" s="179"/>
      <c r="D28" s="127" t="s">
        <v>117</v>
      </c>
      <c r="E28" s="181" t="s">
        <v>36</v>
      </c>
      <c r="F28" s="182">
        <v>1</v>
      </c>
      <c r="G28" s="126">
        <f>+AI28+H28</f>
        <v>11.921400000000002</v>
      </c>
      <c r="H28" s="183">
        <f>+K28+O28+R28+U28+X28+AA28+AD28+AG28</f>
        <v>10.74</v>
      </c>
      <c r="I28" s="184">
        <f>+COEF_MO_TERR</f>
        <v>1.3</v>
      </c>
      <c r="J28" s="126">
        <v>0</v>
      </c>
      <c r="K28" s="126">
        <f>+J28*TH_TERR</f>
        <v>0</v>
      </c>
      <c r="L28" s="126">
        <f>+J28*F28</f>
        <v>0</v>
      </c>
      <c r="M28" s="185">
        <f>+K28*F28</f>
        <v>0</v>
      </c>
      <c r="N28" s="184">
        <f>+COEF_FOUR1_TERR</f>
        <v>1.3</v>
      </c>
      <c r="O28" s="126">
        <v>0</v>
      </c>
      <c r="P28" s="183">
        <f>+F28*O28</f>
        <v>0</v>
      </c>
      <c r="Q28" s="184">
        <f>+COEF_FOUR2_TERR</f>
        <v>1.3</v>
      </c>
      <c r="R28" s="126">
        <v>0</v>
      </c>
      <c r="S28" s="183">
        <f>+R28*F28</f>
        <v>0</v>
      </c>
      <c r="T28" s="184">
        <f>+COEF_FOUR3_TERR</f>
        <v>1.3</v>
      </c>
      <c r="U28" s="126">
        <v>0</v>
      </c>
      <c r="V28" s="183">
        <f>+U28*F28</f>
        <v>0</v>
      </c>
      <c r="W28" s="184">
        <f>+COEF_MTLLOC_TERR</f>
        <v>1.3</v>
      </c>
      <c r="X28" s="126">
        <v>0</v>
      </c>
      <c r="Y28" s="183">
        <f>+X28*F28</f>
        <v>0</v>
      </c>
      <c r="Z28" s="184">
        <f>+COEF_MTLAMR_TERR</f>
        <v>1.3</v>
      </c>
      <c r="AA28" s="126">
        <v>0</v>
      </c>
      <c r="AB28" s="183">
        <f>+AA28*F28</f>
        <v>0</v>
      </c>
      <c r="AC28" s="184">
        <f>+COEF_ST1_TERR</f>
        <v>1.1100000000000001</v>
      </c>
      <c r="AD28" s="222">
        <f>ROUND((20.1+22)*1.02*0.25,2)</f>
        <v>10.74</v>
      </c>
      <c r="AE28" s="183">
        <f>+AD28*F28</f>
        <v>10.74</v>
      </c>
      <c r="AF28" s="184">
        <f>+COEF_ST2_TERR</f>
        <v>1.1100000000000001</v>
      </c>
      <c r="AG28" s="126">
        <v>0</v>
      </c>
      <c r="AH28" s="183">
        <f>+AG28*F28</f>
        <v>0</v>
      </c>
      <c r="AI28" s="186">
        <f t="shared" si="1"/>
        <v>1.1814000000000018</v>
      </c>
      <c r="AJ28" s="183">
        <f>+AI28*F28</f>
        <v>1.1814000000000018</v>
      </c>
    </row>
    <row r="29" spans="2:36" s="141" customFormat="1">
      <c r="B29" s="201"/>
      <c r="C29" s="179"/>
      <c r="D29" s="127"/>
      <c r="E29" s="181"/>
      <c r="F29" s="182"/>
      <c r="G29" s="126"/>
      <c r="H29" s="183"/>
      <c r="I29" s="184"/>
      <c r="J29" s="126"/>
      <c r="K29" s="126"/>
      <c r="L29" s="126"/>
      <c r="M29" s="185"/>
      <c r="N29" s="184"/>
      <c r="O29" s="126"/>
      <c r="P29" s="183"/>
      <c r="Q29" s="184"/>
      <c r="R29" s="126"/>
      <c r="S29" s="183"/>
      <c r="T29" s="184"/>
      <c r="U29" s="126"/>
      <c r="V29" s="183"/>
      <c r="W29" s="184"/>
      <c r="X29" s="126"/>
      <c r="Y29" s="183"/>
      <c r="Z29" s="184"/>
      <c r="AA29" s="126"/>
      <c r="AB29" s="183"/>
      <c r="AC29" s="184"/>
      <c r="AD29" s="126"/>
      <c r="AE29" s="183"/>
      <c r="AF29" s="184"/>
      <c r="AG29" s="126"/>
      <c r="AH29" s="183"/>
      <c r="AI29" s="186"/>
      <c r="AJ29" s="183"/>
    </row>
    <row r="30" spans="2:36" s="141" customFormat="1">
      <c r="B30" s="201"/>
      <c r="C30" s="202" t="s">
        <v>457</v>
      </c>
      <c r="D30" s="203"/>
      <c r="E30" s="181"/>
      <c r="F30" s="182"/>
      <c r="G30" s="126"/>
      <c r="H30" s="183"/>
      <c r="I30" s="184"/>
      <c r="J30" s="126"/>
      <c r="K30" s="126"/>
      <c r="L30" s="126"/>
      <c r="M30" s="185"/>
      <c r="N30" s="184"/>
      <c r="O30" s="126"/>
      <c r="P30" s="183"/>
      <c r="Q30" s="184"/>
      <c r="R30" s="126"/>
      <c r="S30" s="183"/>
      <c r="T30" s="184"/>
      <c r="U30" s="126"/>
      <c r="V30" s="183"/>
      <c r="W30" s="184"/>
      <c r="X30" s="126"/>
      <c r="Y30" s="183"/>
      <c r="Z30" s="184"/>
      <c r="AA30" s="126"/>
      <c r="AB30" s="183"/>
      <c r="AC30" s="184"/>
      <c r="AD30" s="126"/>
      <c r="AE30" s="183"/>
      <c r="AF30" s="184"/>
      <c r="AG30" s="126"/>
      <c r="AH30" s="183"/>
      <c r="AI30" s="186"/>
      <c r="AJ30" s="183"/>
    </row>
    <row r="31" spans="2:36" s="141" customFormat="1">
      <c r="B31" s="201"/>
      <c r="C31" s="179"/>
      <c r="D31" s="127"/>
      <c r="E31" s="181"/>
      <c r="F31" s="182"/>
      <c r="G31" s="126"/>
      <c r="H31" s="183"/>
      <c r="I31" s="184"/>
      <c r="J31" s="126"/>
      <c r="K31" s="126"/>
      <c r="L31" s="126"/>
      <c r="M31" s="185"/>
      <c r="N31" s="184"/>
      <c r="O31" s="126"/>
      <c r="P31" s="183"/>
      <c r="Q31" s="184"/>
      <c r="R31" s="126"/>
      <c r="S31" s="183"/>
      <c r="T31" s="184"/>
      <c r="U31" s="126"/>
      <c r="V31" s="183"/>
      <c r="W31" s="184"/>
      <c r="X31" s="126"/>
      <c r="Y31" s="183"/>
      <c r="Z31" s="184"/>
      <c r="AA31" s="126"/>
      <c r="AB31" s="183"/>
      <c r="AC31" s="184"/>
      <c r="AD31" s="126"/>
      <c r="AE31" s="183"/>
      <c r="AF31" s="184"/>
      <c r="AG31" s="126"/>
      <c r="AH31" s="183"/>
      <c r="AI31" s="186"/>
      <c r="AJ31" s="183"/>
    </row>
    <row r="32" spans="2:36" s="141" customFormat="1">
      <c r="B32" s="201"/>
      <c r="C32" s="179"/>
      <c r="D32" s="127" t="s">
        <v>450</v>
      </c>
      <c r="E32" s="181" t="s">
        <v>26</v>
      </c>
      <c r="F32" s="182">
        <v>1</v>
      </c>
      <c r="G32" s="126">
        <f t="shared" ref="G32:G34" si="2">+AI32+H32</f>
        <v>41.834299999999999</v>
      </c>
      <c r="H32" s="183">
        <f t="shared" ref="H32:H34" si="3">+K32+O32+R32+U32+X32+AA32+AD32+AG32</f>
        <v>32.93</v>
      </c>
      <c r="I32" s="184">
        <f>+COEF_MO_TERR</f>
        <v>1.3</v>
      </c>
      <c r="J32" s="126">
        <v>1</v>
      </c>
      <c r="K32" s="126">
        <f>+J32*TH_TERR</f>
        <v>27.8</v>
      </c>
      <c r="L32" s="126">
        <f t="shared" ref="L32:L34" si="4">+J32*F32</f>
        <v>1</v>
      </c>
      <c r="M32" s="185">
        <f t="shared" ref="M32:M34" si="5">+K32*F32</f>
        <v>27.8</v>
      </c>
      <c r="N32" s="184">
        <f>+COEF_FOUR1_TERR</f>
        <v>1.3</v>
      </c>
      <c r="O32" s="126">
        <v>0</v>
      </c>
      <c r="P32" s="183">
        <f t="shared" ref="P32:P34" si="6">+F32*O32</f>
        <v>0</v>
      </c>
      <c r="Q32" s="184">
        <f>+COEF_FOUR2_TERR</f>
        <v>1.3</v>
      </c>
      <c r="R32" s="126">
        <v>0</v>
      </c>
      <c r="S32" s="183">
        <f t="shared" ref="S32:S34" si="7">+R32*F32</f>
        <v>0</v>
      </c>
      <c r="T32" s="184">
        <f>+COEF_FOUR3_TERR</f>
        <v>1.3</v>
      </c>
      <c r="U32" s="126">
        <v>0</v>
      </c>
      <c r="V32" s="183">
        <f t="shared" ref="V32:V34" si="8">+U32*F32</f>
        <v>0</v>
      </c>
      <c r="W32" s="184">
        <f>+COEF_MTLLOC_TERR</f>
        <v>1.3</v>
      </c>
      <c r="X32" s="126">
        <v>0</v>
      </c>
      <c r="Y32" s="183">
        <f t="shared" ref="Y32:Y34" si="9">+X32*F32</f>
        <v>0</v>
      </c>
      <c r="Z32" s="184">
        <f>+COEF_MTLAMR_TERR</f>
        <v>1.3</v>
      </c>
      <c r="AA32" s="126">
        <v>0</v>
      </c>
      <c r="AB32" s="183">
        <f t="shared" ref="AB32:AB34" si="10">+AA32*F32</f>
        <v>0</v>
      </c>
      <c r="AC32" s="184">
        <f>+COEF_ST1_TERR</f>
        <v>1.1100000000000001</v>
      </c>
      <c r="AD32" s="222">
        <f t="shared" ref="AD32:AD34" si="11">ROUND(20.1*1.02*0.25,2)</f>
        <v>5.13</v>
      </c>
      <c r="AE32" s="183">
        <f t="shared" ref="AE32:AE34" si="12">+AD32*F32</f>
        <v>5.13</v>
      </c>
      <c r="AF32" s="184">
        <f>+COEF_ST2_TERR</f>
        <v>1.1100000000000001</v>
      </c>
      <c r="AG32" s="126">
        <v>0</v>
      </c>
      <c r="AH32" s="183">
        <f t="shared" ref="AH32:AH34" si="13">+AG32*F32</f>
        <v>0</v>
      </c>
      <c r="AI32" s="186">
        <f t="shared" ref="AI32:AI34" si="14">+(((K32)*I32)+(O32*N32)+(R32*Q32)+(U32*T32)+(X32*W32)+(AA32*Z32)+(AD32*AC32)+(AG32*AF32))-(H32)</f>
        <v>8.9042999999999992</v>
      </c>
      <c r="AJ32" s="183">
        <f t="shared" ref="AJ32:AJ34" si="15">+AI32*F32</f>
        <v>8.9042999999999992</v>
      </c>
    </row>
    <row r="33" spans="1:36" s="141" customFormat="1">
      <c r="B33" s="201"/>
      <c r="C33" s="179"/>
      <c r="D33" s="127" t="s">
        <v>451</v>
      </c>
      <c r="E33" s="181" t="s">
        <v>26</v>
      </c>
      <c r="F33" s="182">
        <v>1</v>
      </c>
      <c r="G33" s="126">
        <f t="shared" si="2"/>
        <v>23.764299999999999</v>
      </c>
      <c r="H33" s="183">
        <f t="shared" si="3"/>
        <v>19.03</v>
      </c>
      <c r="I33" s="184">
        <f>+COEF_MO_TERR</f>
        <v>1.3</v>
      </c>
      <c r="J33" s="126">
        <v>0.5</v>
      </c>
      <c r="K33" s="126">
        <f>+J33*TH_TERR</f>
        <v>13.9</v>
      </c>
      <c r="L33" s="126">
        <f t="shared" si="4"/>
        <v>0.5</v>
      </c>
      <c r="M33" s="185">
        <f t="shared" si="5"/>
        <v>13.9</v>
      </c>
      <c r="N33" s="184">
        <f>+COEF_FOUR1_TERR</f>
        <v>1.3</v>
      </c>
      <c r="O33" s="126">
        <v>0</v>
      </c>
      <c r="P33" s="183">
        <f t="shared" si="6"/>
        <v>0</v>
      </c>
      <c r="Q33" s="184">
        <f>+COEF_FOUR2_TERR</f>
        <v>1.3</v>
      </c>
      <c r="R33" s="126">
        <v>0</v>
      </c>
      <c r="S33" s="183">
        <f t="shared" si="7"/>
        <v>0</v>
      </c>
      <c r="T33" s="184">
        <f>+COEF_FOUR3_TERR</f>
        <v>1.3</v>
      </c>
      <c r="U33" s="126">
        <v>0</v>
      </c>
      <c r="V33" s="183">
        <f t="shared" si="8"/>
        <v>0</v>
      </c>
      <c r="W33" s="184">
        <f>+COEF_MTLLOC_TERR</f>
        <v>1.3</v>
      </c>
      <c r="X33" s="126">
        <v>0</v>
      </c>
      <c r="Y33" s="183">
        <f t="shared" si="9"/>
        <v>0</v>
      </c>
      <c r="Z33" s="184">
        <f>+COEF_MTLAMR_TERR</f>
        <v>1.3</v>
      </c>
      <c r="AA33" s="126">
        <v>0</v>
      </c>
      <c r="AB33" s="183">
        <f t="shared" si="10"/>
        <v>0</v>
      </c>
      <c r="AC33" s="184">
        <f>+COEF_ST1_TERR</f>
        <v>1.1100000000000001</v>
      </c>
      <c r="AD33" s="222">
        <f t="shared" si="11"/>
        <v>5.13</v>
      </c>
      <c r="AE33" s="183">
        <f t="shared" si="12"/>
        <v>5.13</v>
      </c>
      <c r="AF33" s="184">
        <f>+COEF_ST2_TERR</f>
        <v>1.1100000000000001</v>
      </c>
      <c r="AG33" s="126">
        <v>0</v>
      </c>
      <c r="AH33" s="183">
        <f t="shared" si="13"/>
        <v>0</v>
      </c>
      <c r="AI33" s="186">
        <f t="shared" si="14"/>
        <v>4.7342999999999975</v>
      </c>
      <c r="AJ33" s="183">
        <f t="shared" si="15"/>
        <v>4.7342999999999975</v>
      </c>
    </row>
    <row r="34" spans="1:36" s="141" customFormat="1">
      <c r="B34" s="201"/>
      <c r="C34" s="179"/>
      <c r="D34" s="127" t="s">
        <v>452</v>
      </c>
      <c r="E34" s="181" t="s">
        <v>453</v>
      </c>
      <c r="F34" s="182">
        <v>1</v>
      </c>
      <c r="G34" s="126">
        <f t="shared" si="2"/>
        <v>77.974299999999999</v>
      </c>
      <c r="H34" s="183">
        <f t="shared" si="3"/>
        <v>60.730000000000004</v>
      </c>
      <c r="I34" s="184">
        <f>+COEF_MO_TERR</f>
        <v>1.3</v>
      </c>
      <c r="J34" s="126">
        <v>2</v>
      </c>
      <c r="K34" s="126">
        <f>+J34*TH_TERR</f>
        <v>55.6</v>
      </c>
      <c r="L34" s="126">
        <f t="shared" si="4"/>
        <v>2</v>
      </c>
      <c r="M34" s="185">
        <f t="shared" si="5"/>
        <v>55.6</v>
      </c>
      <c r="N34" s="184">
        <f>+COEF_FOUR1_TERR</f>
        <v>1.3</v>
      </c>
      <c r="O34" s="126">
        <v>0</v>
      </c>
      <c r="P34" s="183">
        <f t="shared" si="6"/>
        <v>0</v>
      </c>
      <c r="Q34" s="184">
        <f>+COEF_FOUR2_TERR</f>
        <v>1.3</v>
      </c>
      <c r="R34" s="126">
        <v>0</v>
      </c>
      <c r="S34" s="183">
        <f t="shared" si="7"/>
        <v>0</v>
      </c>
      <c r="T34" s="184">
        <f>+COEF_FOUR3_TERR</f>
        <v>1.3</v>
      </c>
      <c r="U34" s="126">
        <v>0</v>
      </c>
      <c r="V34" s="183">
        <f t="shared" si="8"/>
        <v>0</v>
      </c>
      <c r="W34" s="184">
        <f>+COEF_MTLLOC_TERR</f>
        <v>1.3</v>
      </c>
      <c r="X34" s="126">
        <v>0</v>
      </c>
      <c r="Y34" s="183">
        <f t="shared" si="9"/>
        <v>0</v>
      </c>
      <c r="Z34" s="184">
        <f>+COEF_MTLAMR_TERR</f>
        <v>1.3</v>
      </c>
      <c r="AA34" s="126">
        <v>0</v>
      </c>
      <c r="AB34" s="183">
        <f t="shared" si="10"/>
        <v>0</v>
      </c>
      <c r="AC34" s="184">
        <f>+COEF_ST1_TERR</f>
        <v>1.1100000000000001</v>
      </c>
      <c r="AD34" s="222">
        <f t="shared" si="11"/>
        <v>5.13</v>
      </c>
      <c r="AE34" s="183">
        <f t="shared" si="12"/>
        <v>5.13</v>
      </c>
      <c r="AF34" s="184">
        <f>+COEF_ST2_TERR</f>
        <v>1.1100000000000001</v>
      </c>
      <c r="AG34" s="126">
        <v>0</v>
      </c>
      <c r="AH34" s="183">
        <f t="shared" si="13"/>
        <v>0</v>
      </c>
      <c r="AI34" s="186">
        <f t="shared" si="14"/>
        <v>17.244299999999996</v>
      </c>
      <c r="AJ34" s="183">
        <f t="shared" si="15"/>
        <v>17.244299999999996</v>
      </c>
    </row>
    <row r="35" spans="1:36" s="141" customFormat="1">
      <c r="B35" s="201"/>
      <c r="C35" s="179"/>
      <c r="D35" s="180"/>
      <c r="E35" s="181"/>
      <c r="F35" s="182"/>
      <c r="G35" s="126"/>
      <c r="H35" s="183"/>
      <c r="I35" s="184"/>
      <c r="J35" s="126"/>
      <c r="K35" s="126"/>
      <c r="L35" s="126"/>
      <c r="M35" s="185"/>
      <c r="N35" s="184"/>
      <c r="O35" s="126"/>
      <c r="P35" s="183"/>
      <c r="Q35" s="184"/>
      <c r="R35" s="126"/>
      <c r="S35" s="183"/>
      <c r="T35" s="184"/>
      <c r="U35" s="126"/>
      <c r="V35" s="183"/>
      <c r="W35" s="184"/>
      <c r="X35" s="126"/>
      <c r="Y35" s="183"/>
      <c r="Z35" s="184"/>
      <c r="AA35" s="126"/>
      <c r="AB35" s="183"/>
      <c r="AC35" s="184"/>
      <c r="AD35" s="126"/>
      <c r="AE35" s="183"/>
      <c r="AF35" s="184"/>
      <c r="AG35" s="126"/>
      <c r="AH35" s="183"/>
      <c r="AI35" s="186"/>
      <c r="AJ35" s="183"/>
    </row>
    <row r="36" spans="1:36" s="141" customFormat="1" ht="15.75" thickBot="1">
      <c r="B36" s="201"/>
      <c r="C36" s="179"/>
      <c r="D36" s="180"/>
      <c r="E36" s="181"/>
      <c r="F36" s="182"/>
      <c r="G36" s="126"/>
      <c r="H36" s="183"/>
      <c r="I36" s="184"/>
      <c r="J36" s="126"/>
      <c r="K36" s="126"/>
      <c r="L36" s="126"/>
      <c r="M36" s="185"/>
      <c r="N36" s="184"/>
      <c r="O36" s="126"/>
      <c r="P36" s="183"/>
      <c r="Q36" s="184"/>
      <c r="R36" s="126"/>
      <c r="S36" s="183"/>
      <c r="T36" s="184"/>
      <c r="U36" s="126"/>
      <c r="V36" s="183"/>
      <c r="W36" s="184"/>
      <c r="X36" s="126"/>
      <c r="Y36" s="183"/>
      <c r="Z36" s="184"/>
      <c r="AA36" s="126"/>
      <c r="AB36" s="183"/>
      <c r="AC36" s="184"/>
      <c r="AD36" s="126"/>
      <c r="AE36" s="183"/>
      <c r="AF36" s="184"/>
      <c r="AG36" s="126"/>
      <c r="AH36" s="183"/>
      <c r="AI36" s="186"/>
      <c r="AJ36" s="183"/>
    </row>
    <row r="37" spans="1:36" ht="27" customHeight="1" thickBot="1">
      <c r="B37" s="383" t="s">
        <v>444</v>
      </c>
      <c r="C37" s="384"/>
      <c r="D37" s="384"/>
      <c r="E37" s="588" t="s">
        <v>96</v>
      </c>
      <c r="F37" s="589"/>
      <c r="G37" s="589"/>
      <c r="H37" s="590"/>
      <c r="I37" s="550" t="s">
        <v>0</v>
      </c>
      <c r="J37" s="543" t="s">
        <v>14</v>
      </c>
      <c r="K37" s="544"/>
      <c r="L37" s="544"/>
      <c r="M37" s="544"/>
      <c r="N37" s="550" t="s">
        <v>0</v>
      </c>
      <c r="O37" s="543" t="s">
        <v>89</v>
      </c>
      <c r="P37" s="545"/>
      <c r="Q37" s="550" t="s">
        <v>0</v>
      </c>
      <c r="R37" s="543" t="s">
        <v>90</v>
      </c>
      <c r="S37" s="545"/>
      <c r="T37" s="550" t="s">
        <v>0</v>
      </c>
      <c r="U37" s="543" t="s">
        <v>112</v>
      </c>
      <c r="V37" s="545"/>
      <c r="W37" s="550" t="s">
        <v>0</v>
      </c>
      <c r="X37" s="543" t="s">
        <v>92</v>
      </c>
      <c r="Y37" s="545"/>
      <c r="Z37" s="550" t="s">
        <v>0</v>
      </c>
      <c r="AA37" s="543" t="s">
        <v>93</v>
      </c>
      <c r="AB37" s="545"/>
      <c r="AC37" s="550" t="s">
        <v>0</v>
      </c>
      <c r="AD37" s="543" t="s">
        <v>98</v>
      </c>
      <c r="AE37" s="545"/>
      <c r="AF37" s="550" t="s">
        <v>0</v>
      </c>
      <c r="AG37" s="543" t="s">
        <v>99</v>
      </c>
      <c r="AH37" s="545"/>
      <c r="AI37" s="546" t="s">
        <v>9</v>
      </c>
      <c r="AJ37" s="547"/>
    </row>
    <row r="38" spans="1:36" ht="27" customHeight="1">
      <c r="B38" s="385"/>
      <c r="C38" s="611" t="s">
        <v>10</v>
      </c>
      <c r="D38" s="586" t="s">
        <v>11</v>
      </c>
      <c r="E38" s="584" t="s">
        <v>25</v>
      </c>
      <c r="F38" s="541" t="s">
        <v>27</v>
      </c>
      <c r="G38" s="204" t="s">
        <v>12</v>
      </c>
      <c r="H38" s="205" t="s">
        <v>13</v>
      </c>
      <c r="I38" s="551"/>
      <c r="J38" s="206" t="s">
        <v>270</v>
      </c>
      <c r="K38" s="207">
        <v>28.63</v>
      </c>
      <c r="L38" s="208" t="s">
        <v>1</v>
      </c>
      <c r="M38" s="209">
        <f>+COEF_MO</f>
        <v>1.3</v>
      </c>
      <c r="N38" s="551"/>
      <c r="O38" s="208" t="s">
        <v>2</v>
      </c>
      <c r="P38" s="210">
        <f>+COEF_FOURNITURE1</f>
        <v>1.3</v>
      </c>
      <c r="Q38" s="551"/>
      <c r="R38" s="208" t="s">
        <v>3</v>
      </c>
      <c r="S38" s="210">
        <v>1.3</v>
      </c>
      <c r="T38" s="551"/>
      <c r="U38" s="208" t="s">
        <v>4</v>
      </c>
      <c r="V38" s="210">
        <v>1.3</v>
      </c>
      <c r="W38" s="551"/>
      <c r="X38" s="208" t="s">
        <v>5</v>
      </c>
      <c r="Y38" s="210">
        <v>1.3</v>
      </c>
      <c r="Z38" s="551"/>
      <c r="AA38" s="208" t="s">
        <v>6</v>
      </c>
      <c r="AB38" s="210">
        <v>1.3</v>
      </c>
      <c r="AC38" s="551"/>
      <c r="AD38" s="208" t="s">
        <v>7</v>
      </c>
      <c r="AE38" s="210">
        <f>+COEF_ST1</f>
        <v>1.1100000000000001</v>
      </c>
      <c r="AF38" s="551"/>
      <c r="AG38" s="208" t="s">
        <v>8</v>
      </c>
      <c r="AH38" s="210">
        <f>+COEF_ST2</f>
        <v>1.1100000000000001</v>
      </c>
      <c r="AI38" s="548"/>
      <c r="AJ38" s="549"/>
    </row>
    <row r="39" spans="1:36" ht="27" customHeight="1">
      <c r="B39" s="386"/>
      <c r="C39" s="612"/>
      <c r="D39" s="587"/>
      <c r="E39" s="585"/>
      <c r="F39" s="542"/>
      <c r="G39" s="211" t="s">
        <v>15</v>
      </c>
      <c r="H39" s="212" t="s">
        <v>15</v>
      </c>
      <c r="I39" s="552"/>
      <c r="J39" s="213" t="s">
        <v>16</v>
      </c>
      <c r="K39" s="214" t="s">
        <v>17</v>
      </c>
      <c r="L39" s="214" t="s">
        <v>18</v>
      </c>
      <c r="M39" s="215" t="s">
        <v>19</v>
      </c>
      <c r="N39" s="552"/>
      <c r="O39" s="215" t="s">
        <v>20</v>
      </c>
      <c r="P39" s="216" t="s">
        <v>21</v>
      </c>
      <c r="Q39" s="552"/>
      <c r="R39" s="215" t="s">
        <v>20</v>
      </c>
      <c r="S39" s="216" t="s">
        <v>21</v>
      </c>
      <c r="T39" s="552"/>
      <c r="U39" s="215" t="s">
        <v>20</v>
      </c>
      <c r="V39" s="216" t="s">
        <v>21</v>
      </c>
      <c r="W39" s="552"/>
      <c r="X39" s="215" t="s">
        <v>20</v>
      </c>
      <c r="Y39" s="216" t="s">
        <v>21</v>
      </c>
      <c r="Z39" s="552"/>
      <c r="AA39" s="215" t="s">
        <v>20</v>
      </c>
      <c r="AB39" s="216" t="s">
        <v>21</v>
      </c>
      <c r="AC39" s="552"/>
      <c r="AD39" s="215" t="s">
        <v>20</v>
      </c>
      <c r="AE39" s="216" t="s">
        <v>21</v>
      </c>
      <c r="AF39" s="552"/>
      <c r="AG39" s="215" t="s">
        <v>20</v>
      </c>
      <c r="AH39" s="216" t="s">
        <v>21</v>
      </c>
      <c r="AI39" s="217" t="s">
        <v>22</v>
      </c>
      <c r="AJ39" s="216" t="s">
        <v>23</v>
      </c>
    </row>
    <row r="40" spans="1:36">
      <c r="B40" s="218"/>
      <c r="C40" s="159"/>
      <c r="D40" s="160"/>
      <c r="E40" s="161"/>
      <c r="F40" s="159"/>
      <c r="G40" s="162"/>
      <c r="H40" s="163"/>
      <c r="I40" s="164"/>
      <c r="J40" s="162"/>
      <c r="K40" s="162"/>
      <c r="L40" s="162"/>
      <c r="M40" s="165"/>
      <c r="N40" s="164"/>
      <c r="O40" s="162"/>
      <c r="P40" s="163"/>
      <c r="Q40" s="164"/>
      <c r="R40" s="162"/>
      <c r="S40" s="163"/>
      <c r="T40" s="164"/>
      <c r="U40" s="162"/>
      <c r="V40" s="163"/>
      <c r="W40" s="164"/>
      <c r="X40" s="162"/>
      <c r="Y40" s="163"/>
      <c r="Z40" s="164"/>
      <c r="AA40" s="162"/>
      <c r="AB40" s="163"/>
      <c r="AC40" s="164"/>
      <c r="AD40" s="162"/>
      <c r="AE40" s="163"/>
      <c r="AF40" s="164"/>
      <c r="AG40" s="162"/>
      <c r="AH40" s="163"/>
      <c r="AI40" s="166"/>
      <c r="AJ40" s="163"/>
    </row>
    <row r="41" spans="1:36" ht="14.45" customHeight="1">
      <c r="B41" s="218"/>
      <c r="C41" s="219" t="s">
        <v>448</v>
      </c>
      <c r="D41" s="220"/>
      <c r="E41" s="169"/>
      <c r="F41" s="170"/>
      <c r="G41" s="171"/>
      <c r="H41" s="172"/>
      <c r="I41" s="173"/>
      <c r="J41" s="171"/>
      <c r="K41" s="171"/>
      <c r="L41" s="171"/>
      <c r="M41" s="174"/>
      <c r="N41" s="173"/>
      <c r="O41" s="171"/>
      <c r="P41" s="172"/>
      <c r="Q41" s="173"/>
      <c r="R41" s="171"/>
      <c r="S41" s="172"/>
      <c r="T41" s="173"/>
      <c r="U41" s="171"/>
      <c r="V41" s="172"/>
      <c r="W41" s="173"/>
      <c r="X41" s="171"/>
      <c r="Y41" s="172"/>
      <c r="Z41" s="173"/>
      <c r="AA41" s="171"/>
      <c r="AB41" s="172"/>
      <c r="AC41" s="173"/>
      <c r="AD41" s="171"/>
      <c r="AE41" s="172"/>
      <c r="AF41" s="173"/>
      <c r="AG41" s="171"/>
      <c r="AH41" s="172"/>
      <c r="AI41" s="175"/>
      <c r="AJ41" s="172"/>
    </row>
    <row r="42" spans="1:36" ht="14.45" customHeight="1">
      <c r="B42" s="218"/>
      <c r="C42" s="176"/>
      <c r="D42" s="177"/>
      <c r="E42" s="169"/>
      <c r="F42" s="170"/>
      <c r="G42" s="171"/>
      <c r="H42" s="172"/>
      <c r="I42" s="173"/>
      <c r="J42" s="171"/>
      <c r="K42" s="171"/>
      <c r="L42" s="171"/>
      <c r="M42" s="174"/>
      <c r="N42" s="173"/>
      <c r="O42" s="171"/>
      <c r="P42" s="172"/>
      <c r="Q42" s="173"/>
      <c r="R42" s="171"/>
      <c r="S42" s="172"/>
      <c r="T42" s="173"/>
      <c r="U42" s="171"/>
      <c r="V42" s="172"/>
      <c r="W42" s="173"/>
      <c r="X42" s="171"/>
      <c r="Y42" s="172"/>
      <c r="Z42" s="173"/>
      <c r="AA42" s="171"/>
      <c r="AB42" s="172"/>
      <c r="AC42" s="173"/>
      <c r="AD42" s="171"/>
      <c r="AE42" s="172"/>
      <c r="AF42" s="173"/>
      <c r="AG42" s="171"/>
      <c r="AH42" s="172"/>
      <c r="AI42" s="175"/>
      <c r="AJ42" s="172"/>
    </row>
    <row r="43" spans="1:36">
      <c r="A43" s="221"/>
      <c r="B43" s="218"/>
      <c r="C43" s="179"/>
      <c r="D43" s="131" t="s">
        <v>24</v>
      </c>
      <c r="E43" s="181" t="s">
        <v>26</v>
      </c>
      <c r="F43" s="182">
        <v>1</v>
      </c>
      <c r="G43" s="126">
        <f>+AI43+H43</f>
        <v>153.63899999999998</v>
      </c>
      <c r="H43" s="183">
        <f>+K43+O43+R43+U43+X43+AA43+AD43+AG43</f>
        <v>121.17999999999999</v>
      </c>
      <c r="I43" s="184">
        <f>+COEF_MO_GO</f>
        <v>1.3</v>
      </c>
      <c r="J43" s="126">
        <v>1</v>
      </c>
      <c r="K43" s="126">
        <f>+J43*TH_GO</f>
        <v>28.63</v>
      </c>
      <c r="L43" s="126">
        <f>+J43*F43</f>
        <v>1</v>
      </c>
      <c r="M43" s="185">
        <f>+K43*F43</f>
        <v>28.63</v>
      </c>
      <c r="N43" s="184">
        <f>+COEF_FOUR1_GO</f>
        <v>1.3</v>
      </c>
      <c r="O43" s="126">
        <v>35</v>
      </c>
      <c r="P43" s="183">
        <f>+F43*O43</f>
        <v>35</v>
      </c>
      <c r="Q43" s="184">
        <f>+COEF_FOUR2_GO</f>
        <v>1.3</v>
      </c>
      <c r="R43" s="126">
        <v>3.5</v>
      </c>
      <c r="S43" s="183">
        <f>+R43*F43</f>
        <v>3.5</v>
      </c>
      <c r="T43" s="184">
        <f>+COEF_FOUR3_GO</f>
        <v>1.3</v>
      </c>
      <c r="U43" s="126">
        <v>0.55000000000000004</v>
      </c>
      <c r="V43" s="183">
        <f>+U43*F43</f>
        <v>0.55000000000000004</v>
      </c>
      <c r="W43" s="184">
        <f>+COEF_MTLLOC_GO</f>
        <v>1.3</v>
      </c>
      <c r="X43" s="126">
        <v>16.5</v>
      </c>
      <c r="Y43" s="183">
        <f>+X43*F43</f>
        <v>16.5</v>
      </c>
      <c r="Z43" s="184">
        <f>+COEF_MTLAMR_GO</f>
        <v>1.3</v>
      </c>
      <c r="AA43" s="126">
        <v>16.5</v>
      </c>
      <c r="AB43" s="183">
        <f>+AA43*F43</f>
        <v>16.5</v>
      </c>
      <c r="AC43" s="184">
        <f>+COEF_ST1_GO</f>
        <v>1.1100000000000001</v>
      </c>
      <c r="AD43" s="126">
        <v>18.2</v>
      </c>
      <c r="AE43" s="183">
        <f>+AD43*F43</f>
        <v>18.2</v>
      </c>
      <c r="AF43" s="184">
        <f>+COEF_ST2_GO</f>
        <v>1.1100000000000001</v>
      </c>
      <c r="AG43" s="126">
        <v>2.2999999999999998</v>
      </c>
      <c r="AH43" s="183">
        <f>+AG43*F43</f>
        <v>2.2999999999999998</v>
      </c>
      <c r="AI43" s="186">
        <f t="shared" ref="AI43:AI44" si="16">+(((K43)*I43)+(O43*N43)+(R43*Q43)+(U43*T43)+(X43*W43)+(AA43*Z43)+(AD43*AC43)+(AG43*AF43))-(H43)</f>
        <v>32.458999999999989</v>
      </c>
      <c r="AJ43" s="183">
        <f>+AI43*F43</f>
        <v>32.458999999999989</v>
      </c>
    </row>
    <row r="44" spans="1:36">
      <c r="B44" s="218"/>
      <c r="C44" s="179"/>
      <c r="D44" s="131" t="s">
        <v>449</v>
      </c>
      <c r="E44" s="181" t="s">
        <v>26</v>
      </c>
      <c r="F44" s="182">
        <v>1</v>
      </c>
      <c r="G44" s="126">
        <f>+AI44+H44</f>
        <v>186.13899999999998</v>
      </c>
      <c r="H44" s="183">
        <f>+K44+O44+R44+U44+X44+AA44+AD44+AG44</f>
        <v>146.18</v>
      </c>
      <c r="I44" s="184">
        <f>+COEF_MO_GO</f>
        <v>1.3</v>
      </c>
      <c r="J44" s="126">
        <v>1</v>
      </c>
      <c r="K44" s="126">
        <f>+J44*TH_GO</f>
        <v>28.63</v>
      </c>
      <c r="L44" s="126">
        <f>+J44*F44</f>
        <v>1</v>
      </c>
      <c r="M44" s="185">
        <f>+K44*F44</f>
        <v>28.63</v>
      </c>
      <c r="N44" s="184">
        <f>+COEF_FOUR1_GO</f>
        <v>1.3</v>
      </c>
      <c r="O44" s="126">
        <v>60</v>
      </c>
      <c r="P44" s="183">
        <f>+F44*O44</f>
        <v>60</v>
      </c>
      <c r="Q44" s="184">
        <f>+COEF_FOUR2_GO</f>
        <v>1.3</v>
      </c>
      <c r="R44" s="126">
        <v>3.5</v>
      </c>
      <c r="S44" s="183">
        <f>+R44*F44</f>
        <v>3.5</v>
      </c>
      <c r="T44" s="184">
        <f>+COEF_FOUR3_GO</f>
        <v>1.3</v>
      </c>
      <c r="U44" s="126">
        <v>0.55000000000000004</v>
      </c>
      <c r="V44" s="183">
        <f>+U44*F44</f>
        <v>0.55000000000000004</v>
      </c>
      <c r="W44" s="184">
        <f>+COEF_MTLLOC_GO</f>
        <v>1.3</v>
      </c>
      <c r="X44" s="126">
        <v>16.5</v>
      </c>
      <c r="Y44" s="183">
        <f>+X44*F44</f>
        <v>16.5</v>
      </c>
      <c r="Z44" s="184">
        <f>+COEF_MTLAMR_GO</f>
        <v>1.3</v>
      </c>
      <c r="AA44" s="126">
        <v>16.5</v>
      </c>
      <c r="AB44" s="183">
        <f>+AA44*F44</f>
        <v>16.5</v>
      </c>
      <c r="AC44" s="184">
        <f>+COEF_ST1_GO</f>
        <v>1.1100000000000001</v>
      </c>
      <c r="AD44" s="126">
        <v>18.2</v>
      </c>
      <c r="AE44" s="183">
        <f>+AD44*F44</f>
        <v>18.2</v>
      </c>
      <c r="AF44" s="184">
        <f>+COEF_ST2_GO</f>
        <v>1.1100000000000001</v>
      </c>
      <c r="AG44" s="126">
        <v>2.2999999999999998</v>
      </c>
      <c r="AH44" s="183">
        <f>+AG44*F44</f>
        <v>2.2999999999999998</v>
      </c>
      <c r="AI44" s="186">
        <f t="shared" si="16"/>
        <v>39.958999999999975</v>
      </c>
      <c r="AJ44" s="183">
        <f>+AI44*F44</f>
        <v>39.958999999999975</v>
      </c>
    </row>
    <row r="45" spans="1:36">
      <c r="B45" s="218"/>
      <c r="C45" s="179"/>
      <c r="D45" s="178"/>
      <c r="E45" s="169"/>
      <c r="F45" s="170"/>
      <c r="G45" s="171"/>
      <c r="H45" s="172"/>
      <c r="I45" s="173"/>
      <c r="J45" s="171"/>
      <c r="K45" s="171"/>
      <c r="L45" s="171"/>
      <c r="M45" s="174"/>
      <c r="N45" s="173"/>
      <c r="O45" s="171"/>
      <c r="P45" s="172"/>
      <c r="Q45" s="173"/>
      <c r="R45" s="171"/>
      <c r="S45" s="172"/>
      <c r="T45" s="173"/>
      <c r="U45" s="171"/>
      <c r="V45" s="172"/>
      <c r="W45" s="173"/>
      <c r="X45" s="171"/>
      <c r="Y45" s="172"/>
      <c r="Z45" s="173"/>
      <c r="AA45" s="171"/>
      <c r="AB45" s="172"/>
      <c r="AC45" s="173"/>
      <c r="AD45" s="171"/>
      <c r="AE45" s="172"/>
      <c r="AF45" s="173"/>
      <c r="AG45" s="171"/>
      <c r="AH45" s="172"/>
      <c r="AI45" s="175"/>
      <c r="AJ45" s="172"/>
    </row>
    <row r="46" spans="1:36">
      <c r="B46" s="218"/>
      <c r="C46" s="219" t="s">
        <v>458</v>
      </c>
      <c r="D46" s="220"/>
      <c r="E46" s="169"/>
      <c r="F46" s="170"/>
      <c r="G46" s="171"/>
      <c r="H46" s="172"/>
      <c r="I46" s="173"/>
      <c r="J46" s="171"/>
      <c r="K46" s="171"/>
      <c r="L46" s="171"/>
      <c r="M46" s="174"/>
      <c r="N46" s="173"/>
      <c r="O46" s="171"/>
      <c r="P46" s="172"/>
      <c r="Q46" s="173"/>
      <c r="R46" s="171"/>
      <c r="S46" s="172"/>
      <c r="T46" s="173"/>
      <c r="U46" s="171"/>
      <c r="V46" s="172"/>
      <c r="W46" s="173"/>
      <c r="X46" s="171"/>
      <c r="Y46" s="172"/>
      <c r="Z46" s="173"/>
      <c r="AA46" s="171"/>
      <c r="AB46" s="172"/>
      <c r="AC46" s="173"/>
      <c r="AD46" s="171"/>
      <c r="AE46" s="172"/>
      <c r="AF46" s="173"/>
      <c r="AG46" s="171"/>
      <c r="AH46" s="172"/>
      <c r="AI46" s="175"/>
      <c r="AJ46" s="172"/>
    </row>
    <row r="47" spans="1:36">
      <c r="B47" s="218"/>
      <c r="C47" s="170"/>
      <c r="D47" s="178"/>
      <c r="E47" s="169"/>
      <c r="F47" s="170"/>
      <c r="G47" s="171"/>
      <c r="H47" s="172"/>
      <c r="I47" s="173"/>
      <c r="J47" s="171"/>
      <c r="K47" s="171"/>
      <c r="L47" s="171"/>
      <c r="M47" s="174"/>
      <c r="N47" s="173"/>
      <c r="O47" s="171"/>
      <c r="P47" s="172"/>
      <c r="Q47" s="173"/>
      <c r="R47" s="171"/>
      <c r="S47" s="172"/>
      <c r="T47" s="173"/>
      <c r="U47" s="171"/>
      <c r="V47" s="172"/>
      <c r="W47" s="173"/>
      <c r="X47" s="171"/>
      <c r="Y47" s="172"/>
      <c r="Z47" s="173"/>
      <c r="AA47" s="171"/>
      <c r="AB47" s="172"/>
      <c r="AC47" s="173"/>
      <c r="AD47" s="171"/>
      <c r="AE47" s="172"/>
      <c r="AF47" s="173"/>
      <c r="AG47" s="171"/>
      <c r="AH47" s="172"/>
      <c r="AI47" s="175"/>
      <c r="AJ47" s="172"/>
    </row>
    <row r="48" spans="1:36">
      <c r="B48" s="218"/>
      <c r="C48" s="170"/>
      <c r="D48" s="131" t="s">
        <v>456</v>
      </c>
      <c r="E48" s="181" t="s">
        <v>107</v>
      </c>
      <c r="F48" s="182">
        <v>1</v>
      </c>
      <c r="G48" s="126">
        <f>+AI48+H48</f>
        <v>66.664000000000001</v>
      </c>
      <c r="H48" s="183">
        <f>+K48+O48+R48+U48+X48+AA48+AD48+AG48</f>
        <v>51.279999999999994</v>
      </c>
      <c r="I48" s="184">
        <f>+COEF_MO_GO</f>
        <v>1.3</v>
      </c>
      <c r="J48" s="126">
        <v>1</v>
      </c>
      <c r="K48" s="126">
        <f>+J48*TH_GO</f>
        <v>28.63</v>
      </c>
      <c r="L48" s="126">
        <f>+J48*F48</f>
        <v>1</v>
      </c>
      <c r="M48" s="185">
        <f>+K48*F48</f>
        <v>28.63</v>
      </c>
      <c r="N48" s="184">
        <f>+COEF_FOUR1_GO</f>
        <v>1.3</v>
      </c>
      <c r="O48" s="126">
        <v>15</v>
      </c>
      <c r="P48" s="183">
        <f>+F48*O48</f>
        <v>15</v>
      </c>
      <c r="Q48" s="184">
        <f>+COEF_FOUR2_GO</f>
        <v>1.3</v>
      </c>
      <c r="R48" s="126">
        <v>1.5</v>
      </c>
      <c r="S48" s="183">
        <f>+R48*F48</f>
        <v>1.5</v>
      </c>
      <c r="T48" s="184">
        <f>+COEF_FOUR3_GO</f>
        <v>1.3</v>
      </c>
      <c r="U48" s="126">
        <v>0.15</v>
      </c>
      <c r="V48" s="183">
        <f>+U48*F48</f>
        <v>0.15</v>
      </c>
      <c r="W48" s="184">
        <f>+COEF_MTLLOC_GO</f>
        <v>1.3</v>
      </c>
      <c r="X48" s="126">
        <v>6</v>
      </c>
      <c r="Y48" s="183">
        <f>+X48*F48</f>
        <v>6</v>
      </c>
      <c r="Z48" s="184">
        <f>+COEF_MTLAMR_GO</f>
        <v>1.3</v>
      </c>
      <c r="AA48" s="126">
        <v>0</v>
      </c>
      <c r="AB48" s="183">
        <f>+AA48*F48</f>
        <v>0</v>
      </c>
      <c r="AC48" s="184">
        <f>+COEF_ST1_GO</f>
        <v>1.1100000000000001</v>
      </c>
      <c r="AD48" s="126">
        <v>0</v>
      </c>
      <c r="AE48" s="183">
        <f>+AD48*F48</f>
        <v>0</v>
      </c>
      <c r="AF48" s="184">
        <f>+COEF_ST2_GO</f>
        <v>1.1100000000000001</v>
      </c>
      <c r="AG48" s="126">
        <v>0</v>
      </c>
      <c r="AH48" s="183">
        <f>+AG48*F48</f>
        <v>0</v>
      </c>
      <c r="AI48" s="186">
        <f t="shared" ref="AI48:AI49" si="17">+(((K48)*I48)+(O48*N48)+(R48*Q48)+(U48*T48)+(X48*W48)+(AA48*Z48)+(AD48*AC48)+(AG48*AF48))-(H48)</f>
        <v>15.384000000000007</v>
      </c>
      <c r="AJ48" s="183">
        <f>+AI48*F48</f>
        <v>15.384000000000007</v>
      </c>
    </row>
    <row r="49" spans="2:36">
      <c r="B49" s="218"/>
      <c r="C49" s="170"/>
      <c r="D49" s="131" t="s">
        <v>455</v>
      </c>
      <c r="E49" s="181" t="s">
        <v>107</v>
      </c>
      <c r="F49" s="182">
        <v>1</v>
      </c>
      <c r="G49" s="126">
        <f>+AI49+H49</f>
        <v>91.773499999999999</v>
      </c>
      <c r="H49" s="183">
        <f>+K49+O49+R49+U49+X49+AA49+AD49+AG49</f>
        <v>70.594999999999999</v>
      </c>
      <c r="I49" s="184">
        <f>+COEF_MO_GO</f>
        <v>1.3</v>
      </c>
      <c r="J49" s="126">
        <v>1.5</v>
      </c>
      <c r="K49" s="126">
        <f>+J49*TH_GO</f>
        <v>42.945</v>
      </c>
      <c r="L49" s="126">
        <f>+J49*F49</f>
        <v>1.5</v>
      </c>
      <c r="M49" s="185">
        <f>+K49*F49</f>
        <v>42.945</v>
      </c>
      <c r="N49" s="184">
        <f>+COEF_FOUR1_GO</f>
        <v>1.3</v>
      </c>
      <c r="O49" s="126">
        <v>20</v>
      </c>
      <c r="P49" s="183">
        <f>+F49*O49</f>
        <v>20</v>
      </c>
      <c r="Q49" s="184">
        <f>+COEF_FOUR2_GO</f>
        <v>1.3</v>
      </c>
      <c r="R49" s="126">
        <v>1.5</v>
      </c>
      <c r="S49" s="183">
        <f>+R49*F49</f>
        <v>1.5</v>
      </c>
      <c r="T49" s="184">
        <f>+COEF_FOUR3_GO</f>
        <v>1.3</v>
      </c>
      <c r="U49" s="126">
        <v>0.15</v>
      </c>
      <c r="V49" s="183">
        <f>+U49*F49</f>
        <v>0.15</v>
      </c>
      <c r="W49" s="184">
        <f>+COEF_MTLLOC_GO</f>
        <v>1.3</v>
      </c>
      <c r="X49" s="126">
        <v>6</v>
      </c>
      <c r="Y49" s="183">
        <f>+X49*F49</f>
        <v>6</v>
      </c>
      <c r="Z49" s="184">
        <f>+COEF_MTLAMR_GO</f>
        <v>1.3</v>
      </c>
      <c r="AA49" s="126">
        <v>0</v>
      </c>
      <c r="AB49" s="183">
        <f>+AA49*F49</f>
        <v>0</v>
      </c>
      <c r="AC49" s="184">
        <f>+COEF_ST1_GO</f>
        <v>1.1100000000000001</v>
      </c>
      <c r="AD49" s="126">
        <v>0</v>
      </c>
      <c r="AE49" s="183">
        <f>+AD49*F49</f>
        <v>0</v>
      </c>
      <c r="AF49" s="184">
        <f>+COEF_ST2_GO</f>
        <v>1.1100000000000001</v>
      </c>
      <c r="AG49" s="126">
        <v>0</v>
      </c>
      <c r="AH49" s="183">
        <f>+AG49*F49</f>
        <v>0</v>
      </c>
      <c r="AI49" s="186">
        <f t="shared" si="17"/>
        <v>21.1785</v>
      </c>
      <c r="AJ49" s="183">
        <f>+AI49*F49</f>
        <v>21.1785</v>
      </c>
    </row>
    <row r="50" spans="2:36">
      <c r="B50" s="218"/>
      <c r="C50" s="170"/>
      <c r="D50" s="462"/>
      <c r="E50" s="169"/>
      <c r="F50" s="170"/>
      <c r="G50" s="171"/>
      <c r="H50" s="172"/>
      <c r="I50" s="173"/>
      <c r="J50" s="171"/>
      <c r="K50" s="171"/>
      <c r="L50" s="171"/>
      <c r="M50" s="174"/>
      <c r="N50" s="173"/>
      <c r="O50" s="171"/>
      <c r="P50" s="172"/>
      <c r="Q50" s="173"/>
      <c r="R50" s="171"/>
      <c r="S50" s="172"/>
      <c r="T50" s="173"/>
      <c r="U50" s="171"/>
      <c r="V50" s="172"/>
      <c r="W50" s="173"/>
      <c r="X50" s="171"/>
      <c r="Y50" s="172"/>
      <c r="Z50" s="173"/>
      <c r="AA50" s="171"/>
      <c r="AB50" s="172"/>
      <c r="AC50" s="173"/>
      <c r="AD50" s="171"/>
      <c r="AE50" s="172"/>
      <c r="AF50" s="173"/>
      <c r="AG50" s="171"/>
      <c r="AH50" s="172"/>
      <c r="AI50" s="175"/>
      <c r="AJ50" s="172"/>
    </row>
    <row r="51" spans="2:36">
      <c r="B51" s="218"/>
      <c r="C51" s="219" t="s">
        <v>460</v>
      </c>
      <c r="D51" s="220"/>
      <c r="E51" s="169"/>
      <c r="F51" s="170"/>
      <c r="G51" s="171"/>
      <c r="H51" s="172"/>
      <c r="I51" s="173"/>
      <c r="J51" s="171"/>
      <c r="K51" s="171"/>
      <c r="L51" s="171"/>
      <c r="M51" s="174"/>
      <c r="N51" s="173"/>
      <c r="O51" s="171"/>
      <c r="P51" s="172"/>
      <c r="Q51" s="173"/>
      <c r="R51" s="171"/>
      <c r="S51" s="172"/>
      <c r="T51" s="173"/>
      <c r="U51" s="171"/>
      <c r="V51" s="172"/>
      <c r="W51" s="173"/>
      <c r="X51" s="171"/>
      <c r="Y51" s="172"/>
      <c r="Z51" s="173"/>
      <c r="AA51" s="171"/>
      <c r="AB51" s="172"/>
      <c r="AC51" s="173"/>
      <c r="AD51" s="171"/>
      <c r="AE51" s="172"/>
      <c r="AF51" s="173"/>
      <c r="AG51" s="171"/>
      <c r="AH51" s="172"/>
      <c r="AI51" s="175"/>
      <c r="AJ51" s="172"/>
    </row>
    <row r="52" spans="2:36">
      <c r="B52" s="218"/>
      <c r="C52" s="170"/>
      <c r="D52" s="178"/>
      <c r="E52" s="169"/>
      <c r="F52" s="170"/>
      <c r="G52" s="171"/>
      <c r="H52" s="172"/>
      <c r="I52" s="173"/>
      <c r="J52" s="171"/>
      <c r="K52" s="171"/>
      <c r="L52" s="171"/>
      <c r="M52" s="174"/>
      <c r="N52" s="173"/>
      <c r="O52" s="171"/>
      <c r="P52" s="172"/>
      <c r="Q52" s="173"/>
      <c r="R52" s="171"/>
      <c r="S52" s="172"/>
      <c r="T52" s="173"/>
      <c r="U52" s="171"/>
      <c r="V52" s="172"/>
      <c r="W52" s="173"/>
      <c r="X52" s="171"/>
      <c r="Y52" s="172"/>
      <c r="Z52" s="173"/>
      <c r="AA52" s="171"/>
      <c r="AB52" s="172"/>
      <c r="AC52" s="173"/>
      <c r="AD52" s="171"/>
      <c r="AE52" s="172"/>
      <c r="AF52" s="173"/>
      <c r="AG52" s="171"/>
      <c r="AH52" s="172"/>
      <c r="AI52" s="175"/>
      <c r="AJ52" s="172"/>
    </row>
    <row r="53" spans="2:36">
      <c r="B53" s="218"/>
      <c r="C53" s="170"/>
      <c r="D53" s="131" t="s">
        <v>403</v>
      </c>
      <c r="E53" s="181" t="s">
        <v>36</v>
      </c>
      <c r="F53" s="182">
        <v>1</v>
      </c>
      <c r="G53" s="126">
        <f t="shared" ref="G53:G56" si="18">+AI53+H53</f>
        <v>18.445699999999999</v>
      </c>
      <c r="H53" s="183">
        <f t="shared" ref="H53:H56" si="19">+K53+O53+R53+U53+X53+AA53+AD53+AG53</f>
        <v>14.188999999999998</v>
      </c>
      <c r="I53" s="184">
        <f>+COEF_MO_GO</f>
        <v>1.3</v>
      </c>
      <c r="J53" s="126">
        <v>0.3</v>
      </c>
      <c r="K53" s="126">
        <f>+J53*TH_GO</f>
        <v>8.5889999999999986</v>
      </c>
      <c r="L53" s="126">
        <f t="shared" ref="L53:L56" si="20">+J53*F53</f>
        <v>0.3</v>
      </c>
      <c r="M53" s="185">
        <f t="shared" ref="M53:M56" si="21">+K53*F53</f>
        <v>8.5889999999999986</v>
      </c>
      <c r="N53" s="184">
        <f>+COEF_FOUR1_GO</f>
        <v>1.3</v>
      </c>
      <c r="O53" s="126">
        <f>100*0.05</f>
        <v>5</v>
      </c>
      <c r="P53" s="183">
        <f t="shared" ref="P53:P56" si="22">+F53*O53</f>
        <v>5</v>
      </c>
      <c r="Q53" s="184">
        <f>+COEF_FOUR2_GO</f>
        <v>1.3</v>
      </c>
      <c r="R53" s="126">
        <v>0.5</v>
      </c>
      <c r="S53" s="183">
        <f t="shared" ref="S53:S56" si="23">+R53*F53</f>
        <v>0.5</v>
      </c>
      <c r="T53" s="184">
        <f>+COEF_FOUR3_GO</f>
        <v>1.3</v>
      </c>
      <c r="U53" s="126">
        <v>0.1</v>
      </c>
      <c r="V53" s="183">
        <f t="shared" ref="V53:V56" si="24">+U53*F53</f>
        <v>0.1</v>
      </c>
      <c r="W53" s="184">
        <f>+COEF_MTLLOC_GO</f>
        <v>1.3</v>
      </c>
      <c r="X53" s="126">
        <v>0</v>
      </c>
      <c r="Y53" s="183">
        <f t="shared" ref="Y53:Y56" si="25">+X53*F53</f>
        <v>0</v>
      </c>
      <c r="Z53" s="184">
        <f>+COEF_MTLAMR_GO</f>
        <v>1.3</v>
      </c>
      <c r="AA53" s="126">
        <v>0</v>
      </c>
      <c r="AB53" s="183">
        <f t="shared" ref="AB53:AB56" si="26">+AA53*F53</f>
        <v>0</v>
      </c>
      <c r="AC53" s="184">
        <f>+COEF_ST1_GO</f>
        <v>1.1100000000000001</v>
      </c>
      <c r="AD53" s="126">
        <v>0</v>
      </c>
      <c r="AE53" s="183">
        <f t="shared" ref="AE53:AE56" si="27">+AD53*F53</f>
        <v>0</v>
      </c>
      <c r="AF53" s="184">
        <f>+COEF_ST2_GO</f>
        <v>1.1100000000000001</v>
      </c>
      <c r="AG53" s="126">
        <v>0</v>
      </c>
      <c r="AH53" s="183">
        <f t="shared" ref="AH53:AH56" si="28">+AG53*F53</f>
        <v>0</v>
      </c>
      <c r="AI53" s="186">
        <f t="shared" ref="AI53:AI57" si="29">+(((K53)*I53)+(O53*N53)+(R53*Q53)+(U53*T53)+(X53*W53)+(AA53*Z53)+(AD53*AC53)+(AG53*AF53))-(H53)</f>
        <v>4.2567000000000004</v>
      </c>
      <c r="AJ53" s="183">
        <f t="shared" ref="AJ53:AJ56" si="30">+AI53*F53</f>
        <v>4.2567000000000004</v>
      </c>
    </row>
    <row r="54" spans="2:36">
      <c r="B54" s="218"/>
      <c r="C54" s="170"/>
      <c r="D54" s="131" t="s">
        <v>461</v>
      </c>
      <c r="E54" s="181" t="s">
        <v>26</v>
      </c>
      <c r="F54" s="182">
        <v>1</v>
      </c>
      <c r="G54" s="126">
        <f t="shared" si="18"/>
        <v>170.5821</v>
      </c>
      <c r="H54" s="183">
        <f t="shared" si="19"/>
        <v>131.21699999999998</v>
      </c>
      <c r="I54" s="184">
        <f>+COEF_MO_GO</f>
        <v>1.3</v>
      </c>
      <c r="J54" s="126">
        <v>0.9</v>
      </c>
      <c r="K54" s="126">
        <f>+J54*TH_GO</f>
        <v>25.766999999999999</v>
      </c>
      <c r="L54" s="126">
        <f t="shared" si="20"/>
        <v>0.9</v>
      </c>
      <c r="M54" s="185">
        <f t="shared" si="21"/>
        <v>25.766999999999999</v>
      </c>
      <c r="N54" s="184">
        <f>+COEF_FOUR1_GO</f>
        <v>1.3</v>
      </c>
      <c r="O54" s="126">
        <v>95</v>
      </c>
      <c r="P54" s="183">
        <f t="shared" si="22"/>
        <v>95</v>
      </c>
      <c r="Q54" s="184">
        <f>+COEF_FOUR2_GO</f>
        <v>1.3</v>
      </c>
      <c r="R54" s="126">
        <v>9.5</v>
      </c>
      <c r="S54" s="183">
        <f t="shared" si="23"/>
        <v>9.5</v>
      </c>
      <c r="T54" s="184">
        <f>+COEF_FOUR3_GO</f>
        <v>1.3</v>
      </c>
      <c r="U54" s="126">
        <v>0.95</v>
      </c>
      <c r="V54" s="183">
        <f t="shared" si="24"/>
        <v>0.95</v>
      </c>
      <c r="W54" s="184">
        <f>+COEF_MTLLOC_GO</f>
        <v>1.3</v>
      </c>
      <c r="X54" s="126">
        <v>0</v>
      </c>
      <c r="Y54" s="183">
        <f t="shared" si="25"/>
        <v>0</v>
      </c>
      <c r="Z54" s="184">
        <f>+COEF_MTLAMR_GO</f>
        <v>1.3</v>
      </c>
      <c r="AA54" s="126">
        <v>0</v>
      </c>
      <c r="AB54" s="183">
        <f t="shared" si="26"/>
        <v>0</v>
      </c>
      <c r="AC54" s="184">
        <f>+COEF_ST1_GO</f>
        <v>1.1100000000000001</v>
      </c>
      <c r="AD54" s="126">
        <v>0</v>
      </c>
      <c r="AE54" s="183">
        <f t="shared" si="27"/>
        <v>0</v>
      </c>
      <c r="AF54" s="184">
        <f>+COEF_ST2_GO</f>
        <v>1.1100000000000001</v>
      </c>
      <c r="AG54" s="126">
        <v>0</v>
      </c>
      <c r="AH54" s="183">
        <f t="shared" si="28"/>
        <v>0</v>
      </c>
      <c r="AI54" s="186">
        <f t="shared" si="29"/>
        <v>39.365100000000012</v>
      </c>
      <c r="AJ54" s="183">
        <f t="shared" si="30"/>
        <v>39.365100000000012</v>
      </c>
    </row>
    <row r="55" spans="2:36">
      <c r="B55" s="218"/>
      <c r="C55" s="170"/>
      <c r="D55" s="131" t="s">
        <v>462</v>
      </c>
      <c r="E55" s="181" t="s">
        <v>26</v>
      </c>
      <c r="F55" s="182">
        <v>1</v>
      </c>
      <c r="G55" s="126">
        <f t="shared" si="18"/>
        <v>206.88589999999999</v>
      </c>
      <c r="H55" s="183">
        <f t="shared" si="19"/>
        <v>159.143</v>
      </c>
      <c r="I55" s="184">
        <f>+COEF_MO_GO</f>
        <v>1.3</v>
      </c>
      <c r="J55" s="126">
        <v>1.1000000000000001</v>
      </c>
      <c r="K55" s="126">
        <f>+J55*TH_GO</f>
        <v>31.493000000000002</v>
      </c>
      <c r="L55" s="126">
        <f t="shared" si="20"/>
        <v>1.1000000000000001</v>
      </c>
      <c r="M55" s="185">
        <f t="shared" si="21"/>
        <v>31.493000000000002</v>
      </c>
      <c r="N55" s="184">
        <f>+COEF_FOUR1_GO</f>
        <v>1.3</v>
      </c>
      <c r="O55" s="126">
        <v>115</v>
      </c>
      <c r="P55" s="183">
        <f t="shared" si="22"/>
        <v>115</v>
      </c>
      <c r="Q55" s="184">
        <f>+COEF_FOUR2_GO</f>
        <v>1.3</v>
      </c>
      <c r="R55" s="126">
        <v>11.5</v>
      </c>
      <c r="S55" s="183">
        <f t="shared" si="23"/>
        <v>11.5</v>
      </c>
      <c r="T55" s="184">
        <f>+COEF_FOUR3_GO</f>
        <v>1.3</v>
      </c>
      <c r="U55" s="126">
        <v>1.1499999999999999</v>
      </c>
      <c r="V55" s="183">
        <f t="shared" si="24"/>
        <v>1.1499999999999999</v>
      </c>
      <c r="W55" s="184">
        <f>+COEF_MTLLOC_GO</f>
        <v>1.3</v>
      </c>
      <c r="X55" s="126">
        <v>0</v>
      </c>
      <c r="Y55" s="183">
        <f t="shared" si="25"/>
        <v>0</v>
      </c>
      <c r="Z55" s="184">
        <f>+COEF_MTLAMR_GO</f>
        <v>1.3</v>
      </c>
      <c r="AA55" s="126">
        <v>0</v>
      </c>
      <c r="AB55" s="183">
        <f t="shared" si="26"/>
        <v>0</v>
      </c>
      <c r="AC55" s="184">
        <f>+COEF_ST1_GO</f>
        <v>1.1100000000000001</v>
      </c>
      <c r="AD55" s="126">
        <v>0</v>
      </c>
      <c r="AE55" s="183">
        <f t="shared" si="27"/>
        <v>0</v>
      </c>
      <c r="AF55" s="184">
        <f>+COEF_ST2_GO</f>
        <v>1.1100000000000001</v>
      </c>
      <c r="AG55" s="126">
        <v>0</v>
      </c>
      <c r="AH55" s="183">
        <f t="shared" si="28"/>
        <v>0</v>
      </c>
      <c r="AI55" s="186">
        <f t="shared" si="29"/>
        <v>47.742899999999992</v>
      </c>
      <c r="AJ55" s="183">
        <f t="shared" si="30"/>
        <v>47.742899999999992</v>
      </c>
    </row>
    <row r="56" spans="2:36">
      <c r="B56" s="218"/>
      <c r="C56" s="170"/>
      <c r="D56" s="131" t="s">
        <v>459</v>
      </c>
      <c r="E56" s="181" t="s">
        <v>26</v>
      </c>
      <c r="F56" s="182">
        <v>1</v>
      </c>
      <c r="G56" s="126">
        <f t="shared" si="18"/>
        <v>185.46970000000002</v>
      </c>
      <c r="H56" s="183">
        <f t="shared" si="19"/>
        <v>142.66899999999998</v>
      </c>
      <c r="I56" s="184">
        <f>+COEF_MO_GO</f>
        <v>1.3</v>
      </c>
      <c r="J56" s="126">
        <v>1.3</v>
      </c>
      <c r="K56" s="126">
        <f>+J56*TH_GO</f>
        <v>37.219000000000001</v>
      </c>
      <c r="L56" s="126">
        <f t="shared" si="20"/>
        <v>1.3</v>
      </c>
      <c r="M56" s="185">
        <f t="shared" si="21"/>
        <v>37.219000000000001</v>
      </c>
      <c r="N56" s="184">
        <f>+COEF_FOUR1_GO</f>
        <v>1.3</v>
      </c>
      <c r="O56" s="126">
        <v>95</v>
      </c>
      <c r="P56" s="183">
        <f t="shared" si="22"/>
        <v>95</v>
      </c>
      <c r="Q56" s="184">
        <f>+COEF_FOUR2_GO</f>
        <v>1.3</v>
      </c>
      <c r="R56" s="126">
        <v>9.5</v>
      </c>
      <c r="S56" s="183">
        <f t="shared" si="23"/>
        <v>9.5</v>
      </c>
      <c r="T56" s="184">
        <f>+COEF_FOUR3_GO</f>
        <v>1.3</v>
      </c>
      <c r="U56" s="126">
        <v>0.95</v>
      </c>
      <c r="V56" s="183">
        <f t="shared" si="24"/>
        <v>0.95</v>
      </c>
      <c r="W56" s="184">
        <f>+COEF_MTLLOC_GO</f>
        <v>1.3</v>
      </c>
      <c r="X56" s="126">
        <v>0</v>
      </c>
      <c r="Y56" s="183">
        <f t="shared" si="25"/>
        <v>0</v>
      </c>
      <c r="Z56" s="184">
        <f>+COEF_MTLAMR_GO</f>
        <v>1.3</v>
      </c>
      <c r="AA56" s="126">
        <v>0</v>
      </c>
      <c r="AB56" s="183">
        <f t="shared" si="26"/>
        <v>0</v>
      </c>
      <c r="AC56" s="184">
        <f>+COEF_ST1_GO</f>
        <v>1.1100000000000001</v>
      </c>
      <c r="AD56" s="126">
        <v>0</v>
      </c>
      <c r="AE56" s="183">
        <f t="shared" si="27"/>
        <v>0</v>
      </c>
      <c r="AF56" s="184">
        <f>+COEF_ST2_GO</f>
        <v>1.1100000000000001</v>
      </c>
      <c r="AG56" s="126">
        <v>0</v>
      </c>
      <c r="AH56" s="183">
        <f t="shared" si="28"/>
        <v>0</v>
      </c>
      <c r="AI56" s="186">
        <f t="shared" si="29"/>
        <v>42.800700000000035</v>
      </c>
      <c r="AJ56" s="183">
        <f t="shared" si="30"/>
        <v>42.800700000000035</v>
      </c>
    </row>
    <row r="57" spans="2:36">
      <c r="B57" s="218"/>
      <c r="C57" s="170"/>
      <c r="D57" s="131" t="s">
        <v>463</v>
      </c>
      <c r="E57" s="181" t="s">
        <v>26</v>
      </c>
      <c r="F57" s="182">
        <v>1</v>
      </c>
      <c r="G57" s="126">
        <f t="shared" ref="G57" si="31">+AI57+H57</f>
        <v>182.66185000000002</v>
      </c>
      <c r="H57" s="183">
        <f t="shared" ref="H57" si="32">+K57+O57+R57+U57+X57+AA57+AD57+AG57</f>
        <v>140.87449999999998</v>
      </c>
      <c r="I57" s="184">
        <f>+COEF_MO_GO</f>
        <v>1.3</v>
      </c>
      <c r="J57" s="126">
        <v>1.1499999999999999</v>
      </c>
      <c r="K57" s="126">
        <f>+J57*TH_GO</f>
        <v>32.924499999999995</v>
      </c>
      <c r="L57" s="126">
        <f t="shared" ref="L57" si="33">+J57*F57</f>
        <v>1.1499999999999999</v>
      </c>
      <c r="M57" s="185">
        <f t="shared" ref="M57" si="34">+K57*F57</f>
        <v>32.924499999999995</v>
      </c>
      <c r="N57" s="184">
        <f>+COEF_FOUR1_GO</f>
        <v>1.3</v>
      </c>
      <c r="O57" s="126">
        <v>95</v>
      </c>
      <c r="P57" s="183">
        <f t="shared" ref="P57" si="35">+F57*O57</f>
        <v>95</v>
      </c>
      <c r="Q57" s="184">
        <f>+COEF_FOUR2_GO</f>
        <v>1.3</v>
      </c>
      <c r="R57" s="126">
        <v>9.5</v>
      </c>
      <c r="S57" s="183">
        <f t="shared" ref="S57" si="36">+R57*F57</f>
        <v>9.5</v>
      </c>
      <c r="T57" s="184">
        <f>+COEF_FOUR3_GO</f>
        <v>1.3</v>
      </c>
      <c r="U57" s="126">
        <v>0.95</v>
      </c>
      <c r="V57" s="183">
        <f t="shared" ref="V57" si="37">+U57*F57</f>
        <v>0.95</v>
      </c>
      <c r="W57" s="184">
        <f>+COEF_MTLLOC_GO</f>
        <v>1.3</v>
      </c>
      <c r="X57" s="126">
        <v>0</v>
      </c>
      <c r="Y57" s="183">
        <f t="shared" ref="Y57" si="38">+X57*F57</f>
        <v>0</v>
      </c>
      <c r="Z57" s="184">
        <f>+COEF_MTLAMR_GO</f>
        <v>1.3</v>
      </c>
      <c r="AA57" s="126">
        <v>0</v>
      </c>
      <c r="AB57" s="183">
        <f t="shared" ref="AB57" si="39">+AA57*F57</f>
        <v>0</v>
      </c>
      <c r="AC57" s="184">
        <f>+COEF_ST1_GO</f>
        <v>1.1100000000000001</v>
      </c>
      <c r="AD57" s="126">
        <v>0</v>
      </c>
      <c r="AE57" s="183">
        <f t="shared" ref="AE57" si="40">+AD57*F57</f>
        <v>0</v>
      </c>
      <c r="AF57" s="184">
        <f>+COEF_ST2_GO</f>
        <v>1.1100000000000001</v>
      </c>
      <c r="AG57" s="126">
        <v>2.5</v>
      </c>
      <c r="AH57" s="183">
        <f t="shared" ref="AH57" si="41">+AG57*F57</f>
        <v>2.5</v>
      </c>
      <c r="AI57" s="186">
        <f t="shared" si="29"/>
        <v>41.787350000000032</v>
      </c>
      <c r="AJ57" s="183">
        <f t="shared" ref="AJ57" si="42">+AI57*F57</f>
        <v>41.787350000000032</v>
      </c>
    </row>
    <row r="58" spans="2:36" ht="15.75" thickBot="1">
      <c r="B58" s="218"/>
      <c r="C58" s="223"/>
      <c r="D58" s="224"/>
      <c r="E58" s="225"/>
      <c r="F58" s="226"/>
      <c r="G58" s="227"/>
      <c r="H58" s="172"/>
      <c r="I58" s="173"/>
      <c r="J58" s="171"/>
      <c r="K58" s="171"/>
      <c r="L58" s="171"/>
      <c r="M58" s="174"/>
      <c r="N58" s="173"/>
      <c r="O58" s="171"/>
      <c r="P58" s="172"/>
      <c r="Q58" s="173"/>
      <c r="R58" s="171"/>
      <c r="S58" s="172"/>
      <c r="T58" s="173"/>
      <c r="U58" s="171"/>
      <c r="V58" s="172"/>
      <c r="W58" s="173"/>
      <c r="X58" s="171"/>
      <c r="Y58" s="172"/>
      <c r="Z58" s="173"/>
      <c r="AA58" s="171"/>
      <c r="AB58" s="172"/>
      <c r="AC58" s="173"/>
      <c r="AD58" s="171"/>
      <c r="AE58" s="172"/>
      <c r="AF58" s="173"/>
      <c r="AG58" s="171"/>
      <c r="AH58" s="172"/>
      <c r="AI58" s="175"/>
      <c r="AJ58" s="172"/>
    </row>
    <row r="59" spans="2:36" ht="27" customHeight="1" thickBot="1">
      <c r="B59" s="389" t="s">
        <v>447</v>
      </c>
      <c r="C59" s="387"/>
      <c r="D59" s="387"/>
      <c r="E59" s="537" t="s">
        <v>96</v>
      </c>
      <c r="F59" s="538"/>
      <c r="G59" s="538"/>
      <c r="H59" s="539"/>
      <c r="I59" s="532" t="s">
        <v>0</v>
      </c>
      <c r="J59" s="535" t="s">
        <v>14</v>
      </c>
      <c r="K59" s="540"/>
      <c r="L59" s="540"/>
      <c r="M59" s="540"/>
      <c r="N59" s="532" t="s">
        <v>0</v>
      </c>
      <c r="O59" s="535" t="s">
        <v>89</v>
      </c>
      <c r="P59" s="536"/>
      <c r="Q59" s="532" t="s">
        <v>0</v>
      </c>
      <c r="R59" s="535" t="s">
        <v>90</v>
      </c>
      <c r="S59" s="536"/>
      <c r="T59" s="532" t="s">
        <v>0</v>
      </c>
      <c r="U59" s="535" t="s">
        <v>112</v>
      </c>
      <c r="V59" s="536"/>
      <c r="W59" s="532" t="s">
        <v>0</v>
      </c>
      <c r="X59" s="535" t="s">
        <v>92</v>
      </c>
      <c r="Y59" s="536"/>
      <c r="Z59" s="532" t="s">
        <v>0</v>
      </c>
      <c r="AA59" s="535" t="s">
        <v>93</v>
      </c>
      <c r="AB59" s="536"/>
      <c r="AC59" s="532" t="s">
        <v>0</v>
      </c>
      <c r="AD59" s="535" t="s">
        <v>98</v>
      </c>
      <c r="AE59" s="536"/>
      <c r="AF59" s="532" t="s">
        <v>0</v>
      </c>
      <c r="AG59" s="535" t="s">
        <v>99</v>
      </c>
      <c r="AH59" s="536"/>
      <c r="AI59" s="522" t="s">
        <v>9</v>
      </c>
      <c r="AJ59" s="523"/>
    </row>
    <row r="60" spans="2:36" ht="27" customHeight="1">
      <c r="B60" s="390"/>
      <c r="C60" s="613" t="s">
        <v>10</v>
      </c>
      <c r="D60" s="526" t="s">
        <v>11</v>
      </c>
      <c r="E60" s="528" t="s">
        <v>25</v>
      </c>
      <c r="F60" s="530" t="s">
        <v>27</v>
      </c>
      <c r="G60" s="339" t="s">
        <v>12</v>
      </c>
      <c r="H60" s="340" t="s">
        <v>13</v>
      </c>
      <c r="I60" s="533"/>
      <c r="J60" s="341" t="s">
        <v>270</v>
      </c>
      <c r="K60" s="342">
        <v>28.1</v>
      </c>
      <c r="L60" s="343" t="s">
        <v>1</v>
      </c>
      <c r="M60" s="344">
        <f>+COEF_MO</f>
        <v>1.3</v>
      </c>
      <c r="N60" s="533"/>
      <c r="O60" s="343" t="s">
        <v>2</v>
      </c>
      <c r="P60" s="345">
        <f>+COEF_FOURNITURE1</f>
        <v>1.3</v>
      </c>
      <c r="Q60" s="533"/>
      <c r="R60" s="343" t="s">
        <v>3</v>
      </c>
      <c r="S60" s="345">
        <v>1.3</v>
      </c>
      <c r="T60" s="533"/>
      <c r="U60" s="343" t="s">
        <v>4</v>
      </c>
      <c r="V60" s="345">
        <v>1.3</v>
      </c>
      <c r="W60" s="533"/>
      <c r="X60" s="343" t="s">
        <v>5</v>
      </c>
      <c r="Y60" s="345">
        <v>1.3</v>
      </c>
      <c r="Z60" s="533"/>
      <c r="AA60" s="343" t="s">
        <v>6</v>
      </c>
      <c r="AB60" s="345">
        <v>1.3</v>
      </c>
      <c r="AC60" s="533"/>
      <c r="AD60" s="343" t="s">
        <v>7</v>
      </c>
      <c r="AE60" s="345">
        <f>+COEF_ST1</f>
        <v>1.1100000000000001</v>
      </c>
      <c r="AF60" s="533"/>
      <c r="AG60" s="343" t="s">
        <v>8</v>
      </c>
      <c r="AH60" s="345">
        <f>+COEF_ST2</f>
        <v>1.1100000000000001</v>
      </c>
      <c r="AI60" s="524"/>
      <c r="AJ60" s="525"/>
    </row>
    <row r="61" spans="2:36" ht="27" customHeight="1">
      <c r="B61" s="388"/>
      <c r="C61" s="614"/>
      <c r="D61" s="527"/>
      <c r="E61" s="529"/>
      <c r="F61" s="531"/>
      <c r="G61" s="346" t="s">
        <v>15</v>
      </c>
      <c r="H61" s="347" t="s">
        <v>15</v>
      </c>
      <c r="I61" s="534"/>
      <c r="J61" s="348" t="s">
        <v>16</v>
      </c>
      <c r="K61" s="349" t="s">
        <v>17</v>
      </c>
      <c r="L61" s="349" t="s">
        <v>18</v>
      </c>
      <c r="M61" s="350" t="s">
        <v>19</v>
      </c>
      <c r="N61" s="534"/>
      <c r="O61" s="350" t="s">
        <v>20</v>
      </c>
      <c r="P61" s="351" t="s">
        <v>21</v>
      </c>
      <c r="Q61" s="534"/>
      <c r="R61" s="350" t="s">
        <v>20</v>
      </c>
      <c r="S61" s="351" t="s">
        <v>21</v>
      </c>
      <c r="T61" s="534"/>
      <c r="U61" s="350" t="s">
        <v>20</v>
      </c>
      <c r="V61" s="351" t="s">
        <v>21</v>
      </c>
      <c r="W61" s="534"/>
      <c r="X61" s="350" t="s">
        <v>20</v>
      </c>
      <c r="Y61" s="351" t="s">
        <v>21</v>
      </c>
      <c r="Z61" s="534"/>
      <c r="AA61" s="350" t="s">
        <v>20</v>
      </c>
      <c r="AB61" s="351" t="s">
        <v>21</v>
      </c>
      <c r="AC61" s="534"/>
      <c r="AD61" s="350" t="s">
        <v>20</v>
      </c>
      <c r="AE61" s="351" t="s">
        <v>21</v>
      </c>
      <c r="AF61" s="534"/>
      <c r="AG61" s="350" t="s">
        <v>20</v>
      </c>
      <c r="AH61" s="351" t="s">
        <v>21</v>
      </c>
      <c r="AI61" s="352" t="s">
        <v>22</v>
      </c>
      <c r="AJ61" s="351" t="s">
        <v>23</v>
      </c>
    </row>
    <row r="62" spans="2:36">
      <c r="B62" s="353"/>
      <c r="C62" s="159"/>
      <c r="D62" s="160"/>
      <c r="E62" s="161"/>
      <c r="F62" s="159"/>
      <c r="G62" s="162"/>
      <c r="H62" s="163"/>
      <c r="I62" s="164"/>
      <c r="J62" s="162"/>
      <c r="K62" s="162"/>
      <c r="L62" s="162"/>
      <c r="M62" s="165"/>
      <c r="N62" s="164"/>
      <c r="O62" s="162"/>
      <c r="P62" s="163"/>
      <c r="Q62" s="164"/>
      <c r="R62" s="162"/>
      <c r="S62" s="163"/>
      <c r="T62" s="164"/>
      <c r="U62" s="162"/>
      <c r="V62" s="163"/>
      <c r="W62" s="164"/>
      <c r="X62" s="162"/>
      <c r="Y62" s="163"/>
      <c r="Z62" s="164"/>
      <c r="AA62" s="162"/>
      <c r="AB62" s="163"/>
      <c r="AC62" s="164"/>
      <c r="AD62" s="162"/>
      <c r="AE62" s="163"/>
      <c r="AF62" s="164"/>
      <c r="AG62" s="162"/>
      <c r="AH62" s="163"/>
      <c r="AI62" s="166"/>
      <c r="AJ62" s="163"/>
    </row>
    <row r="63" spans="2:36">
      <c r="B63" s="353"/>
      <c r="C63" s="354" t="s">
        <v>478</v>
      </c>
      <c r="D63" s="355"/>
      <c r="E63" s="169"/>
      <c r="F63" s="170"/>
      <c r="G63" s="171"/>
      <c r="H63" s="172"/>
      <c r="I63" s="173"/>
      <c r="J63" s="171"/>
      <c r="K63" s="171"/>
      <c r="L63" s="171"/>
      <c r="M63" s="174"/>
      <c r="N63" s="173"/>
      <c r="O63" s="171"/>
      <c r="P63" s="172"/>
      <c r="Q63" s="173"/>
      <c r="R63" s="171"/>
      <c r="S63" s="172"/>
      <c r="T63" s="173"/>
      <c r="U63" s="171"/>
      <c r="V63" s="172"/>
      <c r="W63" s="173"/>
      <c r="X63" s="171"/>
      <c r="Y63" s="172"/>
      <c r="Z63" s="173"/>
      <c r="AA63" s="171"/>
      <c r="AB63" s="172"/>
      <c r="AC63" s="173"/>
      <c r="AD63" s="171"/>
      <c r="AE63" s="172"/>
      <c r="AF63" s="173"/>
      <c r="AG63" s="171"/>
      <c r="AH63" s="172"/>
      <c r="AI63" s="175"/>
      <c r="AJ63" s="172"/>
    </row>
    <row r="64" spans="2:36">
      <c r="B64" s="353"/>
      <c r="C64" s="176"/>
      <c r="D64" s="177"/>
      <c r="E64" s="169"/>
      <c r="F64" s="170"/>
      <c r="G64" s="171"/>
      <c r="H64" s="172"/>
      <c r="I64" s="173"/>
      <c r="J64" s="171"/>
      <c r="K64" s="171"/>
      <c r="L64" s="171"/>
      <c r="M64" s="174"/>
      <c r="N64" s="173"/>
      <c r="O64" s="171"/>
      <c r="P64" s="172"/>
      <c r="Q64" s="173"/>
      <c r="R64" s="171"/>
      <c r="S64" s="172"/>
      <c r="T64" s="173"/>
      <c r="U64" s="171"/>
      <c r="V64" s="172"/>
      <c r="W64" s="173"/>
      <c r="X64" s="171"/>
      <c r="Y64" s="172"/>
      <c r="Z64" s="173"/>
      <c r="AA64" s="171"/>
      <c r="AB64" s="172"/>
      <c r="AC64" s="173"/>
      <c r="AD64" s="171"/>
      <c r="AE64" s="172"/>
      <c r="AF64" s="173"/>
      <c r="AG64" s="171"/>
      <c r="AH64" s="172"/>
      <c r="AI64" s="175"/>
      <c r="AJ64" s="172"/>
    </row>
    <row r="65" spans="2:36">
      <c r="B65" s="353"/>
      <c r="C65" s="176"/>
      <c r="D65" s="127" t="s">
        <v>474</v>
      </c>
      <c r="E65" s="181" t="s">
        <v>378</v>
      </c>
      <c r="F65" s="182">
        <v>1</v>
      </c>
      <c r="G65" s="126">
        <f>+AI65+H65</f>
        <v>216.40380000000002</v>
      </c>
      <c r="H65" s="183">
        <f>+K65+O65+R65+U65+X65+AA65+AD65+AG65</f>
        <v>167.28</v>
      </c>
      <c r="I65" s="184">
        <f>+COEF_MO_TERR</f>
        <v>1.3</v>
      </c>
      <c r="J65" s="465">
        <v>1.5</v>
      </c>
      <c r="K65" s="126">
        <f>+J65*TH_TERR</f>
        <v>41.7</v>
      </c>
      <c r="L65" s="126">
        <f>+J65*F65</f>
        <v>1.5</v>
      </c>
      <c r="M65" s="185">
        <f>+K65*F65</f>
        <v>41.7</v>
      </c>
      <c r="N65" s="184">
        <f>+COEF_FOUR1_TERR</f>
        <v>1.3</v>
      </c>
      <c r="O65" s="465">
        <v>120</v>
      </c>
      <c r="P65" s="183">
        <f>+F65*O65</f>
        <v>120</v>
      </c>
      <c r="Q65" s="184">
        <f>+COEF_FOUR2_TERR</f>
        <v>1.3</v>
      </c>
      <c r="R65" s="126">
        <v>0</v>
      </c>
      <c r="S65" s="183">
        <f>+R65*F65</f>
        <v>0</v>
      </c>
      <c r="T65" s="184">
        <f>+COEF_FOUR3_TERR</f>
        <v>1.3</v>
      </c>
      <c r="U65" s="465">
        <v>0</v>
      </c>
      <c r="V65" s="183">
        <f>+U65*F65</f>
        <v>0</v>
      </c>
      <c r="W65" s="184">
        <f>+COEF_MTLLOC_TERR</f>
        <v>1.3</v>
      </c>
      <c r="X65" s="466">
        <v>0</v>
      </c>
      <c r="Y65" s="183">
        <f>+X65*F65</f>
        <v>0</v>
      </c>
      <c r="Z65" s="184">
        <f>+COEF_MTLAMR_TERR</f>
        <v>1.3</v>
      </c>
      <c r="AA65" s="465">
        <v>0</v>
      </c>
      <c r="AB65" s="183">
        <f>+AA65*F65</f>
        <v>0</v>
      </c>
      <c r="AC65" s="184">
        <f>+COEF_ST1_TERR</f>
        <v>1.1100000000000001</v>
      </c>
      <c r="AD65" s="465">
        <f>ROUND((20.1+22)*1.02*0.13,2)</f>
        <v>5.58</v>
      </c>
      <c r="AE65" s="183">
        <f>+AD65*F65</f>
        <v>5.58</v>
      </c>
      <c r="AF65" s="184">
        <f>+COEF_ST2_TERR</f>
        <v>1.1100000000000001</v>
      </c>
      <c r="AG65" s="465">
        <v>0</v>
      </c>
      <c r="AH65" s="183">
        <f>+AG65*F65</f>
        <v>0</v>
      </c>
      <c r="AI65" s="186">
        <f t="shared" ref="AI65:AI68" si="43">+(((K65)*I65)+(O65*N65)+(R65*Q65)+(U65*T65)+(X65*W65)+(AA65*Z65)+(AD65*AC65)+(AG65*AF65))-(H65)</f>
        <v>49.123800000000017</v>
      </c>
      <c r="AJ65" s="183">
        <f>+AI65*F65</f>
        <v>49.123800000000017</v>
      </c>
    </row>
    <row r="66" spans="2:36">
      <c r="B66" s="353"/>
      <c r="C66" s="179"/>
      <c r="D66" s="127" t="s">
        <v>477</v>
      </c>
      <c r="E66" s="181" t="s">
        <v>378</v>
      </c>
      <c r="F66" s="182">
        <v>1</v>
      </c>
      <c r="G66" s="126">
        <f>+AI66+H66</f>
        <v>277.5</v>
      </c>
      <c r="H66" s="183">
        <f>+K66+O66+R66+U66+X66+AA66+AD66+AG66</f>
        <v>250</v>
      </c>
      <c r="I66" s="184">
        <f>+COEF_MO_TERR</f>
        <v>1.3</v>
      </c>
      <c r="J66" s="465">
        <v>0</v>
      </c>
      <c r="K66" s="126">
        <f>+J66*TH_TERR</f>
        <v>0</v>
      </c>
      <c r="L66" s="126">
        <f>+J66*F66</f>
        <v>0</v>
      </c>
      <c r="M66" s="185">
        <f>+K66*F66</f>
        <v>0</v>
      </c>
      <c r="N66" s="184">
        <f>+COEF_FOUR1_TERR</f>
        <v>1.3</v>
      </c>
      <c r="O66" s="465">
        <v>0</v>
      </c>
      <c r="P66" s="183">
        <f>+F66*O66</f>
        <v>0</v>
      </c>
      <c r="Q66" s="184">
        <f>+COEF_FOUR2_TERR</f>
        <v>1.3</v>
      </c>
      <c r="R66" s="126">
        <v>0</v>
      </c>
      <c r="S66" s="183">
        <f>+R66*F66</f>
        <v>0</v>
      </c>
      <c r="T66" s="184">
        <f>+COEF_FOUR3_TERR</f>
        <v>1.3</v>
      </c>
      <c r="U66" s="465">
        <v>0</v>
      </c>
      <c r="V66" s="183">
        <f>+U66*F66</f>
        <v>0</v>
      </c>
      <c r="W66" s="184">
        <f>+COEF_MTLLOC_TERR</f>
        <v>1.3</v>
      </c>
      <c r="X66" s="466">
        <v>0</v>
      </c>
      <c r="Y66" s="183">
        <f>+X66*F66</f>
        <v>0</v>
      </c>
      <c r="Z66" s="184">
        <f>+COEF_MTLAMR_TERR</f>
        <v>1.3</v>
      </c>
      <c r="AA66" s="465">
        <v>0</v>
      </c>
      <c r="AB66" s="183">
        <f>+AA66*F66</f>
        <v>0</v>
      </c>
      <c r="AC66" s="184">
        <f>+COEF_ST1_TERR</f>
        <v>1.1100000000000001</v>
      </c>
      <c r="AD66" s="465">
        <v>0</v>
      </c>
      <c r="AE66" s="183">
        <f>+AD66*F66</f>
        <v>0</v>
      </c>
      <c r="AF66" s="184">
        <f>+COEF_ST2_TERR</f>
        <v>1.1100000000000001</v>
      </c>
      <c r="AG66" s="465">
        <v>250</v>
      </c>
      <c r="AH66" s="183">
        <f>+AG66*F66</f>
        <v>250</v>
      </c>
      <c r="AI66" s="186">
        <f t="shared" si="43"/>
        <v>27.5</v>
      </c>
      <c r="AJ66" s="183">
        <f>+AI66*F66</f>
        <v>27.5</v>
      </c>
    </row>
    <row r="67" spans="2:36">
      <c r="B67" s="353"/>
      <c r="C67" s="179"/>
      <c r="D67" s="127" t="s">
        <v>475</v>
      </c>
      <c r="E67" s="181" t="s">
        <v>378</v>
      </c>
      <c r="F67" s="182">
        <v>1</v>
      </c>
      <c r="G67" s="126">
        <f>+AI67+H67</f>
        <v>45.5</v>
      </c>
      <c r="H67" s="183">
        <f>+K67+O67+R67+U67+X67+AA67+AD67+AG67</f>
        <v>35</v>
      </c>
      <c r="I67" s="184">
        <f>+COEF_MO_TERR</f>
        <v>1.3</v>
      </c>
      <c r="J67" s="465">
        <v>0</v>
      </c>
      <c r="K67" s="126">
        <f>+J67*TH_TERR</f>
        <v>0</v>
      </c>
      <c r="L67" s="126">
        <f>+J67*F67</f>
        <v>0</v>
      </c>
      <c r="M67" s="185">
        <f>+K67*F67</f>
        <v>0</v>
      </c>
      <c r="N67" s="184">
        <f>+COEF_FOUR1_TERR</f>
        <v>1.3</v>
      </c>
      <c r="O67" s="465">
        <v>0</v>
      </c>
      <c r="P67" s="183">
        <f>+F67*O67</f>
        <v>0</v>
      </c>
      <c r="Q67" s="184">
        <f>+COEF_FOUR2_TERR</f>
        <v>1.3</v>
      </c>
      <c r="R67" s="126">
        <v>0</v>
      </c>
      <c r="S67" s="183">
        <f>+R67*F67</f>
        <v>0</v>
      </c>
      <c r="T67" s="184">
        <f>+COEF_FOUR3_TERR</f>
        <v>1.3</v>
      </c>
      <c r="U67" s="465">
        <v>0</v>
      </c>
      <c r="V67" s="183">
        <f>+U67*F67</f>
        <v>0</v>
      </c>
      <c r="W67" s="184">
        <f>+COEF_MTLLOC_TERR</f>
        <v>1.3</v>
      </c>
      <c r="X67" s="466">
        <v>35</v>
      </c>
      <c r="Y67" s="183">
        <f>+X67*F67</f>
        <v>35</v>
      </c>
      <c r="Z67" s="184">
        <f>+COEF_MTLAMR_TERR</f>
        <v>1.3</v>
      </c>
      <c r="AA67" s="465">
        <v>0</v>
      </c>
      <c r="AB67" s="183">
        <f>+AA67*F67</f>
        <v>0</v>
      </c>
      <c r="AC67" s="184">
        <f>+COEF_ST1_TERR</f>
        <v>1.1100000000000001</v>
      </c>
      <c r="AD67" s="465">
        <v>0</v>
      </c>
      <c r="AE67" s="183">
        <f>+AD67*F67</f>
        <v>0</v>
      </c>
      <c r="AF67" s="184">
        <f>+COEF_ST2_TERR</f>
        <v>1.1100000000000001</v>
      </c>
      <c r="AG67" s="465">
        <v>0</v>
      </c>
      <c r="AH67" s="183">
        <f>+AG67*F67</f>
        <v>0</v>
      </c>
      <c r="AI67" s="186">
        <f t="shared" ref="AI67" si="44">+(((K67)*I67)+(O67*N67)+(R67*Q67)+(U67*T67)+(X67*W67)+(AA67*Z67)+(AD67*AC67)+(AG67*AF67))-(H67)</f>
        <v>10.5</v>
      </c>
      <c r="AJ67" s="183">
        <f>+AI67*F67</f>
        <v>10.5</v>
      </c>
    </row>
    <row r="68" spans="2:36">
      <c r="B68" s="353"/>
      <c r="C68" s="179"/>
      <c r="D68" s="127" t="s">
        <v>476</v>
      </c>
      <c r="E68" s="181" t="s">
        <v>378</v>
      </c>
      <c r="F68" s="182">
        <v>1</v>
      </c>
      <c r="G68" s="126">
        <f>+AI68+H68</f>
        <v>11.921400000000002</v>
      </c>
      <c r="H68" s="183">
        <f>+K68+O68+R68+U68+X68+AA68+AD68+AG68</f>
        <v>10.74</v>
      </c>
      <c r="I68" s="184">
        <f>+COEF_MO_TERR</f>
        <v>1.3</v>
      </c>
      <c r="J68" s="465">
        <v>0</v>
      </c>
      <c r="K68" s="126">
        <f>+J68*TH_TERR</f>
        <v>0</v>
      </c>
      <c r="L68" s="126">
        <f>+J68*F68</f>
        <v>0</v>
      </c>
      <c r="M68" s="185">
        <f>+K68*F68</f>
        <v>0</v>
      </c>
      <c r="N68" s="184">
        <f>+COEF_FOUR1_TERR</f>
        <v>1.3</v>
      </c>
      <c r="O68" s="465">
        <v>0</v>
      </c>
      <c r="P68" s="183">
        <f>+F68*O68</f>
        <v>0</v>
      </c>
      <c r="Q68" s="184">
        <f>+COEF_FOUR2_TERR</f>
        <v>1.3</v>
      </c>
      <c r="R68" s="126">
        <v>0</v>
      </c>
      <c r="S68" s="183">
        <f>+R68*F68</f>
        <v>0</v>
      </c>
      <c r="T68" s="184">
        <f>+COEF_FOUR3_TERR</f>
        <v>1.3</v>
      </c>
      <c r="U68" s="465">
        <v>0</v>
      </c>
      <c r="V68" s="183">
        <f>+U68*F68</f>
        <v>0</v>
      </c>
      <c r="W68" s="184">
        <f>+COEF_MTLLOC_TERR</f>
        <v>1.3</v>
      </c>
      <c r="X68" s="466">
        <v>0</v>
      </c>
      <c r="Y68" s="183">
        <f>+X68*F68</f>
        <v>0</v>
      </c>
      <c r="Z68" s="184">
        <f>+COEF_MTLAMR_TERR</f>
        <v>1.3</v>
      </c>
      <c r="AA68" s="465">
        <v>0</v>
      </c>
      <c r="AB68" s="183">
        <f>+AA68*F68</f>
        <v>0</v>
      </c>
      <c r="AC68" s="184">
        <f>+COEF_ST1_TERR</f>
        <v>1.1100000000000001</v>
      </c>
      <c r="AD68" s="465">
        <f>ROUND((20.1+22)*1.02*0.25,2)</f>
        <v>10.74</v>
      </c>
      <c r="AE68" s="183">
        <f>+AD68*F68</f>
        <v>10.74</v>
      </c>
      <c r="AF68" s="184">
        <f>+COEF_ST2_TERR</f>
        <v>1.1100000000000001</v>
      </c>
      <c r="AG68" s="465">
        <v>0</v>
      </c>
      <c r="AH68" s="183">
        <f>+AG68*F68</f>
        <v>0</v>
      </c>
      <c r="AI68" s="186">
        <f t="shared" si="43"/>
        <v>1.1814000000000018</v>
      </c>
      <c r="AJ68" s="183">
        <f>+AI68*F68</f>
        <v>1.1814000000000018</v>
      </c>
    </row>
    <row r="69" spans="2:36">
      <c r="B69" s="353"/>
      <c r="C69" s="179"/>
      <c r="D69" s="127"/>
      <c r="E69" s="181"/>
      <c r="F69" s="182"/>
      <c r="G69" s="126"/>
      <c r="H69" s="183"/>
      <c r="I69" s="184"/>
      <c r="J69" s="126"/>
      <c r="K69" s="126"/>
      <c r="L69" s="126"/>
      <c r="M69" s="185"/>
      <c r="N69" s="184"/>
      <c r="O69" s="126"/>
      <c r="P69" s="183"/>
      <c r="Q69" s="184"/>
      <c r="R69" s="126"/>
      <c r="S69" s="183"/>
      <c r="T69" s="184"/>
      <c r="U69" s="126"/>
      <c r="V69" s="183"/>
      <c r="W69" s="184"/>
      <c r="X69" s="126"/>
      <c r="Y69" s="183"/>
      <c r="Z69" s="184"/>
      <c r="AA69" s="126"/>
      <c r="AB69" s="183"/>
      <c r="AC69" s="184"/>
      <c r="AD69" s="126"/>
      <c r="AE69" s="183"/>
      <c r="AF69" s="184"/>
      <c r="AG69" s="126"/>
      <c r="AH69" s="183"/>
      <c r="AI69" s="186"/>
      <c r="AJ69" s="183"/>
    </row>
    <row r="70" spans="2:36">
      <c r="B70" s="353"/>
      <c r="C70" s="354" t="s">
        <v>464</v>
      </c>
      <c r="D70" s="355"/>
      <c r="E70" s="181"/>
      <c r="F70" s="182"/>
      <c r="G70" s="126"/>
      <c r="H70" s="183"/>
      <c r="I70" s="184"/>
      <c r="J70" s="126"/>
      <c r="K70" s="126"/>
      <c r="L70" s="126"/>
      <c r="M70" s="185"/>
      <c r="N70" s="184"/>
      <c r="O70" s="126"/>
      <c r="P70" s="183"/>
      <c r="Q70" s="184"/>
      <c r="R70" s="126"/>
      <c r="S70" s="183"/>
      <c r="T70" s="184"/>
      <c r="U70" s="126"/>
      <c r="V70" s="183"/>
      <c r="W70" s="184"/>
      <c r="X70" s="126"/>
      <c r="Y70" s="183"/>
      <c r="Z70" s="184"/>
      <c r="AA70" s="126"/>
      <c r="AB70" s="183"/>
      <c r="AC70" s="184"/>
      <c r="AD70" s="126"/>
      <c r="AE70" s="183"/>
      <c r="AF70" s="184"/>
      <c r="AG70" s="126"/>
      <c r="AH70" s="183"/>
      <c r="AI70" s="186"/>
      <c r="AJ70" s="183"/>
    </row>
    <row r="71" spans="2:36">
      <c r="B71" s="353"/>
      <c r="C71" s="179"/>
      <c r="D71" s="127"/>
      <c r="E71" s="181"/>
      <c r="F71" s="182"/>
      <c r="G71" s="126"/>
      <c r="H71" s="183"/>
      <c r="I71" s="184"/>
      <c r="J71" s="126"/>
      <c r="K71" s="126"/>
      <c r="L71" s="126"/>
      <c r="M71" s="185"/>
      <c r="N71" s="184"/>
      <c r="O71" s="126"/>
      <c r="P71" s="183"/>
      <c r="Q71" s="184"/>
      <c r="R71" s="126"/>
      <c r="S71" s="183"/>
      <c r="T71" s="184"/>
      <c r="U71" s="126"/>
      <c r="V71" s="183"/>
      <c r="W71" s="184"/>
      <c r="X71" s="126"/>
      <c r="Y71" s="183"/>
      <c r="Z71" s="184"/>
      <c r="AA71" s="126"/>
      <c r="AB71" s="183"/>
      <c r="AC71" s="184"/>
      <c r="AD71" s="126"/>
      <c r="AE71" s="183"/>
      <c r="AF71" s="184"/>
      <c r="AG71" s="126"/>
      <c r="AH71" s="183"/>
      <c r="AI71" s="186"/>
      <c r="AJ71" s="183"/>
    </row>
    <row r="72" spans="2:36">
      <c r="B72" s="353"/>
      <c r="C72" s="179"/>
      <c r="D72" s="127" t="s">
        <v>466</v>
      </c>
      <c r="E72" s="181" t="s">
        <v>107</v>
      </c>
      <c r="F72" s="182">
        <v>30</v>
      </c>
      <c r="G72" s="126">
        <f t="shared" ref="G72:G74" si="45">+AI72+H72</f>
        <v>84.546800000000005</v>
      </c>
      <c r="H72" s="183">
        <f t="shared" ref="H72:H74" si="46">+K72+O72+R72+U72+X72+AA72+AD72+AG72</f>
        <v>65.036000000000001</v>
      </c>
      <c r="I72" s="184">
        <f>+COEF_MO_TERR</f>
        <v>1.3</v>
      </c>
      <c r="J72" s="126">
        <v>0.62</v>
      </c>
      <c r="K72" s="126">
        <f>+J72*TH_TERR</f>
        <v>17.236000000000001</v>
      </c>
      <c r="L72" s="126">
        <f t="shared" ref="L72:L74" si="47">+J72*F72</f>
        <v>18.600000000000001</v>
      </c>
      <c r="M72" s="185">
        <f t="shared" ref="M72:M74" si="48">+K72*F72</f>
        <v>517.08000000000004</v>
      </c>
      <c r="N72" s="184">
        <f>+COEF_FOUR1_TERR</f>
        <v>1.3</v>
      </c>
      <c r="O72" s="126">
        <v>26</v>
      </c>
      <c r="P72" s="183">
        <f t="shared" ref="P72:P74" si="49">+F72*O72</f>
        <v>780</v>
      </c>
      <c r="Q72" s="184">
        <f>+COEF_FOUR2_TERR</f>
        <v>1.3</v>
      </c>
      <c r="R72" s="126">
        <v>1.8</v>
      </c>
      <c r="S72" s="183">
        <f t="shared" ref="S72:S74" si="50">+R72*F72</f>
        <v>54</v>
      </c>
      <c r="T72" s="184">
        <f>+COEF_FOUR3_TERR</f>
        <v>1.3</v>
      </c>
      <c r="U72" s="126">
        <v>4</v>
      </c>
      <c r="V72" s="183">
        <f t="shared" ref="V72:V74" si="51">+U72*F72</f>
        <v>120</v>
      </c>
      <c r="W72" s="184">
        <f>+COEF_MTLLOC_TERR</f>
        <v>1.3</v>
      </c>
      <c r="X72" s="126">
        <v>16</v>
      </c>
      <c r="Y72" s="183">
        <f t="shared" ref="Y72:Y74" si="52">+X72*F72</f>
        <v>480</v>
      </c>
      <c r="Z72" s="184">
        <f>+COEF_MTLAMR_TERR</f>
        <v>1.3</v>
      </c>
      <c r="AA72" s="126">
        <v>0</v>
      </c>
      <c r="AB72" s="183">
        <f t="shared" ref="AB72:AB74" si="53">+AA72*F72</f>
        <v>0</v>
      </c>
      <c r="AC72" s="184">
        <f>+COEF_ST1_TERR</f>
        <v>1.1100000000000001</v>
      </c>
      <c r="AD72" s="222">
        <v>0</v>
      </c>
      <c r="AE72" s="183">
        <f t="shared" ref="AE72:AE74" si="54">+AD72*F72</f>
        <v>0</v>
      </c>
      <c r="AF72" s="184">
        <f>+COEF_ST2_TERR</f>
        <v>1.1100000000000001</v>
      </c>
      <c r="AG72" s="126">
        <v>0</v>
      </c>
      <c r="AH72" s="183">
        <f t="shared" ref="AH72:AH74" si="55">+AG72*F72</f>
        <v>0</v>
      </c>
      <c r="AI72" s="186">
        <f t="shared" ref="AI72:AI73" si="56">+(((K72)*I72)+(O72*N72)+(R72*Q72)+(U72*T72)+(X72*W72)+(AA72*Z72)+(AD72*AC72)+(AG72*AF72))-(H72)</f>
        <v>19.510800000000003</v>
      </c>
      <c r="AJ72" s="183">
        <f t="shared" ref="AJ72:AJ74" si="57">+AI72*F72</f>
        <v>585.32400000000007</v>
      </c>
    </row>
    <row r="73" spans="2:36">
      <c r="B73" s="353"/>
      <c r="C73" s="179"/>
      <c r="D73" s="127" t="s">
        <v>467</v>
      </c>
      <c r="E73" s="181" t="s">
        <v>107</v>
      </c>
      <c r="F73" s="182">
        <v>30</v>
      </c>
      <c r="G73" s="126">
        <f t="shared" si="45"/>
        <v>93.691000000000003</v>
      </c>
      <c r="H73" s="183">
        <f t="shared" si="46"/>
        <v>72.069999999999993</v>
      </c>
      <c r="I73" s="184">
        <f>+COEF_MO_TERR</f>
        <v>1.3</v>
      </c>
      <c r="J73" s="126">
        <v>0.65</v>
      </c>
      <c r="K73" s="126">
        <f>+J73*TH_TERR</f>
        <v>18.07</v>
      </c>
      <c r="L73" s="126">
        <f t="shared" si="47"/>
        <v>19.5</v>
      </c>
      <c r="M73" s="185">
        <f t="shared" si="48"/>
        <v>542.1</v>
      </c>
      <c r="N73" s="184">
        <f>+COEF_FOUR1_TERR</f>
        <v>1.3</v>
      </c>
      <c r="O73" s="126">
        <v>30</v>
      </c>
      <c r="P73" s="183">
        <f t="shared" si="49"/>
        <v>900</v>
      </c>
      <c r="Q73" s="184">
        <f>+COEF_FOUR2_TERR</f>
        <v>1.3</v>
      </c>
      <c r="R73" s="126">
        <v>2</v>
      </c>
      <c r="S73" s="183">
        <f t="shared" si="50"/>
        <v>60</v>
      </c>
      <c r="T73" s="184">
        <f>+COEF_FOUR3_TERR</f>
        <v>1.3</v>
      </c>
      <c r="U73" s="126">
        <v>5</v>
      </c>
      <c r="V73" s="183">
        <f t="shared" si="51"/>
        <v>150</v>
      </c>
      <c r="W73" s="184">
        <f>+COEF_MTLLOC_TERR</f>
        <v>1.3</v>
      </c>
      <c r="X73" s="126">
        <v>17</v>
      </c>
      <c r="Y73" s="183">
        <f t="shared" si="52"/>
        <v>510</v>
      </c>
      <c r="Z73" s="184">
        <f>+COEF_MTLAMR_TERR</f>
        <v>1.3</v>
      </c>
      <c r="AA73" s="126">
        <v>0</v>
      </c>
      <c r="AB73" s="183">
        <f t="shared" si="53"/>
        <v>0</v>
      </c>
      <c r="AC73" s="184">
        <f>+COEF_ST1_TERR</f>
        <v>1.1100000000000001</v>
      </c>
      <c r="AD73" s="222">
        <v>0</v>
      </c>
      <c r="AE73" s="183">
        <f t="shared" si="54"/>
        <v>0</v>
      </c>
      <c r="AF73" s="184">
        <f>+COEF_ST2_TERR</f>
        <v>1.1100000000000001</v>
      </c>
      <c r="AG73" s="126">
        <v>0</v>
      </c>
      <c r="AH73" s="183">
        <f t="shared" si="55"/>
        <v>0</v>
      </c>
      <c r="AI73" s="186">
        <f t="shared" si="56"/>
        <v>21.621000000000009</v>
      </c>
      <c r="AJ73" s="183">
        <f t="shared" si="57"/>
        <v>648.63000000000034</v>
      </c>
    </row>
    <row r="74" spans="2:36">
      <c r="B74" s="353"/>
      <c r="C74" s="179"/>
      <c r="D74" s="127" t="s">
        <v>468</v>
      </c>
      <c r="E74" s="181" t="s">
        <v>107</v>
      </c>
      <c r="F74" s="182">
        <v>30</v>
      </c>
      <c r="G74" s="126">
        <f t="shared" si="45"/>
        <v>106.54800000000002</v>
      </c>
      <c r="H74" s="183">
        <f t="shared" si="46"/>
        <v>81.960000000000008</v>
      </c>
      <c r="I74" s="184">
        <f>+COEF_MO_TERR</f>
        <v>1.3</v>
      </c>
      <c r="J74" s="126">
        <v>0.7</v>
      </c>
      <c r="K74" s="126">
        <f>+J74*TH_TERR</f>
        <v>19.46</v>
      </c>
      <c r="L74" s="126">
        <f t="shared" si="47"/>
        <v>21</v>
      </c>
      <c r="M74" s="185">
        <f t="shared" si="48"/>
        <v>583.80000000000007</v>
      </c>
      <c r="N74" s="184">
        <f>+COEF_FOUR1_TERR</f>
        <v>1.3</v>
      </c>
      <c r="O74" s="126">
        <v>36</v>
      </c>
      <c r="P74" s="183">
        <f t="shared" si="49"/>
        <v>1080</v>
      </c>
      <c r="Q74" s="184">
        <f>+COEF_FOUR2_TERR</f>
        <v>1.3</v>
      </c>
      <c r="R74" s="126">
        <v>2.5</v>
      </c>
      <c r="S74" s="183">
        <f t="shared" si="50"/>
        <v>75</v>
      </c>
      <c r="T74" s="184">
        <f>+COEF_FOUR3_TERR</f>
        <v>1.3</v>
      </c>
      <c r="U74" s="126">
        <v>6</v>
      </c>
      <c r="V74" s="183">
        <f t="shared" si="51"/>
        <v>180</v>
      </c>
      <c r="W74" s="184">
        <f>+COEF_MTLLOC_TERR</f>
        <v>1.3</v>
      </c>
      <c r="X74" s="126">
        <v>18</v>
      </c>
      <c r="Y74" s="183">
        <f t="shared" si="52"/>
        <v>540</v>
      </c>
      <c r="Z74" s="184">
        <f>+COEF_MTLAMR_TERR</f>
        <v>1.3</v>
      </c>
      <c r="AA74" s="126">
        <v>0</v>
      </c>
      <c r="AB74" s="183">
        <f t="shared" si="53"/>
        <v>0</v>
      </c>
      <c r="AC74" s="184">
        <f>+COEF_ST1_TERR</f>
        <v>1.1100000000000001</v>
      </c>
      <c r="AD74" s="222">
        <v>0</v>
      </c>
      <c r="AE74" s="183">
        <f t="shared" si="54"/>
        <v>0</v>
      </c>
      <c r="AF74" s="184">
        <f>+COEF_ST2_TERR</f>
        <v>1.1100000000000001</v>
      </c>
      <c r="AG74" s="126">
        <v>0</v>
      </c>
      <c r="AH74" s="183">
        <f t="shared" si="55"/>
        <v>0</v>
      </c>
      <c r="AI74" s="186">
        <f>+(((K74)*I74)+(O74*N74)+(R74*Q74)+(U74*T74)+(X74*W74)+(AA74*Z74)+(AD74*AC74)+(AG74*AF74))-(H74)</f>
        <v>24.588000000000008</v>
      </c>
      <c r="AJ74" s="183">
        <f t="shared" si="57"/>
        <v>737.64000000000021</v>
      </c>
    </row>
    <row r="75" spans="2:36">
      <c r="B75" s="353"/>
      <c r="C75" s="179"/>
      <c r="D75" s="127"/>
      <c r="E75" s="181"/>
      <c r="F75" s="182"/>
      <c r="G75" s="126"/>
      <c r="H75" s="183"/>
      <c r="I75" s="184"/>
      <c r="J75" s="126"/>
      <c r="K75" s="126"/>
      <c r="L75" s="126"/>
      <c r="M75" s="185"/>
      <c r="N75" s="184"/>
      <c r="O75" s="126"/>
      <c r="P75" s="183"/>
      <c r="Q75" s="184"/>
      <c r="R75" s="126"/>
      <c r="S75" s="183"/>
      <c r="T75" s="184"/>
      <c r="U75" s="126"/>
      <c r="V75" s="183"/>
      <c r="W75" s="184"/>
      <c r="X75" s="126"/>
      <c r="Y75" s="183"/>
      <c r="Z75" s="184"/>
      <c r="AA75" s="126"/>
      <c r="AB75" s="183"/>
      <c r="AC75" s="184"/>
      <c r="AD75" s="222"/>
      <c r="AE75" s="183"/>
      <c r="AF75" s="184"/>
      <c r="AG75" s="126"/>
      <c r="AH75" s="183"/>
      <c r="AI75" s="186"/>
      <c r="AJ75" s="183"/>
    </row>
    <row r="76" spans="2:36">
      <c r="B76" s="353"/>
      <c r="C76" s="179"/>
      <c r="D76" s="127"/>
      <c r="E76" s="181"/>
      <c r="F76" s="182"/>
      <c r="G76" s="126"/>
      <c r="H76" s="183"/>
      <c r="I76" s="184"/>
      <c r="J76" s="126"/>
      <c r="K76" s="126"/>
      <c r="L76" s="126"/>
      <c r="M76" s="185"/>
      <c r="N76" s="184"/>
      <c r="O76" s="126"/>
      <c r="P76" s="183"/>
      <c r="Q76" s="184"/>
      <c r="R76" s="126"/>
      <c r="S76" s="183"/>
      <c r="T76" s="184"/>
      <c r="U76" s="126"/>
      <c r="V76" s="183"/>
      <c r="W76" s="184"/>
      <c r="X76" s="126"/>
      <c r="Y76" s="183"/>
      <c r="Z76" s="184"/>
      <c r="AA76" s="126"/>
      <c r="AB76" s="183"/>
      <c r="AC76" s="184"/>
      <c r="AD76" s="222"/>
      <c r="AE76" s="183"/>
      <c r="AF76" s="184"/>
      <c r="AG76" s="126"/>
      <c r="AH76" s="183"/>
      <c r="AI76" s="186"/>
      <c r="AJ76" s="183"/>
    </row>
    <row r="77" spans="2:36">
      <c r="B77" s="353"/>
      <c r="C77" s="179"/>
      <c r="D77" s="127"/>
      <c r="E77" s="181"/>
      <c r="F77" s="182"/>
      <c r="G77" s="126"/>
      <c r="H77" s="183"/>
      <c r="I77" s="184"/>
      <c r="J77" s="126"/>
      <c r="K77" s="126"/>
      <c r="L77" s="126"/>
      <c r="M77" s="185"/>
      <c r="N77" s="184"/>
      <c r="O77" s="126"/>
      <c r="P77" s="183"/>
      <c r="Q77" s="184"/>
      <c r="R77" s="126"/>
      <c r="S77" s="183"/>
      <c r="T77" s="184"/>
      <c r="U77" s="126"/>
      <c r="V77" s="183"/>
      <c r="W77" s="184"/>
      <c r="X77" s="126"/>
      <c r="Y77" s="183"/>
      <c r="Z77" s="184"/>
      <c r="AA77" s="126"/>
      <c r="AB77" s="183"/>
      <c r="AC77" s="184"/>
      <c r="AD77" s="222"/>
      <c r="AE77" s="183"/>
      <c r="AF77" s="184"/>
      <c r="AG77" s="126"/>
      <c r="AH77" s="183"/>
      <c r="AI77" s="186"/>
      <c r="AJ77" s="183"/>
    </row>
    <row r="78" spans="2:36">
      <c r="B78" s="353"/>
      <c r="C78" s="354" t="s">
        <v>465</v>
      </c>
      <c r="D78" s="355"/>
      <c r="E78" s="181"/>
      <c r="F78" s="182"/>
      <c r="G78" s="126"/>
      <c r="H78" s="183"/>
      <c r="I78" s="184"/>
      <c r="J78" s="126"/>
      <c r="K78" s="126"/>
      <c r="L78" s="126"/>
      <c r="M78" s="185"/>
      <c r="N78" s="184"/>
      <c r="O78" s="126"/>
      <c r="P78" s="183"/>
      <c r="Q78" s="184"/>
      <c r="R78" s="126"/>
      <c r="S78" s="183"/>
      <c r="T78" s="184"/>
      <c r="U78" s="126"/>
      <c r="V78" s="183"/>
      <c r="W78" s="184"/>
      <c r="X78" s="126"/>
      <c r="Y78" s="183"/>
      <c r="Z78" s="184"/>
      <c r="AA78" s="126"/>
      <c r="AB78" s="183"/>
      <c r="AC78" s="184"/>
      <c r="AD78" s="126"/>
      <c r="AE78" s="183"/>
      <c r="AF78" s="184"/>
      <c r="AG78" s="126"/>
      <c r="AH78" s="183"/>
      <c r="AI78" s="186"/>
      <c r="AJ78" s="183"/>
    </row>
    <row r="79" spans="2:36">
      <c r="B79" s="353"/>
      <c r="C79" s="179"/>
      <c r="D79" s="127"/>
      <c r="E79" s="181"/>
      <c r="F79" s="182"/>
      <c r="G79" s="126"/>
      <c r="H79" s="183"/>
      <c r="I79" s="184"/>
      <c r="J79" s="126"/>
      <c r="K79" s="126"/>
      <c r="L79" s="126"/>
      <c r="M79" s="185"/>
      <c r="N79" s="184"/>
      <c r="O79" s="126"/>
      <c r="P79" s="183"/>
      <c r="Q79" s="184"/>
      <c r="R79" s="126"/>
      <c r="S79" s="183"/>
      <c r="T79" s="184"/>
      <c r="U79" s="126"/>
      <c r="V79" s="183"/>
      <c r="W79" s="184"/>
      <c r="X79" s="126"/>
      <c r="Y79" s="183"/>
      <c r="Z79" s="184"/>
      <c r="AA79" s="126"/>
      <c r="AB79" s="183"/>
      <c r="AC79" s="184"/>
      <c r="AD79" s="126"/>
      <c r="AE79" s="183"/>
      <c r="AF79" s="184"/>
      <c r="AG79" s="126"/>
      <c r="AH79" s="183"/>
      <c r="AI79" s="186"/>
      <c r="AJ79" s="183"/>
    </row>
    <row r="80" spans="2:36">
      <c r="B80" s="353"/>
      <c r="C80" s="179"/>
      <c r="D80" s="127" t="s">
        <v>469</v>
      </c>
      <c r="E80" s="181" t="s">
        <v>107</v>
      </c>
      <c r="F80" s="182">
        <v>1</v>
      </c>
      <c r="G80" s="126">
        <f t="shared" ref="G80:G82" si="58">+AI80+H80</f>
        <v>87.40679999999999</v>
      </c>
      <c r="H80" s="183">
        <f t="shared" ref="H80:H82" si="59">+K80+O80+R80+U80+X80+AA80+AD80+AG80</f>
        <v>67.236000000000004</v>
      </c>
      <c r="I80" s="184">
        <f>+COEF_MO_TERR</f>
        <v>1.3</v>
      </c>
      <c r="J80" s="126">
        <v>0.62</v>
      </c>
      <c r="K80" s="126">
        <f>+J80*TH_TERR</f>
        <v>17.236000000000001</v>
      </c>
      <c r="L80" s="126">
        <f t="shared" ref="L80:L82" si="60">+J80*F80</f>
        <v>0.62</v>
      </c>
      <c r="M80" s="185">
        <f t="shared" ref="M80:M82" si="61">+K80*F80</f>
        <v>17.236000000000001</v>
      </c>
      <c r="N80" s="184">
        <f>+COEF_FOUR1_TERR</f>
        <v>1.3</v>
      </c>
      <c r="O80" s="126">
        <v>27</v>
      </c>
      <c r="P80" s="183">
        <f t="shared" ref="P80:P82" si="62">+F80*O80</f>
        <v>27</v>
      </c>
      <c r="Q80" s="184">
        <f>+COEF_FOUR2_TERR</f>
        <v>1.3</v>
      </c>
      <c r="R80" s="126">
        <v>2</v>
      </c>
      <c r="S80" s="183">
        <f t="shared" ref="S80:S82" si="63">+R80*F80</f>
        <v>2</v>
      </c>
      <c r="T80" s="184">
        <f>+COEF_FOUR3_TERR</f>
        <v>1.3</v>
      </c>
      <c r="U80" s="126">
        <v>5</v>
      </c>
      <c r="V80" s="183">
        <f t="shared" ref="V80:V82" si="64">+U80*F80</f>
        <v>5</v>
      </c>
      <c r="W80" s="184">
        <f>+COEF_MTLLOC_TERR</f>
        <v>1.3</v>
      </c>
      <c r="X80" s="126">
        <v>16</v>
      </c>
      <c r="Y80" s="183">
        <f t="shared" ref="Y80:Y82" si="65">+X80*F80</f>
        <v>16</v>
      </c>
      <c r="Z80" s="184">
        <f>+COEF_MTLAMR_TERR</f>
        <v>1.3</v>
      </c>
      <c r="AA80" s="126">
        <v>0</v>
      </c>
      <c r="AB80" s="183">
        <f t="shared" ref="AB80:AB82" si="66">+AA80*F80</f>
        <v>0</v>
      </c>
      <c r="AC80" s="184">
        <f>+COEF_ST1_TERR</f>
        <v>1.1100000000000001</v>
      </c>
      <c r="AD80" s="222">
        <v>0</v>
      </c>
      <c r="AE80" s="183">
        <f t="shared" ref="AE80:AE82" si="67">+AD80*F80</f>
        <v>0</v>
      </c>
      <c r="AF80" s="184">
        <f>+COEF_ST2_TERR</f>
        <v>1.1100000000000001</v>
      </c>
      <c r="AG80" s="126">
        <v>0</v>
      </c>
      <c r="AH80" s="183">
        <f t="shared" ref="AH80:AH82" si="68">+AG80*F80</f>
        <v>0</v>
      </c>
      <c r="AI80" s="186">
        <f t="shared" ref="AI80:AI81" si="69">+(((K80)*I80)+(O80*N80)+(R80*Q80)+(U80*T80)+(X80*W80)+(AA80*Z80)+(AD80*AC80)+(AG80*AF80))-(H80)</f>
        <v>20.170799999999986</v>
      </c>
      <c r="AJ80" s="183">
        <f t="shared" ref="AJ80:AJ82" si="70">+AI80*F80</f>
        <v>20.170799999999986</v>
      </c>
    </row>
    <row r="81" spans="2:36">
      <c r="B81" s="353"/>
      <c r="C81" s="179"/>
      <c r="D81" s="127" t="s">
        <v>470</v>
      </c>
      <c r="E81" s="181" t="s">
        <v>107</v>
      </c>
      <c r="F81" s="182">
        <v>1</v>
      </c>
      <c r="G81" s="126">
        <f t="shared" si="58"/>
        <v>98.89100000000002</v>
      </c>
      <c r="H81" s="183">
        <f t="shared" si="59"/>
        <v>76.069999999999993</v>
      </c>
      <c r="I81" s="184">
        <f>+COEF_MO_TERR</f>
        <v>1.3</v>
      </c>
      <c r="J81" s="126">
        <v>0.65</v>
      </c>
      <c r="K81" s="126">
        <f>+J81*TH_TERR</f>
        <v>18.07</v>
      </c>
      <c r="L81" s="126">
        <f t="shared" si="60"/>
        <v>0.65</v>
      </c>
      <c r="M81" s="185">
        <f t="shared" si="61"/>
        <v>18.07</v>
      </c>
      <c r="N81" s="184">
        <f>+COEF_FOUR1_TERR</f>
        <v>1.3</v>
      </c>
      <c r="O81" s="126">
        <v>32</v>
      </c>
      <c r="P81" s="183">
        <f t="shared" si="62"/>
        <v>32</v>
      </c>
      <c r="Q81" s="184">
        <f>+COEF_FOUR2_TERR</f>
        <v>1.3</v>
      </c>
      <c r="R81" s="126">
        <v>3</v>
      </c>
      <c r="S81" s="183">
        <f t="shared" si="63"/>
        <v>3</v>
      </c>
      <c r="T81" s="184">
        <f>+COEF_FOUR3_TERR</f>
        <v>1.3</v>
      </c>
      <c r="U81" s="126">
        <v>6</v>
      </c>
      <c r="V81" s="183">
        <f t="shared" si="64"/>
        <v>6</v>
      </c>
      <c r="W81" s="184">
        <f>+COEF_MTLLOC_TERR</f>
        <v>1.3</v>
      </c>
      <c r="X81" s="126">
        <v>17</v>
      </c>
      <c r="Y81" s="183">
        <f t="shared" si="65"/>
        <v>17</v>
      </c>
      <c r="Z81" s="184">
        <f>+COEF_MTLAMR_TERR</f>
        <v>1.3</v>
      </c>
      <c r="AA81" s="126">
        <v>0</v>
      </c>
      <c r="AB81" s="183">
        <f t="shared" si="66"/>
        <v>0</v>
      </c>
      <c r="AC81" s="184">
        <f>+COEF_ST1_TERR</f>
        <v>1.1100000000000001</v>
      </c>
      <c r="AD81" s="222">
        <v>0</v>
      </c>
      <c r="AE81" s="183">
        <f t="shared" si="67"/>
        <v>0</v>
      </c>
      <c r="AF81" s="184">
        <f>+COEF_ST2_TERR</f>
        <v>1.1100000000000001</v>
      </c>
      <c r="AG81" s="126">
        <v>0</v>
      </c>
      <c r="AH81" s="183">
        <f t="shared" si="68"/>
        <v>0</v>
      </c>
      <c r="AI81" s="186">
        <f t="shared" si="69"/>
        <v>22.821000000000026</v>
      </c>
      <c r="AJ81" s="183">
        <f t="shared" si="70"/>
        <v>22.821000000000026</v>
      </c>
    </row>
    <row r="82" spans="2:36">
      <c r="B82" s="353"/>
      <c r="C82" s="179"/>
      <c r="D82" s="127" t="s">
        <v>471</v>
      </c>
      <c r="E82" s="181" t="s">
        <v>107</v>
      </c>
      <c r="F82" s="182">
        <v>1</v>
      </c>
      <c r="G82" s="126">
        <f t="shared" si="58"/>
        <v>112.39800000000001</v>
      </c>
      <c r="H82" s="183">
        <f t="shared" si="59"/>
        <v>86.460000000000008</v>
      </c>
      <c r="I82" s="184">
        <f>+COEF_MO_TERR</f>
        <v>1.3</v>
      </c>
      <c r="J82" s="126">
        <v>0.7</v>
      </c>
      <c r="K82" s="126">
        <f>+J82*TH_TERR</f>
        <v>19.46</v>
      </c>
      <c r="L82" s="126">
        <f t="shared" si="60"/>
        <v>0.7</v>
      </c>
      <c r="M82" s="185">
        <f t="shared" si="61"/>
        <v>19.46</v>
      </c>
      <c r="N82" s="184">
        <f>+COEF_FOUR1_TERR</f>
        <v>1.3</v>
      </c>
      <c r="O82" s="126">
        <v>38</v>
      </c>
      <c r="P82" s="183">
        <f t="shared" si="62"/>
        <v>38</v>
      </c>
      <c r="Q82" s="184">
        <f>+COEF_FOUR2_TERR</f>
        <v>1.3</v>
      </c>
      <c r="R82" s="126">
        <v>4</v>
      </c>
      <c r="S82" s="183">
        <f t="shared" si="63"/>
        <v>4</v>
      </c>
      <c r="T82" s="184">
        <f>+COEF_FOUR3_TERR</f>
        <v>1.3</v>
      </c>
      <c r="U82" s="126">
        <v>7</v>
      </c>
      <c r="V82" s="183">
        <f t="shared" si="64"/>
        <v>7</v>
      </c>
      <c r="W82" s="184">
        <f>+COEF_MTLLOC_TERR</f>
        <v>1.3</v>
      </c>
      <c r="X82" s="126">
        <v>18</v>
      </c>
      <c r="Y82" s="183">
        <f t="shared" si="65"/>
        <v>18</v>
      </c>
      <c r="Z82" s="184">
        <f>+COEF_MTLAMR_TERR</f>
        <v>1.3</v>
      </c>
      <c r="AA82" s="126">
        <v>0</v>
      </c>
      <c r="AB82" s="183">
        <f t="shared" si="66"/>
        <v>0</v>
      </c>
      <c r="AC82" s="184">
        <f>+COEF_ST1_TERR</f>
        <v>1.1100000000000001</v>
      </c>
      <c r="AD82" s="222">
        <v>0</v>
      </c>
      <c r="AE82" s="183">
        <f t="shared" si="67"/>
        <v>0</v>
      </c>
      <c r="AF82" s="184">
        <f>+COEF_ST2_TERR</f>
        <v>1.1100000000000001</v>
      </c>
      <c r="AG82" s="126">
        <v>0</v>
      </c>
      <c r="AH82" s="183">
        <f t="shared" si="68"/>
        <v>0</v>
      </c>
      <c r="AI82" s="186">
        <f>+(((K82)*I82)+(O82*N82)+(R82*Q82)+(U82*T82)+(X82*W82)+(AA82*Z82)+(AD82*AC82)+(AG82*AF82))-(H82)</f>
        <v>25.938000000000002</v>
      </c>
      <c r="AJ82" s="183">
        <f t="shared" si="70"/>
        <v>25.938000000000002</v>
      </c>
    </row>
    <row r="83" spans="2:36">
      <c r="B83" s="353"/>
      <c r="C83" s="179"/>
      <c r="D83" s="127"/>
      <c r="E83" s="181"/>
      <c r="F83" s="182"/>
      <c r="G83" s="126"/>
      <c r="H83" s="183"/>
      <c r="I83" s="184"/>
      <c r="J83" s="126"/>
      <c r="K83" s="126"/>
      <c r="L83" s="126"/>
      <c r="M83" s="185"/>
      <c r="N83" s="184"/>
      <c r="O83" s="126"/>
      <c r="P83" s="183"/>
      <c r="Q83" s="184"/>
      <c r="R83" s="126"/>
      <c r="S83" s="183"/>
      <c r="T83" s="184"/>
      <c r="U83" s="126"/>
      <c r="V83" s="183"/>
      <c r="W83" s="184"/>
      <c r="X83" s="126"/>
      <c r="Y83" s="183"/>
      <c r="Z83" s="184"/>
      <c r="AA83" s="126"/>
      <c r="AB83" s="183"/>
      <c r="AC83" s="184"/>
      <c r="AD83" s="222"/>
      <c r="AE83" s="183"/>
      <c r="AF83" s="184"/>
      <c r="AG83" s="126"/>
      <c r="AH83" s="183"/>
      <c r="AI83" s="186"/>
      <c r="AJ83" s="183"/>
    </row>
    <row r="84" spans="2:36">
      <c r="B84" s="353"/>
      <c r="C84" s="179"/>
      <c r="D84" s="127"/>
      <c r="E84" s="181"/>
      <c r="F84" s="182"/>
      <c r="G84" s="126"/>
      <c r="H84" s="183"/>
      <c r="I84" s="184"/>
      <c r="J84" s="126"/>
      <c r="K84" s="126"/>
      <c r="L84" s="126"/>
      <c r="M84" s="185"/>
      <c r="N84" s="184"/>
      <c r="O84" s="126"/>
      <c r="P84" s="183"/>
      <c r="Q84" s="184"/>
      <c r="R84" s="126"/>
      <c r="S84" s="183"/>
      <c r="T84" s="184"/>
      <c r="U84" s="126"/>
      <c r="V84" s="183"/>
      <c r="W84" s="184"/>
      <c r="X84" s="126"/>
      <c r="Y84" s="183"/>
      <c r="Z84" s="184"/>
      <c r="AA84" s="126"/>
      <c r="AB84" s="183"/>
      <c r="AC84" s="184"/>
      <c r="AD84" s="222"/>
      <c r="AE84" s="183"/>
      <c r="AF84" s="184"/>
      <c r="AG84" s="126"/>
      <c r="AH84" s="183"/>
      <c r="AI84" s="186"/>
      <c r="AJ84" s="183"/>
    </row>
    <row r="85" spans="2:36">
      <c r="B85" s="353"/>
      <c r="C85" s="179"/>
      <c r="D85" s="180"/>
      <c r="E85" s="181"/>
      <c r="F85" s="182"/>
      <c r="G85" s="126"/>
      <c r="H85" s="183"/>
      <c r="I85" s="184"/>
      <c r="J85" s="126"/>
      <c r="K85" s="126"/>
      <c r="L85" s="126"/>
      <c r="M85" s="185"/>
      <c r="N85" s="184"/>
      <c r="O85" s="126"/>
      <c r="P85" s="183"/>
      <c r="Q85" s="184"/>
      <c r="R85" s="126"/>
      <c r="S85" s="183"/>
      <c r="T85" s="184"/>
      <c r="U85" s="126"/>
      <c r="V85" s="183"/>
      <c r="W85" s="184"/>
      <c r="X85" s="126"/>
      <c r="Y85" s="183"/>
      <c r="Z85" s="184"/>
      <c r="AA85" s="126"/>
      <c r="AB85" s="183"/>
      <c r="AC85" s="184"/>
      <c r="AD85" s="126"/>
      <c r="AE85" s="183"/>
      <c r="AF85" s="184"/>
      <c r="AG85" s="126"/>
      <c r="AH85" s="183"/>
      <c r="AI85" s="186"/>
      <c r="AJ85" s="183"/>
    </row>
    <row r="86" spans="2:36" ht="15.75" thickBot="1">
      <c r="B86" s="356"/>
      <c r="C86" s="357"/>
      <c r="D86" s="224"/>
      <c r="E86" s="358"/>
      <c r="F86" s="359"/>
      <c r="G86" s="360"/>
      <c r="H86" s="361"/>
      <c r="I86" s="362"/>
      <c r="J86" s="360"/>
      <c r="K86" s="360"/>
      <c r="L86" s="360"/>
      <c r="M86" s="363"/>
      <c r="N86" s="362"/>
      <c r="O86" s="360"/>
      <c r="P86" s="361"/>
      <c r="Q86" s="362"/>
      <c r="R86" s="360"/>
      <c r="S86" s="361"/>
      <c r="T86" s="362"/>
      <c r="U86" s="360"/>
      <c r="V86" s="361"/>
      <c r="W86" s="362"/>
      <c r="X86" s="360"/>
      <c r="Y86" s="361"/>
      <c r="Z86" s="362"/>
      <c r="AA86" s="360"/>
      <c r="AB86" s="361"/>
      <c r="AC86" s="362"/>
      <c r="AD86" s="360"/>
      <c r="AE86" s="361"/>
      <c r="AF86" s="362"/>
      <c r="AG86" s="360"/>
      <c r="AH86" s="361"/>
      <c r="AI86" s="364"/>
      <c r="AJ86" s="361"/>
    </row>
    <row r="90" spans="2:36">
      <c r="D90" s="127"/>
      <c r="E90" s="17"/>
    </row>
    <row r="91" spans="2:36">
      <c r="D91" s="127"/>
      <c r="E91" s="17"/>
    </row>
    <row r="92" spans="2:36">
      <c r="D92" s="127"/>
      <c r="E92" s="17"/>
    </row>
    <row r="93" spans="2:36">
      <c r="D93" s="127"/>
      <c r="E93" s="17"/>
    </row>
  </sheetData>
  <mergeCells count="103">
    <mergeCell ref="D2:D3"/>
    <mergeCell ref="C21:C22"/>
    <mergeCell ref="C38:C39"/>
    <mergeCell ref="C60:C61"/>
    <mergeCell ref="AI20:AJ21"/>
    <mergeCell ref="D21:D22"/>
    <mergeCell ref="E21:E22"/>
    <mergeCell ref="F21:F22"/>
    <mergeCell ref="W20:W22"/>
    <mergeCell ref="X20:Y20"/>
    <mergeCell ref="Z20:Z22"/>
    <mergeCell ref="AA20:AB20"/>
    <mergeCell ref="AC20:AC22"/>
    <mergeCell ref="O20:P20"/>
    <mergeCell ref="Q20:Q22"/>
    <mergeCell ref="R20:S20"/>
    <mergeCell ref="AC5:AC7"/>
    <mergeCell ref="AG5:AH5"/>
    <mergeCell ref="E20:H20"/>
    <mergeCell ref="I20:I22"/>
    <mergeCell ref="J20:M20"/>
    <mergeCell ref="N20:N22"/>
    <mergeCell ref="AD20:AE20"/>
    <mergeCell ref="AF20:AF22"/>
    <mergeCell ref="AG20:AH20"/>
    <mergeCell ref="C6:C7"/>
    <mergeCell ref="AC2:AH2"/>
    <mergeCell ref="AI2:AJ3"/>
    <mergeCell ref="E38:E39"/>
    <mergeCell ref="D38:D39"/>
    <mergeCell ref="E37:H37"/>
    <mergeCell ref="AC3:AD3"/>
    <mergeCell ref="AF3:AG3"/>
    <mergeCell ref="E5:H5"/>
    <mergeCell ref="I5:I7"/>
    <mergeCell ref="J5:M5"/>
    <mergeCell ref="N5:N7"/>
    <mergeCell ref="O5:P5"/>
    <mergeCell ref="Q5:Q7"/>
    <mergeCell ref="R5:S5"/>
    <mergeCell ref="AD5:AE5"/>
    <mergeCell ref="AF5:AF7"/>
    <mergeCell ref="AI5:AJ6"/>
    <mergeCell ref="D6:D7"/>
    <mergeCell ref="E6:E7"/>
    <mergeCell ref="F6:F7"/>
    <mergeCell ref="W5:W7"/>
    <mergeCell ref="I3:L3"/>
    <mergeCell ref="T20:T22"/>
    <mergeCell ref="U20:V20"/>
    <mergeCell ref="I2:M2"/>
    <mergeCell ref="E2:H3"/>
    <mergeCell ref="T5:T7"/>
    <mergeCell ref="U5:V5"/>
    <mergeCell ref="W2:AB2"/>
    <mergeCell ref="W3:X3"/>
    <mergeCell ref="Z3:AA3"/>
    <mergeCell ref="N2:V2"/>
    <mergeCell ref="N3:O3"/>
    <mergeCell ref="Q3:R3"/>
    <mergeCell ref="T3:U3"/>
    <mergeCell ref="X5:Y5"/>
    <mergeCell ref="Z5:Z7"/>
    <mergeCell ref="AA5:AB5"/>
    <mergeCell ref="AI37:AJ38"/>
    <mergeCell ref="I37:I39"/>
    <mergeCell ref="N37:N39"/>
    <mergeCell ref="Q37:Q39"/>
    <mergeCell ref="T37:T39"/>
    <mergeCell ref="W37:W39"/>
    <mergeCell ref="Z37:Z39"/>
    <mergeCell ref="AC37:AC39"/>
    <mergeCell ref="AF37:AF39"/>
    <mergeCell ref="F38:F39"/>
    <mergeCell ref="J37:M37"/>
    <mergeCell ref="O37:P37"/>
    <mergeCell ref="R37:S37"/>
    <mergeCell ref="U37:V37"/>
    <mergeCell ref="X37:Y37"/>
    <mergeCell ref="AD59:AE59"/>
    <mergeCell ref="AF59:AF61"/>
    <mergeCell ref="AG59:AH59"/>
    <mergeCell ref="AA37:AB37"/>
    <mergeCell ref="AD37:AE37"/>
    <mergeCell ref="AG37:AH37"/>
    <mergeCell ref="AI59:AJ60"/>
    <mergeCell ref="D60:D61"/>
    <mergeCell ref="E60:E61"/>
    <mergeCell ref="F60:F61"/>
    <mergeCell ref="W59:W61"/>
    <mergeCell ref="X59:Y59"/>
    <mergeCell ref="Z59:Z61"/>
    <mergeCell ref="AA59:AB59"/>
    <mergeCell ref="AC59:AC61"/>
    <mergeCell ref="O59:P59"/>
    <mergeCell ref="Q59:Q61"/>
    <mergeCell ref="R59:S59"/>
    <mergeCell ref="T59:T61"/>
    <mergeCell ref="U59:V59"/>
    <mergeCell ref="E59:H59"/>
    <mergeCell ref="I59:I61"/>
    <mergeCell ref="J59:M59"/>
    <mergeCell ref="N59:N61"/>
  </mergeCells>
  <dataValidations disablePrompts="1" count="1">
    <dataValidation type="list" allowBlank="1" showInputMessage="1" showErrorMessage="1" prompt="Choix ?" sqref="WVL983103 WLP983103 WBT983103 VRX983103 VIB983103 UYF983103 UOJ983103 UEN983103 TUR983103 TKV983103 TAZ983103 SRD983103 SHH983103 RXL983103 RNP983103 RDT983103 QTX983103 QKB983103 QAF983103 PQJ983103 PGN983103 OWR983103 OMV983103 OCZ983103 NTD983103 NJH983103 MZL983103 MPP983103 MFT983103 LVX983103 LMB983103 LCF983103 KSJ983103 KIN983103 JYR983103 JOV983103 JEZ983103 IVD983103 ILH983103 IBL983103 HRP983103 HHT983103 GXX983103 GOB983103 GEF983103 FUJ983103 FKN983103 FAR983103 EQV983103 EGZ983103 DXD983103 DNH983103 DDL983103 CTP983103 CJT983103 BZX983103 BQB983103 BGF983103 AWJ983103 AMN983103 ACR983103 SV983103 IZ983103 B983103 WVL917567 WLP917567 WBT917567 VRX917567 VIB917567 UYF917567 UOJ917567 UEN917567 TUR917567 TKV917567 TAZ917567 SRD917567 SHH917567 RXL917567 RNP917567 RDT917567 QTX917567 QKB917567 QAF917567 PQJ917567 PGN917567 OWR917567 OMV917567 OCZ917567 NTD917567 NJH917567 MZL917567 MPP917567 MFT917567 LVX917567 LMB917567 LCF917567 KSJ917567 KIN917567 JYR917567 JOV917567 JEZ917567 IVD917567 ILH917567 IBL917567 HRP917567 HHT917567 GXX917567 GOB917567 GEF917567 FUJ917567 FKN917567 FAR917567 EQV917567 EGZ917567 DXD917567 DNH917567 DDL917567 CTP917567 CJT917567 BZX917567 BQB917567 BGF917567 AWJ917567 AMN917567 ACR917567 SV917567 IZ917567 B917567 WVL852031 WLP852031 WBT852031 VRX852031 VIB852031 UYF852031 UOJ852031 UEN852031 TUR852031 TKV852031 TAZ852031 SRD852031 SHH852031 RXL852031 RNP852031 RDT852031 QTX852031 QKB852031 QAF852031 PQJ852031 PGN852031 OWR852031 OMV852031 OCZ852031 NTD852031 NJH852031 MZL852031 MPP852031 MFT852031 LVX852031 LMB852031 LCF852031 KSJ852031 KIN852031 JYR852031 JOV852031 JEZ852031 IVD852031 ILH852031 IBL852031 HRP852031 HHT852031 GXX852031 GOB852031 GEF852031 FUJ852031 FKN852031 FAR852031 EQV852031 EGZ852031 DXD852031 DNH852031 DDL852031 CTP852031 CJT852031 BZX852031 BQB852031 BGF852031 AWJ852031 AMN852031 ACR852031 SV852031 IZ852031 B852031 WVL786495 WLP786495 WBT786495 VRX786495 VIB786495 UYF786495 UOJ786495 UEN786495 TUR786495 TKV786495 TAZ786495 SRD786495 SHH786495 RXL786495 RNP786495 RDT786495 QTX786495 QKB786495 QAF786495 PQJ786495 PGN786495 OWR786495 OMV786495 OCZ786495 NTD786495 NJH786495 MZL786495 MPP786495 MFT786495 LVX786495 LMB786495 LCF786495 KSJ786495 KIN786495 JYR786495 JOV786495 JEZ786495 IVD786495 ILH786495 IBL786495 HRP786495 HHT786495 GXX786495 GOB786495 GEF786495 FUJ786495 FKN786495 FAR786495 EQV786495 EGZ786495 DXD786495 DNH786495 DDL786495 CTP786495 CJT786495 BZX786495 BQB786495 BGF786495 AWJ786495 AMN786495 ACR786495 SV786495 IZ786495 B786495 WVL720959 WLP720959 WBT720959 VRX720959 VIB720959 UYF720959 UOJ720959 UEN720959 TUR720959 TKV720959 TAZ720959 SRD720959 SHH720959 RXL720959 RNP720959 RDT720959 QTX720959 QKB720959 QAF720959 PQJ720959 PGN720959 OWR720959 OMV720959 OCZ720959 NTD720959 NJH720959 MZL720959 MPP720959 MFT720959 LVX720959 LMB720959 LCF720959 KSJ720959 KIN720959 JYR720959 JOV720959 JEZ720959 IVD720959 ILH720959 IBL720959 HRP720959 HHT720959 GXX720959 GOB720959 GEF720959 FUJ720959 FKN720959 FAR720959 EQV720959 EGZ720959 DXD720959 DNH720959 DDL720959 CTP720959 CJT720959 BZX720959 BQB720959 BGF720959 AWJ720959 AMN720959 ACR720959 SV720959 IZ720959 B720959 WVL655423 WLP655423 WBT655423 VRX655423 VIB655423 UYF655423 UOJ655423 UEN655423 TUR655423 TKV655423 TAZ655423 SRD655423 SHH655423 RXL655423 RNP655423 RDT655423 QTX655423 QKB655423 QAF655423 PQJ655423 PGN655423 OWR655423 OMV655423 OCZ655423 NTD655423 NJH655423 MZL655423 MPP655423 MFT655423 LVX655423 LMB655423 LCF655423 KSJ655423 KIN655423 JYR655423 JOV655423 JEZ655423 IVD655423 ILH655423 IBL655423 HRP655423 HHT655423 GXX655423 GOB655423 GEF655423 FUJ655423 FKN655423 FAR655423 EQV655423 EGZ655423 DXD655423 DNH655423 DDL655423 CTP655423 CJT655423 BZX655423 BQB655423 BGF655423 AWJ655423 AMN655423 ACR655423 SV655423 IZ655423 B655423 WVL589887 WLP589887 WBT589887 VRX589887 VIB589887 UYF589887 UOJ589887 UEN589887 TUR589887 TKV589887 TAZ589887 SRD589887 SHH589887 RXL589887 RNP589887 RDT589887 QTX589887 QKB589887 QAF589887 PQJ589887 PGN589887 OWR589887 OMV589887 OCZ589887 NTD589887 NJH589887 MZL589887 MPP589887 MFT589887 LVX589887 LMB589887 LCF589887 KSJ589887 KIN589887 JYR589887 JOV589887 JEZ589887 IVD589887 ILH589887 IBL589887 HRP589887 HHT589887 GXX589887 GOB589887 GEF589887 FUJ589887 FKN589887 FAR589887 EQV589887 EGZ589887 DXD589887 DNH589887 DDL589887 CTP589887 CJT589887 BZX589887 BQB589887 BGF589887 AWJ589887 AMN589887 ACR589887 SV589887 IZ589887 B589887 WVL524351 WLP524351 WBT524351 VRX524351 VIB524351 UYF524351 UOJ524351 UEN524351 TUR524351 TKV524351 TAZ524351 SRD524351 SHH524351 RXL524351 RNP524351 RDT524351 QTX524351 QKB524351 QAF524351 PQJ524351 PGN524351 OWR524351 OMV524351 OCZ524351 NTD524351 NJH524351 MZL524351 MPP524351 MFT524351 LVX524351 LMB524351 LCF524351 KSJ524351 KIN524351 JYR524351 JOV524351 JEZ524351 IVD524351 ILH524351 IBL524351 HRP524351 HHT524351 GXX524351 GOB524351 GEF524351 FUJ524351 FKN524351 FAR524351 EQV524351 EGZ524351 DXD524351 DNH524351 DDL524351 CTP524351 CJT524351 BZX524351 BQB524351 BGF524351 AWJ524351 AMN524351 ACR524351 SV524351 IZ524351 B524351 WVL458815 WLP458815 WBT458815 VRX458815 VIB458815 UYF458815 UOJ458815 UEN458815 TUR458815 TKV458815 TAZ458815 SRD458815 SHH458815 RXL458815 RNP458815 RDT458815 QTX458815 QKB458815 QAF458815 PQJ458815 PGN458815 OWR458815 OMV458815 OCZ458815 NTD458815 NJH458815 MZL458815 MPP458815 MFT458815 LVX458815 LMB458815 LCF458815 KSJ458815 KIN458815 JYR458815 JOV458815 JEZ458815 IVD458815 ILH458815 IBL458815 HRP458815 HHT458815 GXX458815 GOB458815 GEF458815 FUJ458815 FKN458815 FAR458815 EQV458815 EGZ458815 DXD458815 DNH458815 DDL458815 CTP458815 CJT458815 BZX458815 BQB458815 BGF458815 AWJ458815 AMN458815 ACR458815 SV458815 IZ458815 B458815 WVL393279 WLP393279 WBT393279 VRX393279 VIB393279 UYF393279 UOJ393279 UEN393279 TUR393279 TKV393279 TAZ393279 SRD393279 SHH393279 RXL393279 RNP393279 RDT393279 QTX393279 QKB393279 QAF393279 PQJ393279 PGN393279 OWR393279 OMV393279 OCZ393279 NTD393279 NJH393279 MZL393279 MPP393279 MFT393279 LVX393279 LMB393279 LCF393279 KSJ393279 KIN393279 JYR393279 JOV393279 JEZ393279 IVD393279 ILH393279 IBL393279 HRP393279 HHT393279 GXX393279 GOB393279 GEF393279 FUJ393279 FKN393279 FAR393279 EQV393279 EGZ393279 DXD393279 DNH393279 DDL393279 CTP393279 CJT393279 BZX393279 BQB393279 BGF393279 AWJ393279 AMN393279 ACR393279 SV393279 IZ393279 B393279 WVL327743 WLP327743 WBT327743 VRX327743 VIB327743 UYF327743 UOJ327743 UEN327743 TUR327743 TKV327743 TAZ327743 SRD327743 SHH327743 RXL327743 RNP327743 RDT327743 QTX327743 QKB327743 QAF327743 PQJ327743 PGN327743 OWR327743 OMV327743 OCZ327743 NTD327743 NJH327743 MZL327743 MPP327743 MFT327743 LVX327743 LMB327743 LCF327743 KSJ327743 KIN327743 JYR327743 JOV327743 JEZ327743 IVD327743 ILH327743 IBL327743 HRP327743 HHT327743 GXX327743 GOB327743 GEF327743 FUJ327743 FKN327743 FAR327743 EQV327743 EGZ327743 DXD327743 DNH327743 DDL327743 CTP327743 CJT327743 BZX327743 BQB327743 BGF327743 AWJ327743 AMN327743 ACR327743 SV327743 IZ327743 B327743 WVL262207 WLP262207 WBT262207 VRX262207 VIB262207 UYF262207 UOJ262207 UEN262207 TUR262207 TKV262207 TAZ262207 SRD262207 SHH262207 RXL262207 RNP262207 RDT262207 QTX262207 QKB262207 QAF262207 PQJ262207 PGN262207 OWR262207 OMV262207 OCZ262207 NTD262207 NJH262207 MZL262207 MPP262207 MFT262207 LVX262207 LMB262207 LCF262207 KSJ262207 KIN262207 JYR262207 JOV262207 JEZ262207 IVD262207 ILH262207 IBL262207 HRP262207 HHT262207 GXX262207 GOB262207 GEF262207 FUJ262207 FKN262207 FAR262207 EQV262207 EGZ262207 DXD262207 DNH262207 DDL262207 CTP262207 CJT262207 BZX262207 BQB262207 BGF262207 AWJ262207 AMN262207 ACR262207 SV262207 IZ262207 B262207 WVL196671 WLP196671 WBT196671 VRX196671 VIB196671 UYF196671 UOJ196671 UEN196671 TUR196671 TKV196671 TAZ196671 SRD196671 SHH196671 RXL196671 RNP196671 RDT196671 QTX196671 QKB196671 QAF196671 PQJ196671 PGN196671 OWR196671 OMV196671 OCZ196671 NTD196671 NJH196671 MZL196671 MPP196671 MFT196671 LVX196671 LMB196671 LCF196671 KSJ196671 KIN196671 JYR196671 JOV196671 JEZ196671 IVD196671 ILH196671 IBL196671 HRP196671 HHT196671 GXX196671 GOB196671 GEF196671 FUJ196671 FKN196671 FAR196671 EQV196671 EGZ196671 DXD196671 DNH196671 DDL196671 CTP196671 CJT196671 BZX196671 BQB196671 BGF196671 AWJ196671 AMN196671 ACR196671 SV196671 IZ196671 B196671 WVL131135 WLP131135 WBT131135 VRX131135 VIB131135 UYF131135 UOJ131135 UEN131135 TUR131135 TKV131135 TAZ131135 SRD131135 SHH131135 RXL131135 RNP131135 RDT131135 QTX131135 QKB131135 QAF131135 PQJ131135 PGN131135 OWR131135 OMV131135 OCZ131135 NTD131135 NJH131135 MZL131135 MPP131135 MFT131135 LVX131135 LMB131135 LCF131135 KSJ131135 KIN131135 JYR131135 JOV131135 JEZ131135 IVD131135 ILH131135 IBL131135 HRP131135 HHT131135 GXX131135 GOB131135 GEF131135 FUJ131135 FKN131135 FAR131135 EQV131135 EGZ131135 DXD131135 DNH131135 DDL131135 CTP131135 CJT131135 BZX131135 BQB131135 BGF131135 AWJ131135 AMN131135 ACR131135 SV131135 IZ131135 B131135 WVL65599 WLP65599 WBT65599 VRX65599 VIB65599 UYF65599 UOJ65599 UEN65599 TUR65599 TKV65599 TAZ65599 SRD65599 SHH65599 RXL65599 RNP65599 RDT65599 QTX65599 QKB65599 QAF65599 PQJ65599 PGN65599 OWR65599 OMV65599 OCZ65599 NTD65599 NJH65599 MZL65599 MPP65599 MFT65599 LVX65599 LMB65599 LCF65599 KSJ65599 KIN65599 JYR65599 JOV65599 JEZ65599 IVD65599 ILH65599 IBL65599 HRP65599 HHT65599 GXX65599 GOB65599 GEF65599 FUJ65599 FKN65599 FAR65599 EQV65599 EGZ65599 DXD65599 DNH65599 DDL65599 CTP65599 CJT65599 BZX65599 BQB65599 BGF65599 AWJ65599 AMN65599 ACR65599 SV65599 IZ65599 B65599">
      <formula1>$B$37:$B$86</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EU231"/>
  <sheetViews>
    <sheetView workbookViewId="0">
      <pane xSplit="4" ySplit="6" topLeftCell="E7" activePane="bottomRight" state="frozen"/>
      <selection activeCell="B12" sqref="B12:G12"/>
      <selection pane="topRight" activeCell="B12" sqref="B12:G12"/>
      <selection pane="bottomLeft" activeCell="B12" sqref="B12:G12"/>
      <selection pane="bottomRight" activeCell="B27" sqref="B27"/>
    </sheetView>
  </sheetViews>
  <sheetFormatPr baseColWidth="10" defaultColWidth="11.5703125" defaultRowHeight="15"/>
  <cols>
    <col min="1" max="1" width="3.140625" style="327" customWidth="1"/>
    <col min="2" max="2" width="35" style="67" customWidth="1"/>
    <col min="3" max="3" width="23.7109375" style="67" customWidth="1"/>
    <col min="4" max="4" width="35.7109375" style="67" customWidth="1"/>
    <col min="5" max="5" width="5.7109375" style="229" customWidth="1"/>
    <col min="6" max="6" width="39.28515625" style="229" customWidth="1"/>
    <col min="7" max="7" width="4.42578125" style="229" customWidth="1"/>
    <col min="8" max="14" width="8.85546875" style="229" customWidth="1"/>
    <col min="15" max="17" width="8.85546875" style="67" customWidth="1"/>
    <col min="18" max="18" width="2.7109375" style="67" customWidth="1"/>
    <col min="19" max="19" width="11.42578125" style="67" customWidth="1"/>
    <col min="20" max="29" width="8.85546875" style="67" customWidth="1"/>
    <col min="30" max="30" width="3" style="67" customWidth="1"/>
    <col min="31" max="31" width="11.42578125" style="67" customWidth="1"/>
    <col min="32" max="41" width="10.28515625" style="67" customWidth="1"/>
    <col min="42" max="42" width="3" style="67" customWidth="1"/>
    <col min="43" max="45" width="13" style="67" customWidth="1"/>
    <col min="46" max="46" width="3.85546875" style="67" customWidth="1"/>
    <col min="47" max="47" width="11.5703125" style="67" customWidth="1"/>
    <col min="48" max="48" width="4.42578125" style="67" customWidth="1"/>
    <col min="49" max="49" width="12.5703125" style="327" customWidth="1"/>
    <col min="50" max="52" width="12.5703125" style="67" customWidth="1"/>
    <col min="53" max="53" width="4.42578125" style="67" customWidth="1"/>
    <col min="54" max="55" width="12.5703125" style="67" customWidth="1"/>
    <col min="56" max="56" width="4.42578125" style="67" customWidth="1"/>
    <col min="57" max="58" width="12.5703125" style="67" customWidth="1"/>
    <col min="59" max="59" width="4.42578125" style="67" customWidth="1"/>
    <col min="60" max="61" width="12.5703125" style="67" customWidth="1"/>
    <col min="62" max="62" width="4.42578125" style="67" customWidth="1"/>
    <col min="63" max="64" width="12.5703125" style="67" customWidth="1"/>
    <col min="65" max="65" width="4.42578125" style="67" customWidth="1"/>
    <col min="66" max="67" width="12.5703125" style="67" customWidth="1"/>
    <col min="68" max="68" width="4.42578125" style="67" customWidth="1"/>
    <col min="69" max="70" width="12.5703125" style="67" customWidth="1"/>
    <col min="71" max="71" width="4.42578125" style="67" customWidth="1"/>
    <col min="72" max="72" width="12.5703125" style="67" customWidth="1"/>
    <col min="73" max="73" width="12.5703125" style="67" customWidth="1" collapsed="1"/>
    <col min="74" max="74" width="11.5703125" style="140"/>
    <col min="75" max="16384" width="11.5703125" style="67"/>
  </cols>
  <sheetData>
    <row r="1" spans="1:151" ht="15.75" thickBot="1">
      <c r="A1" s="392"/>
      <c r="B1" s="392"/>
      <c r="C1" s="392"/>
      <c r="D1" s="243"/>
      <c r="E1" s="245"/>
      <c r="F1" s="245" t="s">
        <v>28</v>
      </c>
      <c r="G1" s="245"/>
      <c r="H1" s="246"/>
      <c r="I1" s="246"/>
      <c r="J1" s="246"/>
      <c r="K1" s="246"/>
      <c r="L1" s="246"/>
      <c r="M1" s="246"/>
      <c r="N1" s="246"/>
      <c r="O1" s="246"/>
      <c r="P1" s="246"/>
      <c r="Q1" s="246"/>
      <c r="R1" s="392"/>
      <c r="S1" s="392"/>
      <c r="T1" s="392"/>
      <c r="U1" s="392"/>
      <c r="V1" s="392"/>
      <c r="W1" s="392"/>
      <c r="X1" s="392"/>
      <c r="Y1" s="392"/>
      <c r="Z1" s="392"/>
      <c r="AA1" s="392"/>
      <c r="AB1" s="392"/>
      <c r="AC1" s="392"/>
      <c r="AD1" s="392"/>
      <c r="AE1" s="392"/>
      <c r="AF1" s="392"/>
      <c r="AG1" s="392"/>
      <c r="AH1" s="392"/>
      <c r="AI1" s="392"/>
      <c r="AJ1" s="392"/>
      <c r="AK1" s="392"/>
      <c r="AL1" s="392"/>
      <c r="AM1" s="392"/>
      <c r="AN1" s="392"/>
      <c r="AO1" s="392"/>
      <c r="AP1" s="392"/>
      <c r="AQ1" s="245"/>
      <c r="AR1" s="245"/>
      <c r="AS1" s="250"/>
      <c r="AT1" s="392"/>
      <c r="AU1" s="392"/>
      <c r="AV1" s="392"/>
      <c r="AW1" s="392"/>
      <c r="AX1" s="392"/>
      <c r="AY1" s="392"/>
      <c r="AZ1" s="392"/>
      <c r="BA1" s="392"/>
      <c r="BB1" s="392"/>
      <c r="BC1" s="392"/>
      <c r="BD1" s="392"/>
      <c r="BE1" s="392"/>
      <c r="BF1" s="392"/>
      <c r="BG1" s="392"/>
      <c r="BH1" s="392"/>
      <c r="BI1" s="392"/>
      <c r="BJ1" s="392"/>
      <c r="BK1" s="392"/>
      <c r="BL1" s="392"/>
      <c r="BM1" s="392"/>
      <c r="BN1" s="392"/>
      <c r="BO1" s="392"/>
      <c r="BP1" s="392"/>
      <c r="BQ1" s="392"/>
      <c r="BR1" s="392"/>
      <c r="BS1" s="392"/>
      <c r="BT1" s="392"/>
      <c r="BU1" s="392"/>
      <c r="BV1" s="392"/>
      <c r="BW1" s="392"/>
      <c r="BX1" s="392"/>
      <c r="BY1" s="392"/>
      <c r="BZ1" s="392"/>
      <c r="CA1" s="392"/>
      <c r="CB1" s="392"/>
      <c r="CC1" s="392"/>
      <c r="CD1" s="392"/>
      <c r="CE1" s="392"/>
      <c r="CF1" s="392"/>
      <c r="CG1" s="392"/>
      <c r="CH1" s="392"/>
      <c r="CI1" s="392"/>
      <c r="CJ1" s="392"/>
      <c r="CK1" s="392"/>
      <c r="CL1" s="392"/>
      <c r="CM1" s="392"/>
      <c r="CN1" s="392"/>
      <c r="CO1" s="327"/>
      <c r="CP1" s="327"/>
      <c r="CQ1" s="327"/>
      <c r="CR1" s="327"/>
      <c r="CS1" s="327"/>
      <c r="CT1" s="327"/>
      <c r="CU1" s="327"/>
      <c r="CV1" s="327"/>
      <c r="CW1" s="327"/>
      <c r="CX1" s="327"/>
      <c r="CY1" s="327"/>
      <c r="CZ1" s="327"/>
      <c r="DA1" s="327"/>
      <c r="DB1" s="327"/>
      <c r="DC1" s="327"/>
      <c r="DD1" s="327"/>
      <c r="DE1" s="327"/>
      <c r="DF1" s="327"/>
      <c r="DG1" s="327"/>
      <c r="DH1" s="327"/>
      <c r="DI1" s="327"/>
      <c r="DJ1" s="327"/>
      <c r="DK1" s="327"/>
      <c r="DL1" s="327"/>
      <c r="DM1" s="327"/>
      <c r="DN1" s="327"/>
      <c r="DO1" s="327"/>
      <c r="DP1" s="327"/>
      <c r="DQ1" s="327"/>
      <c r="DR1" s="327"/>
      <c r="DS1" s="327"/>
      <c r="DT1" s="327"/>
      <c r="DU1" s="327"/>
      <c r="DV1" s="327"/>
      <c r="DW1" s="327"/>
      <c r="DX1" s="327"/>
      <c r="DY1" s="327"/>
      <c r="DZ1" s="327"/>
      <c r="EA1" s="327"/>
      <c r="EB1" s="327"/>
      <c r="EC1" s="327"/>
      <c r="ED1" s="327"/>
      <c r="EE1" s="327"/>
      <c r="EF1" s="327"/>
      <c r="EG1" s="327"/>
      <c r="EH1" s="327"/>
      <c r="EI1" s="327"/>
      <c r="EJ1" s="327"/>
      <c r="EK1" s="327"/>
      <c r="EL1" s="327"/>
      <c r="EM1" s="327"/>
      <c r="EN1" s="327"/>
      <c r="EO1" s="327"/>
      <c r="EP1" s="327"/>
      <c r="EQ1" s="327"/>
      <c r="ER1" s="327"/>
      <c r="ES1" s="327"/>
      <c r="ET1" s="327"/>
      <c r="EU1" s="327"/>
    </row>
    <row r="2" spans="1:151" ht="15.75" thickBot="1">
      <c r="A2" s="392"/>
      <c r="B2" s="392"/>
      <c r="C2" s="392"/>
      <c r="D2" s="243"/>
      <c r="E2" s="244" t="str">
        <f>+"AFFAIRE : "&amp;PdG!B15</f>
        <v>AFFAIRE : 0080  _PARIS - Rue d'Excel - COMIKSOU</v>
      </c>
      <c r="F2" s="245"/>
      <c r="G2" s="245"/>
      <c r="H2" s="246"/>
      <c r="I2" s="246"/>
      <c r="J2" s="246"/>
      <c r="K2" s="246"/>
      <c r="L2" s="246"/>
      <c r="M2" s="246"/>
      <c r="N2" s="246"/>
      <c r="O2" s="246"/>
      <c r="P2" s="246"/>
      <c r="Q2" s="246"/>
      <c r="R2" s="392"/>
      <c r="S2" s="392"/>
      <c r="T2" s="392"/>
      <c r="U2" s="392"/>
      <c r="V2" s="392"/>
      <c r="W2" s="392"/>
      <c r="X2" s="392"/>
      <c r="Y2" s="392"/>
      <c r="Z2" s="392"/>
      <c r="AA2" s="392"/>
      <c r="AB2" s="392"/>
      <c r="AC2" s="392"/>
      <c r="AD2" s="392"/>
      <c r="AE2" s="392"/>
      <c r="AF2" s="248" t="s">
        <v>129</v>
      </c>
      <c r="AG2" s="249">
        <v>1</v>
      </c>
      <c r="AH2" s="392"/>
      <c r="AI2" s="392"/>
      <c r="AJ2" s="248" t="s">
        <v>128</v>
      </c>
      <c r="AK2" s="249">
        <v>1</v>
      </c>
      <c r="AL2" s="392"/>
      <c r="AM2" s="392"/>
      <c r="AN2" s="248" t="s">
        <v>127</v>
      </c>
      <c r="AO2" s="249">
        <v>1</v>
      </c>
      <c r="AP2" s="392"/>
      <c r="AQ2" s="629" t="str">
        <f>+"Lot : "&amp;PdG!J22&amp;" - "&amp;PdG!K22&amp;" "&amp;PdG!M22</f>
        <v xml:space="preserve">Lot : LOT 01 - TERRASSEMENT - VRD - CLOTURES  </v>
      </c>
      <c r="AR2" s="630"/>
      <c r="AS2" s="631"/>
      <c r="AT2" s="392"/>
      <c r="AU2" s="247" t="str">
        <f>"DÉBOURSÉ "&amp;E2</f>
        <v>DÉBOURSÉ AFFAIRE : 0080  _PARIS - Rue d'Excel - COMIKSOU</v>
      </c>
      <c r="AV2" s="392"/>
      <c r="AW2" s="392"/>
      <c r="AX2" s="392"/>
      <c r="AY2" s="392"/>
      <c r="AZ2" s="392"/>
      <c r="BA2" s="392"/>
      <c r="BB2" s="392"/>
      <c r="BC2" s="392"/>
      <c r="BD2" s="392"/>
      <c r="BE2" s="392"/>
      <c r="BF2" s="392"/>
      <c r="BG2" s="392"/>
      <c r="BH2" s="392"/>
      <c r="BI2" s="392"/>
      <c r="BJ2" s="392"/>
      <c r="BK2" s="392"/>
      <c r="BL2" s="392"/>
      <c r="BM2" s="392"/>
      <c r="BN2" s="392"/>
      <c r="BO2" s="392"/>
      <c r="BP2" s="392"/>
      <c r="BQ2" s="392"/>
      <c r="BR2" s="392"/>
      <c r="BS2" s="392"/>
      <c r="BT2" s="392"/>
      <c r="BU2" s="392"/>
      <c r="BV2" s="392"/>
      <c r="BW2" s="392"/>
      <c r="BX2" s="392"/>
      <c r="BY2" s="392"/>
      <c r="BZ2" s="392"/>
      <c r="CA2" s="392"/>
      <c r="CB2" s="392"/>
      <c r="CC2" s="392"/>
      <c r="CD2" s="392"/>
      <c r="CE2" s="392"/>
      <c r="CF2" s="392"/>
      <c r="CG2" s="392"/>
      <c r="CH2" s="392"/>
      <c r="CI2" s="392"/>
      <c r="CJ2" s="392"/>
      <c r="CK2" s="392"/>
      <c r="CL2" s="392"/>
      <c r="CM2" s="392"/>
      <c r="CN2" s="392"/>
      <c r="CO2" s="327"/>
      <c r="CP2" s="327"/>
      <c r="CQ2" s="327"/>
      <c r="CR2" s="327"/>
      <c r="CS2" s="327"/>
      <c r="CT2" s="327"/>
      <c r="CU2" s="327"/>
      <c r="CV2" s="327"/>
      <c r="CW2" s="327"/>
      <c r="CX2" s="327"/>
      <c r="CY2" s="327"/>
      <c r="CZ2" s="327"/>
      <c r="DA2" s="327"/>
      <c r="DB2" s="327"/>
      <c r="DC2" s="327"/>
      <c r="DD2" s="327"/>
      <c r="DE2" s="327"/>
      <c r="DF2" s="327"/>
      <c r="DG2" s="327"/>
      <c r="DH2" s="327"/>
      <c r="DI2" s="327"/>
      <c r="DJ2" s="327"/>
      <c r="DK2" s="327"/>
      <c r="DL2" s="327"/>
      <c r="DM2" s="327"/>
      <c r="DN2" s="327"/>
      <c r="DO2" s="327"/>
      <c r="DP2" s="327"/>
      <c r="DQ2" s="327"/>
      <c r="DR2" s="327"/>
      <c r="DS2" s="327"/>
      <c r="DT2" s="327"/>
      <c r="DU2" s="327"/>
      <c r="DV2" s="327"/>
      <c r="DW2" s="327"/>
      <c r="DX2" s="327"/>
      <c r="DY2" s="327"/>
      <c r="DZ2" s="327"/>
      <c r="EA2" s="327"/>
      <c r="EB2" s="327"/>
      <c r="EC2" s="327"/>
      <c r="ED2" s="327"/>
      <c r="EE2" s="327"/>
      <c r="EF2" s="327"/>
      <c r="EG2" s="327"/>
      <c r="EH2" s="327"/>
      <c r="EI2" s="327"/>
      <c r="EJ2" s="327"/>
      <c r="EK2" s="327"/>
      <c r="EL2" s="327"/>
      <c r="EM2" s="327"/>
      <c r="EN2" s="327"/>
      <c r="EO2" s="327"/>
      <c r="EP2" s="327"/>
      <c r="EQ2" s="327"/>
      <c r="ER2" s="327"/>
      <c r="ES2" s="327"/>
      <c r="ET2" s="327"/>
      <c r="EU2" s="327"/>
    </row>
    <row r="3" spans="1:151">
      <c r="A3" s="392"/>
      <c r="B3" s="392"/>
      <c r="C3" s="392"/>
      <c r="D3" s="243"/>
      <c r="E3" s="245"/>
      <c r="F3" s="245" t="s">
        <v>28</v>
      </c>
      <c r="G3" s="245"/>
      <c r="H3" s="246"/>
      <c r="I3" s="246"/>
      <c r="J3" s="246"/>
      <c r="K3" s="246"/>
      <c r="L3" s="246"/>
      <c r="M3" s="246"/>
      <c r="N3" s="246"/>
      <c r="O3" s="246"/>
      <c r="P3" s="246"/>
      <c r="Q3" s="246"/>
      <c r="R3" s="392"/>
      <c r="S3" s="392"/>
      <c r="T3" s="392"/>
      <c r="U3" s="392"/>
      <c r="V3" s="392"/>
      <c r="W3" s="392"/>
      <c r="X3" s="392"/>
      <c r="Y3" s="392"/>
      <c r="Z3" s="392"/>
      <c r="AA3" s="392"/>
      <c r="AB3" s="392"/>
      <c r="AC3" s="392"/>
      <c r="AD3" s="392"/>
      <c r="AE3" s="392"/>
      <c r="AF3" s="392"/>
      <c r="AG3" s="392"/>
      <c r="AH3" s="392"/>
      <c r="AI3" s="392"/>
      <c r="AJ3" s="392"/>
      <c r="AK3" s="392"/>
      <c r="AL3" s="392"/>
      <c r="AM3" s="392"/>
      <c r="AN3" s="392"/>
      <c r="AO3" s="392"/>
      <c r="AP3" s="392"/>
      <c r="AQ3" s="245"/>
      <c r="AR3" s="245"/>
      <c r="AS3" s="250"/>
      <c r="AT3" s="392"/>
      <c r="AU3" s="392"/>
      <c r="AV3" s="392"/>
      <c r="AW3" s="392"/>
      <c r="AX3" s="392"/>
      <c r="AY3" s="392"/>
      <c r="AZ3" s="392"/>
      <c r="BA3" s="392"/>
      <c r="BB3" s="392"/>
      <c r="BC3" s="392"/>
      <c r="BD3" s="392"/>
      <c r="BE3" s="392"/>
      <c r="BF3" s="392"/>
      <c r="BG3" s="392"/>
      <c r="BH3" s="392"/>
      <c r="BI3" s="392"/>
      <c r="BJ3" s="392"/>
      <c r="BK3" s="392"/>
      <c r="BL3" s="392"/>
      <c r="BM3" s="392"/>
      <c r="BN3" s="392"/>
      <c r="BO3" s="392"/>
      <c r="BP3" s="392"/>
      <c r="BQ3" s="392"/>
      <c r="BR3" s="392"/>
      <c r="BS3" s="392"/>
      <c r="BT3" s="392"/>
      <c r="BU3" s="392"/>
      <c r="BV3" s="392"/>
      <c r="BW3" s="392"/>
      <c r="BX3" s="392"/>
      <c r="BY3" s="392"/>
      <c r="BZ3" s="392"/>
      <c r="CA3" s="392"/>
      <c r="CB3" s="392"/>
      <c r="CC3" s="392"/>
      <c r="CD3" s="392"/>
      <c r="CE3" s="392"/>
      <c r="CF3" s="392"/>
      <c r="CG3" s="392"/>
      <c r="CH3" s="392"/>
      <c r="CI3" s="392"/>
      <c r="CJ3" s="392"/>
      <c r="CK3" s="392"/>
      <c r="CL3" s="392"/>
      <c r="CM3" s="392"/>
      <c r="CN3" s="392"/>
      <c r="CO3" s="327"/>
      <c r="CP3" s="327"/>
      <c r="CQ3" s="327"/>
      <c r="CR3" s="327"/>
      <c r="CS3" s="327"/>
      <c r="CT3" s="327"/>
      <c r="CU3" s="327"/>
      <c r="CV3" s="327"/>
      <c r="CW3" s="327"/>
      <c r="CX3" s="327"/>
      <c r="CY3" s="327"/>
      <c r="CZ3" s="327"/>
      <c r="DA3" s="327"/>
      <c r="DB3" s="327"/>
      <c r="DC3" s="327"/>
      <c r="DD3" s="327"/>
      <c r="DE3" s="327"/>
      <c r="DF3" s="327"/>
      <c r="DG3" s="327"/>
      <c r="DH3" s="327"/>
      <c r="DI3" s="327"/>
      <c r="DJ3" s="327"/>
      <c r="DK3" s="327"/>
      <c r="DL3" s="327"/>
      <c r="DM3" s="327"/>
      <c r="DN3" s="327"/>
      <c r="DO3" s="327"/>
      <c r="DP3" s="327"/>
      <c r="DQ3" s="327"/>
      <c r="DR3" s="327"/>
      <c r="DS3" s="327"/>
      <c r="DT3" s="327"/>
      <c r="DU3" s="327"/>
      <c r="DV3" s="327"/>
      <c r="DW3" s="327"/>
      <c r="DX3" s="327"/>
      <c r="DY3" s="327"/>
      <c r="DZ3" s="327"/>
      <c r="EA3" s="327"/>
      <c r="EB3" s="327"/>
      <c r="EC3" s="327"/>
      <c r="ED3" s="327"/>
      <c r="EE3" s="327"/>
      <c r="EF3" s="327"/>
      <c r="EG3" s="327"/>
      <c r="EH3" s="327"/>
      <c r="EI3" s="327"/>
      <c r="EJ3" s="327"/>
      <c r="EK3" s="327"/>
      <c r="EL3" s="327"/>
      <c r="EM3" s="327"/>
      <c r="EN3" s="327"/>
      <c r="EO3" s="327"/>
      <c r="EP3" s="327"/>
      <c r="EQ3" s="327"/>
      <c r="ER3" s="327"/>
      <c r="ES3" s="327"/>
      <c r="ET3" s="327"/>
      <c r="EU3" s="327"/>
    </row>
    <row r="4" spans="1:151" s="327" customFormat="1" ht="14.45" customHeight="1">
      <c r="A4" s="392"/>
      <c r="B4" s="482" t="s">
        <v>331</v>
      </c>
      <c r="C4" s="483"/>
      <c r="D4" s="484"/>
      <c r="E4" s="24" t="s">
        <v>28</v>
      </c>
      <c r="F4" s="24"/>
      <c r="G4" s="24"/>
      <c r="H4" s="507" t="s">
        <v>130</v>
      </c>
      <c r="I4" s="491"/>
      <c r="J4" s="491"/>
      <c r="K4" s="491"/>
      <c r="L4" s="491"/>
      <c r="M4" s="491"/>
      <c r="N4" s="491"/>
      <c r="O4" s="491"/>
      <c r="P4" s="491"/>
      <c r="Q4" s="491"/>
      <c r="R4" s="425"/>
      <c r="S4" s="504" t="s">
        <v>65</v>
      </c>
      <c r="T4" s="491" t="s">
        <v>132</v>
      </c>
      <c r="U4" s="491"/>
      <c r="V4" s="491"/>
      <c r="W4" s="491"/>
      <c r="X4" s="491"/>
      <c r="Y4" s="491"/>
      <c r="Z4" s="491"/>
      <c r="AA4" s="491"/>
      <c r="AB4" s="491"/>
      <c r="AC4" s="491"/>
      <c r="AD4" s="425"/>
      <c r="AE4" s="499" t="s">
        <v>59</v>
      </c>
      <c r="AF4" s="507" t="s">
        <v>133</v>
      </c>
      <c r="AG4" s="491"/>
      <c r="AH4" s="491"/>
      <c r="AI4" s="491"/>
      <c r="AJ4" s="491"/>
      <c r="AK4" s="491"/>
      <c r="AL4" s="491"/>
      <c r="AM4" s="491"/>
      <c r="AN4" s="491"/>
      <c r="AO4" s="508"/>
      <c r="AP4" s="332"/>
      <c r="AQ4" s="499" t="s">
        <v>131</v>
      </c>
      <c r="AR4" s="24"/>
      <c r="AS4" s="25"/>
      <c r="AT4" s="392"/>
      <c r="AU4" s="512" t="s">
        <v>41</v>
      </c>
      <c r="AV4" s="496" t="s">
        <v>40</v>
      </c>
      <c r="AW4" s="492" t="s">
        <v>14</v>
      </c>
      <c r="AX4" s="515"/>
      <c r="AY4" s="515"/>
      <c r="AZ4" s="493"/>
      <c r="BA4" s="496" t="s">
        <v>40</v>
      </c>
      <c r="BB4" s="492" t="s">
        <v>89</v>
      </c>
      <c r="BC4" s="493"/>
      <c r="BD4" s="496" t="s">
        <v>40</v>
      </c>
      <c r="BE4" s="492" t="s">
        <v>90</v>
      </c>
      <c r="BF4" s="493"/>
      <c r="BG4" s="496" t="s">
        <v>40</v>
      </c>
      <c r="BH4" s="492" t="s">
        <v>91</v>
      </c>
      <c r="BI4" s="493"/>
      <c r="BJ4" s="496" t="s">
        <v>40</v>
      </c>
      <c r="BK4" s="492" t="s">
        <v>92</v>
      </c>
      <c r="BL4" s="493"/>
      <c r="BM4" s="496" t="s">
        <v>40</v>
      </c>
      <c r="BN4" s="492" t="s">
        <v>93</v>
      </c>
      <c r="BO4" s="493"/>
      <c r="BP4" s="496" t="s">
        <v>40</v>
      </c>
      <c r="BQ4" s="492" t="s">
        <v>98</v>
      </c>
      <c r="BR4" s="493"/>
      <c r="BS4" s="496" t="s">
        <v>40</v>
      </c>
      <c r="BT4" s="492" t="s">
        <v>99</v>
      </c>
      <c r="BU4" s="493"/>
      <c r="BV4" s="518" t="s">
        <v>9</v>
      </c>
      <c r="BW4" s="519"/>
      <c r="BX4" s="512" t="s">
        <v>269</v>
      </c>
      <c r="BY4" s="392"/>
      <c r="BZ4" s="392"/>
      <c r="CA4" s="392"/>
      <c r="CB4" s="392"/>
      <c r="CC4" s="392"/>
      <c r="CD4" s="392"/>
      <c r="CE4" s="392"/>
      <c r="CF4" s="392"/>
      <c r="CG4" s="392"/>
      <c r="CH4" s="392"/>
      <c r="CI4" s="392"/>
      <c r="CJ4" s="392"/>
      <c r="CK4" s="392"/>
      <c r="CL4" s="392"/>
      <c r="CM4" s="392"/>
      <c r="CN4" s="392"/>
    </row>
    <row r="5" spans="1:151" s="327" customFormat="1" ht="19.149999999999999" customHeight="1">
      <c r="A5" s="392"/>
      <c r="B5" s="485" t="s">
        <v>332</v>
      </c>
      <c r="C5" s="487" t="s">
        <v>334</v>
      </c>
      <c r="D5" s="489" t="s">
        <v>333</v>
      </c>
      <c r="E5" s="26" t="s">
        <v>31</v>
      </c>
      <c r="F5" s="26" t="s">
        <v>32</v>
      </c>
      <c r="G5" s="26" t="s">
        <v>33</v>
      </c>
      <c r="H5" s="489" t="s">
        <v>120</v>
      </c>
      <c r="I5" s="489" t="s">
        <v>121</v>
      </c>
      <c r="J5" s="489" t="s">
        <v>119</v>
      </c>
      <c r="K5" s="489" t="s">
        <v>122</v>
      </c>
      <c r="L5" s="489" t="s">
        <v>123</v>
      </c>
      <c r="M5" s="489" t="s">
        <v>124</v>
      </c>
      <c r="N5" s="489" t="s">
        <v>125</v>
      </c>
      <c r="O5" s="489" t="s">
        <v>126</v>
      </c>
      <c r="P5" s="489" t="s">
        <v>60</v>
      </c>
      <c r="Q5" s="489" t="s">
        <v>66</v>
      </c>
      <c r="R5" s="502"/>
      <c r="S5" s="505"/>
      <c r="T5" s="489" t="s">
        <v>120</v>
      </c>
      <c r="U5" s="489" t="s">
        <v>121</v>
      </c>
      <c r="V5" s="489" t="s">
        <v>119</v>
      </c>
      <c r="W5" s="489" t="s">
        <v>122</v>
      </c>
      <c r="X5" s="489" t="s">
        <v>123</v>
      </c>
      <c r="Y5" s="489" t="s">
        <v>124</v>
      </c>
      <c r="Z5" s="489" t="s">
        <v>125</v>
      </c>
      <c r="AA5" s="489" t="s">
        <v>126</v>
      </c>
      <c r="AB5" s="489" t="s">
        <v>60</v>
      </c>
      <c r="AC5" s="489" t="s">
        <v>66</v>
      </c>
      <c r="AD5" s="502"/>
      <c r="AE5" s="500"/>
      <c r="AF5" s="489" t="s">
        <v>120</v>
      </c>
      <c r="AG5" s="489" t="s">
        <v>121</v>
      </c>
      <c r="AH5" s="489" t="s">
        <v>119</v>
      </c>
      <c r="AI5" s="489" t="s">
        <v>122</v>
      </c>
      <c r="AJ5" s="489" t="s">
        <v>123</v>
      </c>
      <c r="AK5" s="489" t="s">
        <v>124</v>
      </c>
      <c r="AL5" s="489" t="s">
        <v>125</v>
      </c>
      <c r="AM5" s="489" t="s">
        <v>126</v>
      </c>
      <c r="AN5" s="489" t="s">
        <v>60</v>
      </c>
      <c r="AO5" s="489" t="s">
        <v>66</v>
      </c>
      <c r="AP5" s="502"/>
      <c r="AQ5" s="500"/>
      <c r="AR5" s="26" t="s">
        <v>34</v>
      </c>
      <c r="AS5" s="27" t="s">
        <v>35</v>
      </c>
      <c r="AT5" s="392"/>
      <c r="AU5" s="513"/>
      <c r="AV5" s="497"/>
      <c r="AW5" s="494"/>
      <c r="AX5" s="516"/>
      <c r="AY5" s="516"/>
      <c r="AZ5" s="495"/>
      <c r="BA5" s="497"/>
      <c r="BB5" s="494"/>
      <c r="BC5" s="495"/>
      <c r="BD5" s="497"/>
      <c r="BE5" s="494"/>
      <c r="BF5" s="495"/>
      <c r="BG5" s="497"/>
      <c r="BH5" s="494"/>
      <c r="BI5" s="495"/>
      <c r="BJ5" s="497"/>
      <c r="BK5" s="494"/>
      <c r="BL5" s="495"/>
      <c r="BM5" s="497"/>
      <c r="BN5" s="494"/>
      <c r="BO5" s="495"/>
      <c r="BP5" s="497"/>
      <c r="BQ5" s="494"/>
      <c r="BR5" s="495"/>
      <c r="BS5" s="497"/>
      <c r="BT5" s="494"/>
      <c r="BU5" s="495"/>
      <c r="BV5" s="520"/>
      <c r="BW5" s="521"/>
      <c r="BX5" s="513"/>
      <c r="BY5" s="392"/>
      <c r="BZ5" s="392"/>
      <c r="CA5" s="392"/>
      <c r="CB5" s="392"/>
      <c r="CC5" s="392"/>
      <c r="CD5" s="392"/>
      <c r="CE5" s="392"/>
      <c r="CF5" s="392"/>
      <c r="CG5" s="392"/>
      <c r="CH5" s="392"/>
      <c r="CI5" s="392"/>
      <c r="CJ5" s="392"/>
      <c r="CK5" s="392"/>
      <c r="CL5" s="392"/>
      <c r="CM5" s="392"/>
      <c r="CN5" s="392"/>
    </row>
    <row r="6" spans="1:151" s="327" customFormat="1" ht="18" customHeight="1">
      <c r="A6" s="392"/>
      <c r="B6" s="486"/>
      <c r="C6" s="488"/>
      <c r="D6" s="490"/>
      <c r="E6" s="28"/>
      <c r="F6" s="28"/>
      <c r="G6" s="28"/>
      <c r="H6" s="490"/>
      <c r="I6" s="490"/>
      <c r="J6" s="490"/>
      <c r="K6" s="490"/>
      <c r="L6" s="490"/>
      <c r="M6" s="490"/>
      <c r="N6" s="490"/>
      <c r="O6" s="490"/>
      <c r="P6" s="490"/>
      <c r="Q6" s="490"/>
      <c r="R6" s="503"/>
      <c r="S6" s="506"/>
      <c r="T6" s="490"/>
      <c r="U6" s="490"/>
      <c r="V6" s="490"/>
      <c r="W6" s="490"/>
      <c r="X6" s="490"/>
      <c r="Y6" s="490"/>
      <c r="Z6" s="490"/>
      <c r="AA6" s="490"/>
      <c r="AB6" s="490"/>
      <c r="AC6" s="490"/>
      <c r="AD6" s="503"/>
      <c r="AE6" s="501"/>
      <c r="AF6" s="490"/>
      <c r="AG6" s="490"/>
      <c r="AH6" s="490"/>
      <c r="AI6" s="490"/>
      <c r="AJ6" s="490"/>
      <c r="AK6" s="490"/>
      <c r="AL6" s="490"/>
      <c r="AM6" s="490"/>
      <c r="AN6" s="490"/>
      <c r="AO6" s="490"/>
      <c r="AP6" s="503"/>
      <c r="AQ6" s="501"/>
      <c r="AR6" s="28"/>
      <c r="AS6" s="29"/>
      <c r="AT6" s="392"/>
      <c r="AU6" s="514"/>
      <c r="AV6" s="498"/>
      <c r="AW6" s="118" t="s">
        <v>16</v>
      </c>
      <c r="AX6" s="119" t="s">
        <v>17</v>
      </c>
      <c r="AY6" s="119" t="s">
        <v>18</v>
      </c>
      <c r="AZ6" s="119" t="s">
        <v>19</v>
      </c>
      <c r="BA6" s="498"/>
      <c r="BB6" s="120" t="s">
        <v>20</v>
      </c>
      <c r="BC6" s="119" t="s">
        <v>21</v>
      </c>
      <c r="BD6" s="498"/>
      <c r="BE6" s="120" t="s">
        <v>20</v>
      </c>
      <c r="BF6" s="119" t="s">
        <v>21</v>
      </c>
      <c r="BG6" s="498"/>
      <c r="BH6" s="120" t="s">
        <v>20</v>
      </c>
      <c r="BI6" s="119" t="s">
        <v>21</v>
      </c>
      <c r="BJ6" s="498"/>
      <c r="BK6" s="120" t="s">
        <v>20</v>
      </c>
      <c r="BL6" s="119" t="s">
        <v>21</v>
      </c>
      <c r="BM6" s="498"/>
      <c r="BN6" s="120" t="s">
        <v>20</v>
      </c>
      <c r="BO6" s="119" t="s">
        <v>21</v>
      </c>
      <c r="BP6" s="498"/>
      <c r="BQ6" s="120" t="s">
        <v>20</v>
      </c>
      <c r="BR6" s="119" t="s">
        <v>21</v>
      </c>
      <c r="BS6" s="498"/>
      <c r="BT6" s="120" t="s">
        <v>20</v>
      </c>
      <c r="BU6" s="119" t="s">
        <v>21</v>
      </c>
      <c r="BV6" s="120" t="s">
        <v>22</v>
      </c>
      <c r="BW6" s="119" t="s">
        <v>23</v>
      </c>
      <c r="BX6" s="514"/>
      <c r="BY6" s="392"/>
      <c r="BZ6" s="392"/>
      <c r="CA6" s="392"/>
      <c r="CB6" s="392"/>
      <c r="CC6" s="392"/>
      <c r="CD6" s="392"/>
      <c r="CE6" s="392"/>
      <c r="CF6" s="392"/>
      <c r="CG6" s="392"/>
      <c r="CH6" s="392"/>
      <c r="CI6" s="392"/>
      <c r="CJ6" s="392"/>
      <c r="CK6" s="392"/>
      <c r="CL6" s="392"/>
      <c r="CM6" s="392"/>
      <c r="CN6" s="392"/>
    </row>
    <row r="7" spans="1:151" s="327" customFormat="1" ht="7.15" customHeight="1">
      <c r="A7" s="392"/>
      <c r="B7" s="30"/>
      <c r="C7" s="31"/>
      <c r="D7" s="31"/>
      <c r="E7" s="30"/>
      <c r="F7" s="31"/>
      <c r="G7" s="31"/>
      <c r="H7" s="71"/>
      <c r="I7" s="71"/>
      <c r="J7" s="71"/>
      <c r="K7" s="71"/>
      <c r="L7" s="71"/>
      <c r="M7" s="71"/>
      <c r="N7" s="71"/>
      <c r="O7" s="71"/>
      <c r="P7" s="71"/>
      <c r="Q7" s="71"/>
      <c r="R7" s="71"/>
      <c r="S7" s="415"/>
      <c r="T7" s="281"/>
      <c r="U7" s="281"/>
      <c r="V7" s="281"/>
      <c r="W7" s="281"/>
      <c r="X7" s="281"/>
      <c r="Y7" s="281"/>
      <c r="Z7" s="281"/>
      <c r="AA7" s="281"/>
      <c r="AB7" s="281"/>
      <c r="AC7" s="281"/>
      <c r="AD7" s="71"/>
      <c r="AE7" s="281"/>
      <c r="AF7" s="281"/>
      <c r="AG7" s="281"/>
      <c r="AH7" s="281"/>
      <c r="AI7" s="281"/>
      <c r="AJ7" s="281"/>
      <c r="AK7" s="281"/>
      <c r="AL7" s="281"/>
      <c r="AM7" s="281"/>
      <c r="AN7" s="281"/>
      <c r="AO7" s="281"/>
      <c r="AP7" s="71"/>
      <c r="AQ7" s="32"/>
      <c r="AR7" s="33"/>
      <c r="AS7" s="34"/>
      <c r="AT7" s="392"/>
      <c r="AU7" s="277"/>
      <c r="AV7" s="278"/>
      <c r="AW7" s="279"/>
      <c r="AX7" s="279"/>
      <c r="AY7" s="279"/>
      <c r="AZ7" s="279"/>
      <c r="BA7" s="279"/>
      <c r="BB7" s="279"/>
      <c r="BC7" s="279"/>
      <c r="BD7" s="279"/>
      <c r="BE7" s="279"/>
      <c r="BF7" s="279"/>
      <c r="BG7" s="279"/>
      <c r="BH7" s="279"/>
      <c r="BI7" s="279"/>
      <c r="BJ7" s="279"/>
      <c r="BK7" s="279"/>
      <c r="BL7" s="279"/>
      <c r="BM7" s="279"/>
      <c r="BN7" s="279"/>
      <c r="BO7" s="279"/>
      <c r="BP7" s="279"/>
      <c r="BQ7" s="279"/>
      <c r="BR7" s="279"/>
      <c r="BS7" s="279"/>
      <c r="BT7" s="279"/>
      <c r="BU7" s="279"/>
      <c r="BV7" s="279"/>
      <c r="BW7" s="280"/>
      <c r="BX7" s="291"/>
      <c r="BY7" s="392"/>
      <c r="BZ7" s="392"/>
      <c r="CA7" s="392"/>
      <c r="CB7" s="392"/>
      <c r="CC7" s="392"/>
      <c r="CD7" s="392"/>
      <c r="CE7" s="392"/>
      <c r="CF7" s="392"/>
      <c r="CG7" s="392"/>
      <c r="CH7" s="392"/>
      <c r="CI7" s="392"/>
      <c r="CJ7" s="392"/>
      <c r="CK7" s="392"/>
      <c r="CL7" s="392"/>
      <c r="CM7" s="392"/>
      <c r="CN7" s="392"/>
    </row>
    <row r="8" spans="1:151" s="327" customFormat="1">
      <c r="A8" s="392"/>
      <c r="B8" s="328" t="str">
        <f>+E8</f>
        <v>A</v>
      </c>
      <c r="C8" s="41" t="str">
        <f>+F8</f>
        <v>TERRASSEMENT</v>
      </c>
      <c r="D8" s="36"/>
      <c r="E8" s="328" t="s">
        <v>38</v>
      </c>
      <c r="F8" s="41" t="s">
        <v>138</v>
      </c>
      <c r="G8" s="36"/>
      <c r="H8" s="72"/>
      <c r="I8" s="72"/>
      <c r="J8" s="72"/>
      <c r="K8" s="72"/>
      <c r="L8" s="72"/>
      <c r="M8" s="72"/>
      <c r="N8" s="72"/>
      <c r="O8" s="72"/>
      <c r="P8" s="72"/>
      <c r="Q8" s="72"/>
      <c r="R8" s="72"/>
      <c r="S8" s="416"/>
      <c r="T8" s="72"/>
      <c r="U8" s="72"/>
      <c r="V8" s="72"/>
      <c r="W8" s="72"/>
      <c r="X8" s="72"/>
      <c r="Y8" s="72"/>
      <c r="Z8" s="72"/>
      <c r="AA8" s="72"/>
      <c r="AB8" s="72"/>
      <c r="AC8" s="72"/>
      <c r="AD8" s="72"/>
      <c r="AE8" s="72"/>
      <c r="AF8" s="72"/>
      <c r="AG8" s="72"/>
      <c r="AH8" s="72"/>
      <c r="AI8" s="72"/>
      <c r="AJ8" s="72"/>
      <c r="AK8" s="72"/>
      <c r="AL8" s="72"/>
      <c r="AM8" s="72"/>
      <c r="AN8" s="72"/>
      <c r="AO8" s="72"/>
      <c r="AP8" s="72"/>
      <c r="AQ8" s="403"/>
      <c r="AR8" s="38"/>
      <c r="AS8" s="39"/>
      <c r="AT8" s="392"/>
      <c r="AU8" s="121" t="str">
        <f>+" Déboursé chapitre : "&amp;F8</f>
        <v xml:space="preserve"> Déboursé chapitre : TERRASSEMENT</v>
      </c>
      <c r="AV8" s="122"/>
      <c r="AW8" s="123"/>
      <c r="AX8" s="123"/>
      <c r="AY8" s="123"/>
      <c r="AZ8" s="123"/>
      <c r="BA8" s="123"/>
      <c r="BB8" s="123"/>
      <c r="BC8" s="123"/>
      <c r="BD8" s="123"/>
      <c r="BE8" s="123"/>
      <c r="BF8" s="123"/>
      <c r="BG8" s="123"/>
      <c r="BH8" s="123"/>
      <c r="BI8" s="123"/>
      <c r="BJ8" s="123"/>
      <c r="BK8" s="123"/>
      <c r="BL8" s="123"/>
      <c r="BM8" s="123"/>
      <c r="BN8" s="123"/>
      <c r="BO8" s="123"/>
      <c r="BP8" s="123"/>
      <c r="BQ8" s="123"/>
      <c r="BR8" s="123"/>
      <c r="BS8" s="123"/>
      <c r="BT8" s="123"/>
      <c r="BU8" s="123"/>
      <c r="BV8" s="123"/>
      <c r="BW8" s="124"/>
      <c r="BX8" s="137"/>
      <c r="BY8" s="392"/>
      <c r="BZ8" s="392"/>
      <c r="CA8" s="392"/>
      <c r="CB8" s="392"/>
      <c r="CC8" s="392"/>
      <c r="CD8" s="392"/>
      <c r="CE8" s="392"/>
      <c r="CF8" s="392"/>
      <c r="CG8" s="392"/>
      <c r="CH8" s="392"/>
      <c r="CI8" s="392"/>
      <c r="CJ8" s="392"/>
      <c r="CK8" s="392"/>
      <c r="CL8" s="392"/>
      <c r="CM8" s="392"/>
      <c r="CN8" s="392"/>
    </row>
    <row r="9" spans="1:151" s="327" customFormat="1">
      <c r="A9" s="392"/>
      <c r="B9" s="258"/>
      <c r="C9" s="238"/>
      <c r="D9" s="396"/>
      <c r="E9" s="400"/>
      <c r="F9" s="127"/>
      <c r="G9" s="17"/>
      <c r="H9" s="114"/>
      <c r="I9" s="114"/>
      <c r="J9" s="114"/>
      <c r="K9" s="114"/>
      <c r="L9" s="114"/>
      <c r="M9" s="114"/>
      <c r="N9" s="114"/>
      <c r="O9" s="114"/>
      <c r="P9" s="114"/>
      <c r="Q9" s="114"/>
      <c r="R9" s="114"/>
      <c r="S9" s="417"/>
      <c r="T9" s="114"/>
      <c r="U9" s="114"/>
      <c r="V9" s="114"/>
      <c r="W9" s="114"/>
      <c r="X9" s="114"/>
      <c r="Y9" s="114"/>
      <c r="Z9" s="114"/>
      <c r="AA9" s="114"/>
      <c r="AB9" s="114"/>
      <c r="AC9" s="114"/>
      <c r="AD9" s="114"/>
      <c r="AE9" s="114"/>
      <c r="AF9" s="114"/>
      <c r="AG9" s="114"/>
      <c r="AH9" s="114"/>
      <c r="AI9" s="114"/>
      <c r="AJ9" s="114"/>
      <c r="AK9" s="114"/>
      <c r="AL9" s="114"/>
      <c r="AM9" s="114"/>
      <c r="AN9" s="114"/>
      <c r="AO9" s="114"/>
      <c r="AP9" s="114"/>
      <c r="AQ9" s="114"/>
      <c r="AR9" s="114"/>
      <c r="AS9" s="115"/>
      <c r="AT9" s="392"/>
      <c r="AU9" s="128"/>
      <c r="AV9" s="284"/>
      <c r="AW9" s="128"/>
      <c r="AX9" s="128"/>
      <c r="AY9" s="128"/>
      <c r="AZ9" s="128"/>
      <c r="BA9" s="284"/>
      <c r="BB9" s="128"/>
      <c r="BC9" s="128"/>
      <c r="BD9" s="284"/>
      <c r="BE9" s="128"/>
      <c r="BF9" s="128"/>
      <c r="BG9" s="284"/>
      <c r="BH9" s="128"/>
      <c r="BI9" s="128"/>
      <c r="BJ9" s="284"/>
      <c r="BK9" s="128"/>
      <c r="BL9" s="128"/>
      <c r="BM9" s="284"/>
      <c r="BN9" s="128"/>
      <c r="BO9" s="128"/>
      <c r="BP9" s="284"/>
      <c r="BQ9" s="128"/>
      <c r="BR9" s="128"/>
      <c r="BS9" s="284"/>
      <c r="BT9" s="128"/>
      <c r="BU9" s="128"/>
      <c r="BV9" s="128"/>
      <c r="BW9" s="128"/>
      <c r="BX9" s="128"/>
      <c r="BY9" s="392"/>
      <c r="BZ9" s="392"/>
      <c r="CA9" s="392"/>
      <c r="CB9" s="392"/>
      <c r="CC9" s="392"/>
      <c r="CD9" s="392"/>
      <c r="CE9" s="392"/>
      <c r="CF9" s="392"/>
      <c r="CG9" s="392"/>
      <c r="CH9" s="392"/>
      <c r="CI9" s="392"/>
      <c r="CJ9" s="392"/>
      <c r="CK9" s="392"/>
      <c r="CL9" s="392"/>
      <c r="CM9" s="392"/>
      <c r="CN9" s="392"/>
    </row>
    <row r="10" spans="1:151" s="327" customFormat="1">
      <c r="A10" s="392"/>
      <c r="B10" s="261"/>
      <c r="C10" s="237"/>
      <c r="D10" s="397"/>
      <c r="E10" s="401"/>
      <c r="F10" s="127"/>
      <c r="G10" s="17"/>
      <c r="H10" s="365"/>
      <c r="I10" s="365"/>
      <c r="J10" s="365"/>
      <c r="K10" s="365"/>
      <c r="L10" s="365"/>
      <c r="M10" s="365"/>
      <c r="N10" s="365"/>
      <c r="O10" s="365"/>
      <c r="P10" s="365"/>
      <c r="Q10" s="365"/>
      <c r="R10" s="365"/>
      <c r="S10" s="418"/>
      <c r="T10" s="365"/>
      <c r="U10" s="365"/>
      <c r="V10" s="365"/>
      <c r="W10" s="365"/>
      <c r="X10" s="365"/>
      <c r="Y10" s="365"/>
      <c r="Z10" s="365"/>
      <c r="AA10" s="365"/>
      <c r="AB10" s="365"/>
      <c r="AC10" s="365"/>
      <c r="AD10" s="365"/>
      <c r="AE10" s="112"/>
      <c r="AF10" s="366"/>
      <c r="AG10" s="366"/>
      <c r="AH10" s="366"/>
      <c r="AI10" s="366"/>
      <c r="AJ10" s="366"/>
      <c r="AK10" s="366"/>
      <c r="AL10" s="366"/>
      <c r="AM10" s="366"/>
      <c r="AN10" s="366"/>
      <c r="AO10" s="366"/>
      <c r="AP10" s="365"/>
      <c r="AQ10" s="112"/>
      <c r="AR10" s="112"/>
      <c r="AS10" s="113"/>
      <c r="AT10" s="255"/>
      <c r="AU10" s="228"/>
      <c r="AV10" s="285"/>
      <c r="AW10" s="286"/>
      <c r="AX10" s="130"/>
      <c r="AY10" s="130"/>
      <c r="AZ10" s="130"/>
      <c r="BA10" s="285"/>
      <c r="BB10" s="286"/>
      <c r="BC10" s="130"/>
      <c r="BD10" s="285"/>
      <c r="BE10" s="286"/>
      <c r="BF10" s="130"/>
      <c r="BG10" s="285"/>
      <c r="BH10" s="286"/>
      <c r="BI10" s="130"/>
      <c r="BJ10" s="287"/>
      <c r="BK10" s="286"/>
      <c r="BL10" s="130"/>
      <c r="BM10" s="287"/>
      <c r="BN10" s="286"/>
      <c r="BO10" s="130"/>
      <c r="BP10" s="287"/>
      <c r="BQ10" s="286"/>
      <c r="BR10" s="130"/>
      <c r="BS10" s="287"/>
      <c r="BT10" s="286"/>
      <c r="BU10" s="130"/>
      <c r="BV10" s="130"/>
      <c r="BW10" s="130"/>
      <c r="BX10" s="130"/>
      <c r="BY10" s="329"/>
      <c r="BZ10" s="392"/>
      <c r="CA10" s="392"/>
      <c r="CB10" s="392"/>
      <c r="CC10" s="392"/>
      <c r="CD10" s="392"/>
      <c r="CE10" s="392"/>
      <c r="CF10" s="392"/>
      <c r="CG10" s="392"/>
      <c r="CH10" s="392"/>
      <c r="CI10" s="392"/>
      <c r="CJ10" s="392"/>
      <c r="CK10" s="392"/>
      <c r="CL10" s="392"/>
      <c r="CM10" s="392"/>
      <c r="CN10" s="392"/>
    </row>
    <row r="11" spans="1:151" s="327" customFormat="1">
      <c r="A11" s="392"/>
      <c r="B11" s="261" t="s">
        <v>445</v>
      </c>
      <c r="C11" s="237" t="s">
        <v>472</v>
      </c>
      <c r="D11" s="397" t="s">
        <v>24</v>
      </c>
      <c r="E11" s="401"/>
      <c r="F11" s="127" t="str">
        <f>+D11</f>
        <v>Fouille en tranchée et trou pour fondations</v>
      </c>
      <c r="G11" s="17" t="s">
        <v>105</v>
      </c>
      <c r="H11" s="365">
        <f t="shared" ref="H11:Q11" si="0">+T11</f>
        <v>0</v>
      </c>
      <c r="I11" s="365">
        <f t="shared" si="0"/>
        <v>0</v>
      </c>
      <c r="J11" s="365">
        <f t="shared" si="0"/>
        <v>0</v>
      </c>
      <c r="K11" s="365">
        <f t="shared" si="0"/>
        <v>0</v>
      </c>
      <c r="L11" s="365">
        <f t="shared" si="0"/>
        <v>0</v>
      </c>
      <c r="M11" s="365">
        <f t="shared" si="0"/>
        <v>0</v>
      </c>
      <c r="N11" s="365">
        <f t="shared" si="0"/>
        <v>0</v>
      </c>
      <c r="O11" s="365">
        <f t="shared" si="0"/>
        <v>0</v>
      </c>
      <c r="P11" s="365">
        <f t="shared" si="0"/>
        <v>0</v>
      </c>
      <c r="Q11" s="365">
        <f t="shared" si="0"/>
        <v>0</v>
      </c>
      <c r="R11" s="365"/>
      <c r="S11" s="418">
        <f>SUM(T11:AC11)</f>
        <v>0</v>
      </c>
      <c r="T11" s="365">
        <f t="shared" ref="T11:AC11" si="1">ROUND(AF11,ARRONDI_QT)</f>
        <v>0</v>
      </c>
      <c r="U11" s="365">
        <f t="shared" si="1"/>
        <v>0</v>
      </c>
      <c r="V11" s="365">
        <f t="shared" si="1"/>
        <v>0</v>
      </c>
      <c r="W11" s="365">
        <f t="shared" si="1"/>
        <v>0</v>
      </c>
      <c r="X11" s="365">
        <f t="shared" si="1"/>
        <v>0</v>
      </c>
      <c r="Y11" s="365">
        <f t="shared" si="1"/>
        <v>0</v>
      </c>
      <c r="Z11" s="365">
        <f t="shared" si="1"/>
        <v>0</v>
      </c>
      <c r="AA11" s="365">
        <f t="shared" si="1"/>
        <v>0</v>
      </c>
      <c r="AB11" s="365">
        <f t="shared" si="1"/>
        <v>0</v>
      </c>
      <c r="AC11" s="365">
        <f t="shared" si="1"/>
        <v>0</v>
      </c>
      <c r="AD11" s="365"/>
      <c r="AE11" s="112">
        <f>ROUND(SUM(AF11:AO11),ARRONDI_QT)</f>
        <v>0</v>
      </c>
      <c r="AF11" s="366">
        <v>0</v>
      </c>
      <c r="AG11" s="366">
        <v>0</v>
      </c>
      <c r="AH11" s="366">
        <v>0</v>
      </c>
      <c r="AI11" s="366">
        <v>0</v>
      </c>
      <c r="AJ11" s="366">
        <v>0</v>
      </c>
      <c r="AK11" s="366">
        <v>0</v>
      </c>
      <c r="AL11" s="366">
        <v>0</v>
      </c>
      <c r="AM11" s="366">
        <v>0</v>
      </c>
      <c r="AN11" s="366">
        <v>0</v>
      </c>
      <c r="AO11" s="366">
        <v>0</v>
      </c>
      <c r="AP11" s="365"/>
      <c r="AQ11" s="439">
        <f>SUM(H11:Q11)</f>
        <v>0</v>
      </c>
      <c r="AR11" s="439">
        <f>ROUND(AU11+BV11,ARRONDI_PU)</f>
        <v>0</v>
      </c>
      <c r="AS11" s="440">
        <f>+AR11*AQ11</f>
        <v>0</v>
      </c>
      <c r="AT11" s="255"/>
      <c r="AU11" s="130">
        <f>+AX11+BB11+BE11+BH11+BK11+BN11+BQ11+BT11</f>
        <v>0</v>
      </c>
      <c r="AV11" s="285">
        <f>+COEF_MO_INSTALL</f>
        <v>1.3</v>
      </c>
      <c r="AW11" s="286">
        <v>0</v>
      </c>
      <c r="AX11" s="130">
        <f>+AW11*TH_INSTALL</f>
        <v>0</v>
      </c>
      <c r="AY11" s="130">
        <f>+AW11*AE11</f>
        <v>0</v>
      </c>
      <c r="AZ11" s="130">
        <f>IF(AQ11&gt;0,(AX11*AE11),0)</f>
        <v>0</v>
      </c>
      <c r="BA11" s="285">
        <f>+COEF_FOUR1_INSTALL</f>
        <v>1.3</v>
      </c>
      <c r="BB11" s="286">
        <v>0</v>
      </c>
      <c r="BC11" s="130">
        <f>IF(AQ11&gt;0,(BB11*AE11),0)</f>
        <v>0</v>
      </c>
      <c r="BD11" s="285">
        <f>+COEF_FOUR2_INSTALL</f>
        <v>1.3</v>
      </c>
      <c r="BE11" s="286">
        <v>0</v>
      </c>
      <c r="BF11" s="130">
        <f>IF(AQ11&gt;0,(BE11*AE11),0)</f>
        <v>0</v>
      </c>
      <c r="BG11" s="285">
        <f>+COEF_FOUR3_INSTALL</f>
        <v>1.3</v>
      </c>
      <c r="BH11" s="286">
        <v>0</v>
      </c>
      <c r="BI11" s="130">
        <f>IF(AQ11&gt;0,(BH11*AE11),0)</f>
        <v>0</v>
      </c>
      <c r="BJ11" s="287">
        <f>+COEF_MTLLOC_INSTALL</f>
        <v>1.1499999999999999</v>
      </c>
      <c r="BK11" s="286">
        <v>0</v>
      </c>
      <c r="BL11" s="130">
        <f>IF(AQ11&gt;0,(BK11*AE11),0)</f>
        <v>0</v>
      </c>
      <c r="BM11" s="287">
        <f>+COEF_MTLAMR_INSTALL</f>
        <v>1.3</v>
      </c>
      <c r="BN11" s="286">
        <v>0</v>
      </c>
      <c r="BO11" s="130">
        <f>IF(AQ11&gt;0,(BN11*AE11),0)</f>
        <v>0</v>
      </c>
      <c r="BP11" s="287">
        <f>+COEF_ST1_INSTALL</f>
        <v>1.1100000000000001</v>
      </c>
      <c r="BQ11" s="286">
        <v>0</v>
      </c>
      <c r="BR11" s="130">
        <f>IF(AQ11&gt;0,(BQ11*AE11),0)</f>
        <v>0</v>
      </c>
      <c r="BS11" s="287">
        <f>+COEF_ST2_INSTALL</f>
        <v>1.1100000000000001</v>
      </c>
      <c r="BT11" s="286">
        <v>0</v>
      </c>
      <c r="BU11" s="130">
        <f>IF(AQ11&gt;0,(BT11*AE11),0)</f>
        <v>0</v>
      </c>
      <c r="BV11" s="130">
        <f>+(((AX11)*AV11)+(BB11*BA11)+(BE11*BD11)+(BH11*BG11)+(BK11*BJ11)+(BN11*BM11)+(BQ11*BP11)+(BT11*BS11)+(BT11*BS11))-(AU11)</f>
        <v>0</v>
      </c>
      <c r="BW11" s="130">
        <f>+BV11*AE11</f>
        <v>0</v>
      </c>
      <c r="BX11" s="130">
        <f>AS11-(BW11+BU11+BR11+BO11+BL11+BI11+BF11+BC11+AZ11)</f>
        <v>0</v>
      </c>
      <c r="BY11" s="329"/>
      <c r="BZ11" s="443"/>
      <c r="CA11" s="443"/>
      <c r="CB11" s="443"/>
      <c r="CC11" s="443"/>
      <c r="CD11" s="443"/>
      <c r="CE11" s="443"/>
      <c r="CF11" s="443"/>
      <c r="CG11" s="443"/>
      <c r="CH11" s="443"/>
      <c r="CI11" s="443"/>
      <c r="CJ11" s="443"/>
      <c r="CK11" s="443"/>
      <c r="CL11" s="392"/>
      <c r="CM11" s="392"/>
      <c r="CN11" s="392"/>
    </row>
    <row r="12" spans="1:151" s="327" customFormat="1">
      <c r="A12" s="392"/>
      <c r="B12" s="261"/>
      <c r="C12" s="237"/>
      <c r="D12" s="397"/>
      <c r="E12" s="401"/>
      <c r="F12" s="127"/>
      <c r="G12" s="17"/>
      <c r="H12" s="365"/>
      <c r="I12" s="365"/>
      <c r="J12" s="365"/>
      <c r="K12" s="365"/>
      <c r="L12" s="365"/>
      <c r="M12" s="365"/>
      <c r="N12" s="365"/>
      <c r="O12" s="365"/>
      <c r="P12" s="365"/>
      <c r="Q12" s="365"/>
      <c r="R12" s="365"/>
      <c r="S12" s="418"/>
      <c r="T12" s="365"/>
      <c r="U12" s="365"/>
      <c r="V12" s="365"/>
      <c r="W12" s="365"/>
      <c r="X12" s="365"/>
      <c r="Y12" s="365"/>
      <c r="Z12" s="365"/>
      <c r="AA12" s="365"/>
      <c r="AB12" s="365"/>
      <c r="AC12" s="365"/>
      <c r="AD12" s="365"/>
      <c r="AE12" s="112"/>
      <c r="AF12" s="366"/>
      <c r="AG12" s="366"/>
      <c r="AH12" s="366"/>
      <c r="AI12" s="366"/>
      <c r="AJ12" s="366"/>
      <c r="AK12" s="366"/>
      <c r="AL12" s="366"/>
      <c r="AM12" s="366"/>
      <c r="AN12" s="366"/>
      <c r="AO12" s="366"/>
      <c r="AP12" s="365"/>
      <c r="AQ12" s="112"/>
      <c r="AR12" s="112"/>
      <c r="AS12" s="113"/>
      <c r="AT12" s="255"/>
      <c r="AU12" s="228"/>
      <c r="AV12" s="285"/>
      <c r="AW12" s="286"/>
      <c r="AX12" s="130"/>
      <c r="AY12" s="130"/>
      <c r="AZ12" s="130"/>
      <c r="BA12" s="285"/>
      <c r="BB12" s="286"/>
      <c r="BC12" s="130"/>
      <c r="BD12" s="285"/>
      <c r="BE12" s="286"/>
      <c r="BF12" s="130"/>
      <c r="BG12" s="285"/>
      <c r="BH12" s="286"/>
      <c r="BI12" s="130"/>
      <c r="BJ12" s="287"/>
      <c r="BK12" s="286"/>
      <c r="BL12" s="130"/>
      <c r="BM12" s="287"/>
      <c r="BN12" s="286"/>
      <c r="BO12" s="130"/>
      <c r="BP12" s="287"/>
      <c r="BQ12" s="286"/>
      <c r="BR12" s="130"/>
      <c r="BS12" s="287"/>
      <c r="BT12" s="286"/>
      <c r="BU12" s="130"/>
      <c r="BV12" s="130"/>
      <c r="BW12" s="130"/>
      <c r="BX12" s="130"/>
      <c r="BY12" s="329"/>
      <c r="BZ12" s="392"/>
      <c r="CA12" s="392"/>
      <c r="CB12" s="392"/>
      <c r="CC12" s="392"/>
      <c r="CD12" s="392"/>
      <c r="CE12" s="392"/>
      <c r="CF12" s="392"/>
      <c r="CG12" s="392"/>
      <c r="CH12" s="392"/>
      <c r="CI12" s="392"/>
      <c r="CJ12" s="392"/>
      <c r="CK12" s="392"/>
      <c r="CL12" s="392"/>
      <c r="CM12" s="392"/>
      <c r="CN12" s="392"/>
    </row>
    <row r="13" spans="1:151" s="392" customFormat="1">
      <c r="B13" s="261"/>
      <c r="C13" s="237"/>
      <c r="D13" s="397"/>
      <c r="E13" s="401"/>
      <c r="F13" s="127"/>
      <c r="G13" s="17"/>
      <c r="H13" s="365"/>
      <c r="I13" s="365"/>
      <c r="J13" s="365"/>
      <c r="K13" s="365"/>
      <c r="L13" s="365"/>
      <c r="M13" s="365"/>
      <c r="N13" s="365"/>
      <c r="O13" s="365"/>
      <c r="P13" s="365"/>
      <c r="Q13" s="365"/>
      <c r="R13" s="365"/>
      <c r="S13" s="418"/>
      <c r="T13" s="365"/>
      <c r="U13" s="365"/>
      <c r="V13" s="365"/>
      <c r="W13" s="365"/>
      <c r="X13" s="365"/>
      <c r="Y13" s="365"/>
      <c r="Z13" s="365"/>
      <c r="AA13" s="365"/>
      <c r="AB13" s="365"/>
      <c r="AC13" s="365"/>
      <c r="AD13" s="365"/>
      <c r="AE13" s="112"/>
      <c r="AF13" s="366"/>
      <c r="AG13" s="366"/>
      <c r="AH13" s="366"/>
      <c r="AI13" s="366"/>
      <c r="AJ13" s="366"/>
      <c r="AK13" s="366"/>
      <c r="AL13" s="366"/>
      <c r="AM13" s="366"/>
      <c r="AN13" s="366"/>
      <c r="AO13" s="366"/>
      <c r="AP13" s="365"/>
      <c r="AQ13" s="116" t="s">
        <v>401</v>
      </c>
      <c r="AR13" s="116" t="str">
        <f>+AQ13</f>
        <v>Compris</v>
      </c>
      <c r="AS13" s="117" t="str">
        <f>+AR13</f>
        <v>Compris</v>
      </c>
      <c r="AT13" s="255"/>
      <c r="AU13" s="228"/>
      <c r="AV13" s="285"/>
      <c r="AW13" s="286"/>
      <c r="AX13" s="130"/>
      <c r="AY13" s="130"/>
      <c r="AZ13" s="130"/>
      <c r="BA13" s="285"/>
      <c r="BB13" s="286"/>
      <c r="BC13" s="130"/>
      <c r="BD13" s="285"/>
      <c r="BE13" s="286"/>
      <c r="BF13" s="130"/>
      <c r="BG13" s="285"/>
      <c r="BH13" s="286"/>
      <c r="BI13" s="130"/>
      <c r="BJ13" s="287"/>
      <c r="BK13" s="286"/>
      <c r="BL13" s="130"/>
      <c r="BM13" s="287"/>
      <c r="BN13" s="286"/>
      <c r="BO13" s="130"/>
      <c r="BP13" s="287"/>
      <c r="BQ13" s="286"/>
      <c r="BR13" s="130"/>
      <c r="BS13" s="287"/>
      <c r="BT13" s="286"/>
      <c r="BU13" s="130"/>
      <c r="BV13" s="130"/>
      <c r="BW13" s="130"/>
      <c r="BX13" s="130"/>
      <c r="BY13" s="329"/>
    </row>
    <row r="14" spans="1:151" s="392" customFormat="1">
      <c r="B14" s="261"/>
      <c r="C14" s="237"/>
      <c r="D14" s="397"/>
      <c r="E14" s="401"/>
      <c r="F14" s="127"/>
      <c r="G14" s="17"/>
      <c r="H14" s="365"/>
      <c r="I14" s="365"/>
      <c r="J14" s="365"/>
      <c r="K14" s="365"/>
      <c r="L14" s="365"/>
      <c r="M14" s="365"/>
      <c r="N14" s="365"/>
      <c r="O14" s="365"/>
      <c r="P14" s="365"/>
      <c r="Q14" s="365"/>
      <c r="R14" s="365"/>
      <c r="S14" s="418"/>
      <c r="T14" s="365"/>
      <c r="U14" s="365"/>
      <c r="V14" s="365"/>
      <c r="W14" s="365"/>
      <c r="X14" s="365"/>
      <c r="Y14" s="365"/>
      <c r="Z14" s="365"/>
      <c r="AA14" s="365"/>
      <c r="AB14" s="365"/>
      <c r="AC14" s="365"/>
      <c r="AD14" s="365"/>
      <c r="AE14" s="112"/>
      <c r="AF14" s="366"/>
      <c r="AG14" s="366"/>
      <c r="AH14" s="366"/>
      <c r="AI14" s="366"/>
      <c r="AJ14" s="366"/>
      <c r="AK14" s="366"/>
      <c r="AL14" s="366"/>
      <c r="AM14" s="366"/>
      <c r="AN14" s="366"/>
      <c r="AO14" s="366"/>
      <c r="AP14" s="365"/>
      <c r="AQ14" s="112"/>
      <c r="AR14" s="112"/>
      <c r="AS14" s="113"/>
      <c r="AT14" s="255"/>
      <c r="AU14" s="228"/>
      <c r="AV14" s="285"/>
      <c r="AW14" s="286"/>
      <c r="AX14" s="130"/>
      <c r="AY14" s="130"/>
      <c r="AZ14" s="130"/>
      <c r="BA14" s="285"/>
      <c r="BB14" s="286"/>
      <c r="BC14" s="130"/>
      <c r="BD14" s="285"/>
      <c r="BE14" s="286"/>
      <c r="BF14" s="130"/>
      <c r="BG14" s="285"/>
      <c r="BH14" s="286"/>
      <c r="BI14" s="130"/>
      <c r="BJ14" s="287"/>
      <c r="BK14" s="286"/>
      <c r="BL14" s="130"/>
      <c r="BM14" s="287"/>
      <c r="BN14" s="286"/>
      <c r="BO14" s="130"/>
      <c r="BP14" s="287"/>
      <c r="BQ14" s="286"/>
      <c r="BR14" s="130"/>
      <c r="BS14" s="287"/>
      <c r="BT14" s="286"/>
      <c r="BU14" s="130"/>
      <c r="BV14" s="130"/>
      <c r="BW14" s="130"/>
      <c r="BX14" s="130"/>
      <c r="BY14" s="329"/>
    </row>
    <row r="15" spans="1:151" s="392" customFormat="1">
      <c r="E15" s="241"/>
      <c r="F15" s="241"/>
      <c r="G15" s="241"/>
      <c r="H15" s="241"/>
      <c r="I15" s="241"/>
      <c r="J15" s="241"/>
      <c r="K15" s="241"/>
      <c r="L15" s="241"/>
      <c r="M15" s="241"/>
      <c r="N15" s="241"/>
    </row>
    <row r="16" spans="1:151" s="392" customFormat="1">
      <c r="E16" s="241"/>
      <c r="F16" s="241"/>
      <c r="G16" s="241"/>
      <c r="H16" s="241"/>
      <c r="I16" s="241"/>
      <c r="J16" s="241"/>
      <c r="K16" s="241"/>
      <c r="L16" s="241"/>
      <c r="M16" s="241"/>
      <c r="N16" s="241"/>
    </row>
    <row r="17" spans="5:14" s="392" customFormat="1">
      <c r="E17" s="241"/>
      <c r="F17" s="241"/>
      <c r="G17" s="241"/>
      <c r="H17" s="241"/>
      <c r="I17" s="241"/>
      <c r="J17" s="241"/>
      <c r="K17" s="241"/>
      <c r="L17" s="241"/>
      <c r="M17" s="241"/>
      <c r="N17" s="241"/>
    </row>
    <row r="18" spans="5:14" s="392" customFormat="1">
      <c r="E18" s="241"/>
      <c r="F18" s="241"/>
      <c r="G18" s="241"/>
      <c r="H18" s="241"/>
      <c r="I18" s="241"/>
      <c r="J18" s="241"/>
      <c r="K18" s="241"/>
      <c r="L18" s="241"/>
      <c r="M18" s="241"/>
      <c r="N18" s="241"/>
    </row>
    <row r="19" spans="5:14" s="392" customFormat="1">
      <c r="E19" s="241"/>
      <c r="F19" s="241"/>
      <c r="G19" s="241"/>
      <c r="H19" s="241"/>
      <c r="I19" s="241"/>
      <c r="J19" s="241"/>
      <c r="K19" s="241"/>
      <c r="L19" s="241"/>
      <c r="M19" s="241"/>
      <c r="N19" s="241"/>
    </row>
    <row r="20" spans="5:14" s="392" customFormat="1">
      <c r="E20" s="241"/>
      <c r="F20" s="241"/>
      <c r="G20" s="241"/>
      <c r="H20" s="241"/>
      <c r="I20" s="241"/>
      <c r="J20" s="241"/>
      <c r="K20" s="241"/>
      <c r="L20" s="241"/>
      <c r="M20" s="241"/>
      <c r="N20" s="241"/>
    </row>
    <row r="21" spans="5:14" s="392" customFormat="1">
      <c r="E21" s="241"/>
      <c r="F21" s="241"/>
      <c r="G21" s="241"/>
      <c r="H21" s="241"/>
      <c r="I21" s="241"/>
      <c r="J21" s="241"/>
      <c r="K21" s="241"/>
      <c r="L21" s="241"/>
      <c r="M21" s="241"/>
      <c r="N21" s="241"/>
    </row>
    <row r="22" spans="5:14" s="392" customFormat="1">
      <c r="E22" s="241"/>
      <c r="F22" s="241"/>
      <c r="G22" s="241"/>
      <c r="H22" s="241"/>
      <c r="I22" s="241"/>
      <c r="J22" s="241"/>
      <c r="K22" s="241"/>
      <c r="L22" s="241"/>
      <c r="M22" s="241"/>
      <c r="N22" s="241"/>
    </row>
    <row r="23" spans="5:14" s="392" customFormat="1">
      <c r="E23" s="241"/>
      <c r="F23" s="241"/>
      <c r="G23" s="241"/>
      <c r="H23" s="241"/>
      <c r="I23" s="241"/>
      <c r="J23" s="241"/>
      <c r="K23" s="241"/>
      <c r="L23" s="241"/>
      <c r="M23" s="241"/>
      <c r="N23" s="241"/>
    </row>
    <row r="24" spans="5:14" s="392" customFormat="1">
      <c r="E24" s="241"/>
      <c r="F24" s="241"/>
      <c r="G24" s="241"/>
      <c r="H24" s="241"/>
      <c r="I24" s="241"/>
      <c r="J24" s="241"/>
      <c r="K24" s="241"/>
      <c r="L24" s="241"/>
      <c r="M24" s="241"/>
      <c r="N24" s="241"/>
    </row>
    <row r="25" spans="5:14" s="392" customFormat="1">
      <c r="E25" s="241"/>
      <c r="F25" s="241"/>
      <c r="G25" s="241"/>
      <c r="H25" s="241"/>
      <c r="I25" s="241"/>
      <c r="J25" s="241"/>
      <c r="K25" s="241"/>
      <c r="L25" s="241"/>
      <c r="M25" s="241"/>
      <c r="N25" s="241"/>
    </row>
    <row r="26" spans="5:14" s="392" customFormat="1">
      <c r="E26" s="241"/>
      <c r="F26" s="241"/>
      <c r="G26" s="241"/>
      <c r="H26" s="241"/>
      <c r="I26" s="241"/>
      <c r="J26" s="241"/>
      <c r="K26" s="241"/>
      <c r="L26" s="241"/>
      <c r="M26" s="241"/>
      <c r="N26" s="241"/>
    </row>
    <row r="27" spans="5:14" s="392" customFormat="1">
      <c r="E27" s="241"/>
      <c r="F27" s="241"/>
      <c r="G27" s="241"/>
      <c r="H27" s="241"/>
      <c r="I27" s="241"/>
      <c r="J27" s="241"/>
      <c r="K27" s="241"/>
      <c r="L27" s="241"/>
      <c r="M27" s="241"/>
      <c r="N27" s="241"/>
    </row>
    <row r="28" spans="5:14" s="392" customFormat="1">
      <c r="E28" s="241"/>
      <c r="F28" s="241"/>
      <c r="G28" s="241"/>
      <c r="H28" s="241"/>
      <c r="I28" s="241"/>
      <c r="J28" s="241"/>
      <c r="K28" s="241"/>
      <c r="L28" s="241"/>
      <c r="M28" s="241"/>
      <c r="N28" s="241"/>
    </row>
    <row r="29" spans="5:14" s="392" customFormat="1">
      <c r="E29" s="241"/>
      <c r="F29" s="241"/>
      <c r="G29" s="241"/>
      <c r="H29" s="241"/>
      <c r="I29" s="241"/>
      <c r="J29" s="241"/>
      <c r="K29" s="241"/>
      <c r="L29" s="241"/>
      <c r="M29" s="241"/>
      <c r="N29" s="241"/>
    </row>
    <row r="30" spans="5:14" s="392" customFormat="1">
      <c r="E30" s="241"/>
      <c r="F30" s="241"/>
      <c r="G30" s="241"/>
      <c r="H30" s="241"/>
      <c r="I30" s="241"/>
      <c r="J30" s="241"/>
      <c r="K30" s="241"/>
      <c r="L30" s="241"/>
      <c r="M30" s="241"/>
      <c r="N30" s="241"/>
    </row>
    <row r="31" spans="5:14" s="392" customFormat="1">
      <c r="E31" s="241"/>
      <c r="F31" s="241"/>
      <c r="G31" s="241"/>
      <c r="H31" s="241"/>
      <c r="I31" s="241"/>
      <c r="J31" s="241"/>
      <c r="K31" s="241"/>
      <c r="L31" s="241"/>
      <c r="M31" s="241"/>
      <c r="N31" s="241"/>
    </row>
    <row r="32" spans="5:14" s="392" customFormat="1">
      <c r="E32" s="241"/>
      <c r="F32" s="241"/>
      <c r="G32" s="241"/>
      <c r="H32" s="241"/>
      <c r="I32" s="241"/>
      <c r="J32" s="241"/>
      <c r="K32" s="241"/>
      <c r="L32" s="241"/>
      <c r="M32" s="241"/>
      <c r="N32" s="241"/>
    </row>
    <row r="33" spans="5:14" s="392" customFormat="1">
      <c r="E33" s="241"/>
      <c r="F33" s="241"/>
      <c r="G33" s="241"/>
      <c r="H33" s="241"/>
      <c r="I33" s="241"/>
      <c r="J33" s="241"/>
      <c r="K33" s="241"/>
      <c r="L33" s="241"/>
      <c r="M33" s="241"/>
      <c r="N33" s="241"/>
    </row>
    <row r="34" spans="5:14" s="392" customFormat="1">
      <c r="E34" s="241"/>
      <c r="F34" s="241"/>
      <c r="G34" s="241"/>
      <c r="H34" s="241"/>
      <c r="I34" s="241"/>
      <c r="J34" s="241"/>
      <c r="K34" s="241"/>
      <c r="L34" s="241"/>
      <c r="M34" s="241"/>
      <c r="N34" s="241"/>
    </row>
    <row r="35" spans="5:14" s="392" customFormat="1">
      <c r="E35" s="241"/>
      <c r="F35" s="241"/>
      <c r="G35" s="241"/>
      <c r="H35" s="241"/>
      <c r="I35" s="241"/>
      <c r="J35" s="241"/>
      <c r="K35" s="241"/>
      <c r="L35" s="241"/>
      <c r="M35" s="241"/>
      <c r="N35" s="241"/>
    </row>
    <row r="36" spans="5:14" s="392" customFormat="1">
      <c r="E36" s="241"/>
      <c r="F36" s="241"/>
      <c r="G36" s="241"/>
      <c r="H36" s="241"/>
      <c r="I36" s="241"/>
      <c r="J36" s="241"/>
      <c r="K36" s="241"/>
      <c r="L36" s="241"/>
      <c r="M36" s="241"/>
      <c r="N36" s="241"/>
    </row>
    <row r="37" spans="5:14" s="392" customFormat="1">
      <c r="E37" s="241"/>
      <c r="F37" s="241"/>
      <c r="G37" s="241"/>
      <c r="H37" s="241"/>
      <c r="I37" s="241"/>
      <c r="J37" s="241"/>
      <c r="K37" s="241"/>
      <c r="L37" s="241"/>
      <c r="M37" s="241"/>
      <c r="N37" s="241"/>
    </row>
    <row r="38" spans="5:14" s="392" customFormat="1">
      <c r="E38" s="241"/>
      <c r="F38" s="241"/>
      <c r="G38" s="241"/>
      <c r="H38" s="241"/>
      <c r="I38" s="241"/>
      <c r="J38" s="241"/>
      <c r="K38" s="241"/>
      <c r="L38" s="241"/>
      <c r="M38" s="241"/>
      <c r="N38" s="241"/>
    </row>
    <row r="39" spans="5:14" s="392" customFormat="1">
      <c r="E39" s="241"/>
      <c r="F39" s="241"/>
      <c r="G39" s="241"/>
      <c r="H39" s="241"/>
      <c r="I39" s="241"/>
      <c r="J39" s="241"/>
      <c r="K39" s="241"/>
      <c r="L39" s="241"/>
      <c r="M39" s="241"/>
      <c r="N39" s="241"/>
    </row>
    <row r="40" spans="5:14" s="392" customFormat="1">
      <c r="E40" s="241"/>
      <c r="F40" s="241"/>
      <c r="G40" s="241"/>
      <c r="H40" s="241"/>
      <c r="I40" s="241"/>
      <c r="J40" s="241"/>
      <c r="K40" s="241"/>
      <c r="L40" s="241"/>
      <c r="M40" s="241"/>
      <c r="N40" s="241"/>
    </row>
    <row r="41" spans="5:14" s="392" customFormat="1">
      <c r="E41" s="241"/>
      <c r="F41" s="241"/>
      <c r="G41" s="241"/>
      <c r="H41" s="241"/>
      <c r="I41" s="241"/>
      <c r="J41" s="241"/>
      <c r="K41" s="241"/>
      <c r="L41" s="241"/>
      <c r="M41" s="241"/>
      <c r="N41" s="241"/>
    </row>
    <row r="42" spans="5:14" s="392" customFormat="1">
      <c r="E42" s="241"/>
      <c r="F42" s="241"/>
      <c r="G42" s="241"/>
      <c r="H42" s="241"/>
      <c r="I42" s="241"/>
      <c r="J42" s="241"/>
      <c r="K42" s="241"/>
      <c r="L42" s="241"/>
      <c r="M42" s="241"/>
      <c r="N42" s="241"/>
    </row>
    <row r="43" spans="5:14" s="392" customFormat="1">
      <c r="E43" s="241"/>
      <c r="F43" s="241"/>
      <c r="G43" s="241"/>
      <c r="H43" s="241"/>
      <c r="I43" s="241"/>
      <c r="J43" s="241"/>
      <c r="K43" s="241"/>
      <c r="L43" s="241"/>
      <c r="M43" s="241"/>
      <c r="N43" s="241"/>
    </row>
    <row r="44" spans="5:14" s="392" customFormat="1">
      <c r="E44" s="241"/>
      <c r="F44" s="241"/>
      <c r="G44" s="241"/>
      <c r="H44" s="241"/>
      <c r="I44" s="241"/>
      <c r="J44" s="241"/>
      <c r="K44" s="241"/>
      <c r="L44" s="241"/>
      <c r="M44" s="241"/>
      <c r="N44" s="241"/>
    </row>
    <row r="45" spans="5:14" s="392" customFormat="1">
      <c r="E45" s="241"/>
      <c r="F45" s="241"/>
      <c r="G45" s="241"/>
      <c r="H45" s="241"/>
      <c r="I45" s="241"/>
      <c r="J45" s="241"/>
      <c r="K45" s="241"/>
      <c r="L45" s="241"/>
      <c r="M45" s="241"/>
      <c r="N45" s="241"/>
    </row>
    <row r="46" spans="5:14" s="392" customFormat="1">
      <c r="E46" s="241"/>
      <c r="F46" s="241"/>
      <c r="G46" s="241"/>
      <c r="H46" s="241"/>
      <c r="I46" s="241"/>
      <c r="J46" s="241"/>
      <c r="K46" s="241"/>
      <c r="L46" s="241"/>
      <c r="M46" s="241"/>
      <c r="N46" s="241"/>
    </row>
    <row r="47" spans="5:14" s="392" customFormat="1">
      <c r="E47" s="241"/>
      <c r="F47" s="241"/>
      <c r="G47" s="241"/>
      <c r="H47" s="241"/>
      <c r="I47" s="241"/>
      <c r="J47" s="241"/>
      <c r="K47" s="241"/>
      <c r="L47" s="241"/>
      <c r="M47" s="241"/>
      <c r="N47" s="241"/>
    </row>
    <row r="48" spans="5:14" s="392" customFormat="1">
      <c r="E48" s="241"/>
      <c r="F48" s="241"/>
      <c r="G48" s="241"/>
      <c r="H48" s="241"/>
      <c r="I48" s="241"/>
      <c r="J48" s="241"/>
      <c r="K48" s="241"/>
      <c r="L48" s="241"/>
      <c r="M48" s="241"/>
      <c r="N48" s="241"/>
    </row>
    <row r="49" spans="5:14" s="392" customFormat="1">
      <c r="E49" s="241"/>
      <c r="F49" s="241"/>
      <c r="G49" s="241"/>
      <c r="H49" s="241"/>
      <c r="I49" s="241"/>
      <c r="J49" s="241"/>
      <c r="K49" s="241"/>
      <c r="L49" s="241"/>
      <c r="M49" s="241"/>
      <c r="N49" s="241"/>
    </row>
    <row r="50" spans="5:14" s="392" customFormat="1">
      <c r="E50" s="241"/>
      <c r="F50" s="241"/>
      <c r="G50" s="241"/>
      <c r="H50" s="241"/>
      <c r="I50" s="241"/>
      <c r="J50" s="241"/>
      <c r="K50" s="241"/>
      <c r="L50" s="241"/>
      <c r="M50" s="241"/>
      <c r="N50" s="241"/>
    </row>
    <row r="51" spans="5:14" s="392" customFormat="1">
      <c r="E51" s="241"/>
      <c r="F51" s="241"/>
      <c r="G51" s="241"/>
      <c r="H51" s="241"/>
      <c r="I51" s="241"/>
      <c r="J51" s="241"/>
      <c r="K51" s="241"/>
      <c r="L51" s="241"/>
      <c r="M51" s="241"/>
      <c r="N51" s="241"/>
    </row>
    <row r="52" spans="5:14" s="392" customFormat="1">
      <c r="E52" s="241"/>
      <c r="F52" s="241"/>
      <c r="G52" s="241"/>
      <c r="H52" s="241"/>
      <c r="I52" s="241"/>
      <c r="J52" s="241"/>
      <c r="K52" s="241"/>
      <c r="L52" s="241"/>
      <c r="M52" s="241"/>
      <c r="N52" s="241"/>
    </row>
    <row r="53" spans="5:14" s="392" customFormat="1">
      <c r="E53" s="241"/>
      <c r="F53" s="241"/>
      <c r="G53" s="241"/>
      <c r="H53" s="241"/>
      <c r="I53" s="241"/>
      <c r="J53" s="241"/>
      <c r="K53" s="241"/>
      <c r="L53" s="241"/>
      <c r="M53" s="241"/>
      <c r="N53" s="241"/>
    </row>
    <row r="54" spans="5:14" s="392" customFormat="1">
      <c r="E54" s="241"/>
      <c r="F54" s="241"/>
      <c r="G54" s="241"/>
      <c r="H54" s="241"/>
      <c r="I54" s="241"/>
      <c r="J54" s="241"/>
      <c r="K54" s="241"/>
      <c r="L54" s="241"/>
      <c r="M54" s="241"/>
      <c r="N54" s="241"/>
    </row>
    <row r="55" spans="5:14" s="392" customFormat="1">
      <c r="E55" s="241"/>
      <c r="F55" s="241"/>
      <c r="G55" s="241"/>
      <c r="H55" s="241"/>
      <c r="I55" s="241"/>
      <c r="J55" s="241"/>
      <c r="K55" s="241"/>
      <c r="L55" s="241"/>
      <c r="M55" s="241"/>
      <c r="N55" s="241"/>
    </row>
    <row r="56" spans="5:14" s="392" customFormat="1">
      <c r="E56" s="241"/>
      <c r="F56" s="241"/>
      <c r="G56" s="241"/>
      <c r="H56" s="241"/>
      <c r="I56" s="241"/>
      <c r="J56" s="241"/>
      <c r="K56" s="241"/>
      <c r="L56" s="241"/>
      <c r="M56" s="241"/>
      <c r="N56" s="241"/>
    </row>
    <row r="57" spans="5:14" s="392" customFormat="1">
      <c r="E57" s="241"/>
      <c r="F57" s="241"/>
      <c r="G57" s="241"/>
      <c r="H57" s="241"/>
      <c r="I57" s="241"/>
      <c r="J57" s="241"/>
      <c r="K57" s="241"/>
      <c r="L57" s="241"/>
      <c r="M57" s="241"/>
      <c r="N57" s="241"/>
    </row>
    <row r="58" spans="5:14" s="392" customFormat="1">
      <c r="E58" s="241"/>
      <c r="F58" s="241"/>
      <c r="G58" s="241"/>
      <c r="H58" s="241"/>
      <c r="I58" s="241"/>
      <c r="J58" s="241"/>
      <c r="K58" s="241"/>
      <c r="L58" s="241"/>
      <c r="M58" s="241"/>
      <c r="N58" s="241"/>
    </row>
    <row r="59" spans="5:14" s="392" customFormat="1">
      <c r="E59" s="241"/>
      <c r="F59" s="241"/>
      <c r="G59" s="241"/>
      <c r="H59" s="241"/>
      <c r="I59" s="241"/>
      <c r="J59" s="241"/>
      <c r="K59" s="241"/>
      <c r="L59" s="241"/>
      <c r="M59" s="241"/>
      <c r="N59" s="241"/>
    </row>
    <row r="60" spans="5:14" s="392" customFormat="1">
      <c r="E60" s="241"/>
      <c r="F60" s="241"/>
      <c r="G60" s="241"/>
      <c r="H60" s="241"/>
      <c r="I60" s="241"/>
      <c r="J60" s="241"/>
      <c r="K60" s="241"/>
      <c r="L60" s="241"/>
      <c r="M60" s="241"/>
      <c r="N60" s="241"/>
    </row>
    <row r="61" spans="5:14" s="392" customFormat="1">
      <c r="E61" s="241"/>
      <c r="F61" s="241"/>
      <c r="G61" s="241"/>
      <c r="H61" s="241"/>
      <c r="I61" s="241"/>
      <c r="J61" s="241"/>
      <c r="K61" s="241"/>
      <c r="L61" s="241"/>
      <c r="M61" s="241"/>
      <c r="N61" s="241"/>
    </row>
    <row r="62" spans="5:14" s="392" customFormat="1">
      <c r="E62" s="241"/>
      <c r="F62" s="241"/>
      <c r="G62" s="241"/>
      <c r="H62" s="241"/>
      <c r="I62" s="241"/>
      <c r="J62" s="241"/>
      <c r="K62" s="241"/>
      <c r="L62" s="241"/>
      <c r="M62" s="241"/>
      <c r="N62" s="241"/>
    </row>
    <row r="63" spans="5:14" s="392" customFormat="1">
      <c r="E63" s="241"/>
      <c r="F63" s="241"/>
      <c r="G63" s="241"/>
      <c r="H63" s="241"/>
      <c r="I63" s="241"/>
      <c r="J63" s="241"/>
      <c r="K63" s="241"/>
      <c r="L63" s="241"/>
      <c r="M63" s="241"/>
      <c r="N63" s="241"/>
    </row>
    <row r="64" spans="5:14" s="392" customFormat="1">
      <c r="E64" s="241"/>
      <c r="F64" s="241"/>
      <c r="G64" s="241"/>
      <c r="H64" s="241"/>
      <c r="I64" s="241"/>
      <c r="J64" s="241"/>
      <c r="K64" s="241"/>
      <c r="L64" s="241"/>
      <c r="M64" s="241"/>
      <c r="N64" s="241"/>
    </row>
    <row r="65" spans="5:14" s="392" customFormat="1">
      <c r="E65" s="241"/>
      <c r="F65" s="241"/>
      <c r="G65" s="241"/>
      <c r="H65" s="241"/>
      <c r="I65" s="241"/>
      <c r="J65" s="241"/>
      <c r="K65" s="241"/>
      <c r="L65" s="241"/>
      <c r="M65" s="241"/>
      <c r="N65" s="241"/>
    </row>
    <row r="66" spans="5:14" s="392" customFormat="1">
      <c r="E66" s="241"/>
      <c r="F66" s="241"/>
      <c r="G66" s="241"/>
      <c r="H66" s="241"/>
      <c r="I66" s="241"/>
      <c r="J66" s="241"/>
      <c r="K66" s="241"/>
      <c r="L66" s="241"/>
      <c r="M66" s="241"/>
      <c r="N66" s="241"/>
    </row>
    <row r="67" spans="5:14" s="392" customFormat="1">
      <c r="E67" s="241"/>
      <c r="F67" s="241"/>
      <c r="G67" s="241"/>
      <c r="H67" s="241"/>
      <c r="I67" s="241"/>
      <c r="J67" s="241"/>
      <c r="K67" s="241"/>
      <c r="L67" s="241"/>
      <c r="M67" s="241"/>
      <c r="N67" s="241"/>
    </row>
    <row r="68" spans="5:14" s="392" customFormat="1">
      <c r="E68" s="241"/>
      <c r="F68" s="241"/>
      <c r="G68" s="241"/>
      <c r="H68" s="241"/>
      <c r="I68" s="241"/>
      <c r="J68" s="241"/>
      <c r="K68" s="241"/>
      <c r="L68" s="241"/>
      <c r="M68" s="241"/>
      <c r="N68" s="241"/>
    </row>
    <row r="69" spans="5:14" s="392" customFormat="1">
      <c r="E69" s="241"/>
      <c r="F69" s="241"/>
      <c r="G69" s="241"/>
      <c r="H69" s="241"/>
      <c r="I69" s="241"/>
      <c r="J69" s="241"/>
      <c r="K69" s="241"/>
      <c r="L69" s="241"/>
      <c r="M69" s="241"/>
      <c r="N69" s="241"/>
    </row>
    <row r="70" spans="5:14" s="392" customFormat="1">
      <c r="E70" s="241"/>
      <c r="F70" s="241"/>
      <c r="G70" s="241"/>
      <c r="H70" s="241"/>
      <c r="I70" s="241"/>
      <c r="J70" s="241"/>
      <c r="K70" s="241"/>
      <c r="L70" s="241"/>
      <c r="M70" s="241"/>
      <c r="N70" s="241"/>
    </row>
    <row r="71" spans="5:14" s="392" customFormat="1">
      <c r="E71" s="241"/>
      <c r="F71" s="241"/>
      <c r="G71" s="241"/>
      <c r="H71" s="241"/>
      <c r="I71" s="241"/>
      <c r="J71" s="241"/>
      <c r="K71" s="241"/>
      <c r="L71" s="241"/>
      <c r="M71" s="241"/>
      <c r="N71" s="241"/>
    </row>
    <row r="72" spans="5:14" s="392" customFormat="1">
      <c r="E72" s="241"/>
      <c r="F72" s="241"/>
      <c r="G72" s="241"/>
      <c r="H72" s="241"/>
      <c r="I72" s="241"/>
      <c r="J72" s="241"/>
      <c r="K72" s="241"/>
      <c r="L72" s="241"/>
      <c r="M72" s="241"/>
      <c r="N72" s="241"/>
    </row>
    <row r="73" spans="5:14" s="392" customFormat="1">
      <c r="E73" s="241"/>
      <c r="F73" s="241"/>
      <c r="G73" s="241"/>
      <c r="H73" s="241"/>
      <c r="I73" s="241"/>
      <c r="J73" s="241"/>
      <c r="K73" s="241"/>
      <c r="L73" s="241"/>
      <c r="M73" s="241"/>
      <c r="N73" s="241"/>
    </row>
    <row r="74" spans="5:14" s="392" customFormat="1">
      <c r="E74" s="241"/>
      <c r="F74" s="241"/>
      <c r="G74" s="241"/>
      <c r="H74" s="241"/>
      <c r="I74" s="241"/>
      <c r="J74" s="241"/>
      <c r="K74" s="241"/>
      <c r="L74" s="241"/>
      <c r="M74" s="241"/>
      <c r="N74" s="241"/>
    </row>
    <row r="75" spans="5:14" s="392" customFormat="1">
      <c r="E75" s="241"/>
      <c r="F75" s="241"/>
      <c r="G75" s="241"/>
      <c r="H75" s="241"/>
      <c r="I75" s="241"/>
      <c r="J75" s="241"/>
      <c r="K75" s="241"/>
      <c r="L75" s="241"/>
      <c r="M75" s="241"/>
      <c r="N75" s="241"/>
    </row>
    <row r="76" spans="5:14" s="392" customFormat="1">
      <c r="E76" s="241"/>
      <c r="F76" s="241"/>
      <c r="G76" s="241"/>
      <c r="H76" s="241"/>
      <c r="I76" s="241"/>
      <c r="J76" s="241"/>
      <c r="K76" s="241"/>
      <c r="L76" s="241"/>
      <c r="M76" s="241"/>
      <c r="N76" s="241"/>
    </row>
    <row r="77" spans="5:14" s="392" customFormat="1">
      <c r="E77" s="241"/>
      <c r="F77" s="241"/>
      <c r="G77" s="241"/>
      <c r="H77" s="241"/>
      <c r="I77" s="241"/>
      <c r="J77" s="241"/>
      <c r="K77" s="241"/>
      <c r="L77" s="241"/>
      <c r="M77" s="241"/>
      <c r="N77" s="241"/>
    </row>
    <row r="78" spans="5:14" s="392" customFormat="1">
      <c r="E78" s="241"/>
      <c r="F78" s="241"/>
      <c r="G78" s="241"/>
      <c r="H78" s="241"/>
      <c r="I78" s="241"/>
      <c r="J78" s="241"/>
      <c r="K78" s="241"/>
      <c r="L78" s="241"/>
      <c r="M78" s="241"/>
      <c r="N78" s="241"/>
    </row>
    <row r="79" spans="5:14" s="392" customFormat="1">
      <c r="E79" s="241"/>
      <c r="F79" s="241"/>
      <c r="G79" s="241"/>
      <c r="H79" s="241"/>
      <c r="I79" s="241"/>
      <c r="J79" s="241"/>
      <c r="K79" s="241"/>
      <c r="L79" s="241"/>
      <c r="M79" s="241"/>
      <c r="N79" s="241"/>
    </row>
    <row r="80" spans="5:14" s="392" customFormat="1">
      <c r="E80" s="241"/>
      <c r="F80" s="241"/>
      <c r="G80" s="241"/>
      <c r="H80" s="241"/>
      <c r="I80" s="241"/>
      <c r="J80" s="241"/>
      <c r="K80" s="241"/>
      <c r="L80" s="241"/>
      <c r="M80" s="241"/>
      <c r="N80" s="241"/>
    </row>
    <row r="81" spans="5:14" s="392" customFormat="1">
      <c r="E81" s="241"/>
      <c r="F81" s="241"/>
      <c r="G81" s="241"/>
      <c r="H81" s="241"/>
      <c r="I81" s="241"/>
      <c r="J81" s="241"/>
      <c r="K81" s="241"/>
      <c r="L81" s="241"/>
      <c r="M81" s="241"/>
      <c r="N81" s="241"/>
    </row>
    <row r="82" spans="5:14" s="392" customFormat="1">
      <c r="E82" s="241"/>
      <c r="F82" s="241"/>
      <c r="G82" s="241"/>
      <c r="H82" s="241"/>
      <c r="I82" s="241"/>
      <c r="J82" s="241"/>
      <c r="K82" s="241"/>
      <c r="L82" s="241"/>
      <c r="M82" s="241"/>
      <c r="N82" s="241"/>
    </row>
    <row r="83" spans="5:14" s="392" customFormat="1">
      <c r="E83" s="241"/>
      <c r="F83" s="241"/>
      <c r="G83" s="241"/>
      <c r="H83" s="241"/>
      <c r="I83" s="241"/>
      <c r="J83" s="241"/>
      <c r="K83" s="241"/>
      <c r="L83" s="241"/>
      <c r="M83" s="241"/>
      <c r="N83" s="241"/>
    </row>
    <row r="84" spans="5:14" s="392" customFormat="1">
      <c r="E84" s="241"/>
      <c r="F84" s="241"/>
      <c r="G84" s="241"/>
      <c r="H84" s="241"/>
      <c r="I84" s="241"/>
      <c r="J84" s="241"/>
      <c r="K84" s="241"/>
      <c r="L84" s="241"/>
      <c r="M84" s="241"/>
      <c r="N84" s="241"/>
    </row>
    <row r="85" spans="5:14" s="392" customFormat="1">
      <c r="E85" s="241"/>
      <c r="F85" s="241"/>
      <c r="G85" s="241"/>
      <c r="H85" s="241"/>
      <c r="I85" s="241"/>
      <c r="J85" s="241"/>
      <c r="K85" s="241"/>
      <c r="L85" s="241"/>
      <c r="M85" s="241"/>
      <c r="N85" s="241"/>
    </row>
    <row r="86" spans="5:14" s="392" customFormat="1">
      <c r="E86" s="241"/>
      <c r="F86" s="241"/>
      <c r="G86" s="241"/>
      <c r="H86" s="241"/>
      <c r="I86" s="241"/>
      <c r="J86" s="241"/>
      <c r="K86" s="241"/>
      <c r="L86" s="241"/>
      <c r="M86" s="241"/>
      <c r="N86" s="241"/>
    </row>
    <row r="87" spans="5:14" s="392" customFormat="1">
      <c r="E87" s="241"/>
      <c r="F87" s="241"/>
      <c r="G87" s="241"/>
      <c r="H87" s="241"/>
      <c r="I87" s="241"/>
      <c r="J87" s="241"/>
      <c r="K87" s="241"/>
      <c r="L87" s="241"/>
      <c r="M87" s="241"/>
      <c r="N87" s="241"/>
    </row>
    <row r="88" spans="5:14" s="392" customFormat="1">
      <c r="E88" s="241"/>
      <c r="F88" s="241"/>
      <c r="G88" s="241"/>
      <c r="H88" s="241"/>
      <c r="I88" s="241"/>
      <c r="J88" s="241"/>
      <c r="K88" s="241"/>
      <c r="L88" s="241"/>
      <c r="M88" s="241"/>
      <c r="N88" s="241"/>
    </row>
    <row r="89" spans="5:14" s="392" customFormat="1">
      <c r="E89" s="241"/>
      <c r="F89" s="241"/>
      <c r="G89" s="241"/>
      <c r="H89" s="241"/>
      <c r="I89" s="241"/>
      <c r="J89" s="241"/>
      <c r="K89" s="241"/>
      <c r="L89" s="241"/>
      <c r="M89" s="241"/>
      <c r="N89" s="241"/>
    </row>
    <row r="90" spans="5:14" s="392" customFormat="1">
      <c r="E90" s="241"/>
      <c r="F90" s="241"/>
      <c r="G90" s="241"/>
      <c r="H90" s="241"/>
      <c r="I90" s="241"/>
      <c r="J90" s="241"/>
      <c r="K90" s="241"/>
      <c r="L90" s="241"/>
      <c r="M90" s="241"/>
      <c r="N90" s="241"/>
    </row>
    <row r="91" spans="5:14" s="392" customFormat="1">
      <c r="E91" s="241"/>
      <c r="F91" s="241"/>
      <c r="G91" s="241"/>
      <c r="H91" s="241"/>
      <c r="I91" s="241"/>
      <c r="J91" s="241"/>
      <c r="K91" s="241"/>
      <c r="L91" s="241"/>
      <c r="M91" s="241"/>
      <c r="N91" s="241"/>
    </row>
    <row r="92" spans="5:14" s="392" customFormat="1">
      <c r="E92" s="241"/>
      <c r="F92" s="241"/>
      <c r="G92" s="241"/>
      <c r="H92" s="241"/>
      <c r="I92" s="241"/>
      <c r="J92" s="241"/>
      <c r="K92" s="241"/>
      <c r="L92" s="241"/>
      <c r="M92" s="241"/>
      <c r="N92" s="241"/>
    </row>
    <row r="93" spans="5:14" s="392" customFormat="1">
      <c r="E93" s="241"/>
      <c r="F93" s="241"/>
      <c r="G93" s="241"/>
      <c r="H93" s="241"/>
      <c r="I93" s="241"/>
      <c r="J93" s="241"/>
      <c r="K93" s="241"/>
      <c r="L93" s="241"/>
      <c r="M93" s="241"/>
      <c r="N93" s="241"/>
    </row>
    <row r="94" spans="5:14" s="392" customFormat="1">
      <c r="E94" s="241"/>
      <c r="F94" s="241"/>
      <c r="G94" s="241"/>
      <c r="H94" s="241"/>
      <c r="I94" s="241"/>
      <c r="J94" s="241"/>
      <c r="K94" s="241"/>
      <c r="L94" s="241"/>
      <c r="M94" s="241"/>
      <c r="N94" s="241"/>
    </row>
    <row r="95" spans="5:14" s="392" customFormat="1">
      <c r="E95" s="241"/>
      <c r="F95" s="241"/>
      <c r="G95" s="241"/>
      <c r="H95" s="241"/>
      <c r="I95" s="241"/>
      <c r="J95" s="241"/>
      <c r="K95" s="241"/>
      <c r="L95" s="241"/>
      <c r="M95" s="241"/>
      <c r="N95" s="241"/>
    </row>
    <row r="96" spans="5:14" s="392" customFormat="1">
      <c r="E96" s="241"/>
      <c r="F96" s="241"/>
      <c r="G96" s="241"/>
      <c r="H96" s="241"/>
      <c r="I96" s="241"/>
      <c r="J96" s="241"/>
      <c r="K96" s="241"/>
      <c r="L96" s="241"/>
      <c r="M96" s="241"/>
      <c r="N96" s="241"/>
    </row>
    <row r="97" spans="3:17" s="392" customFormat="1">
      <c r="E97" s="241"/>
      <c r="F97" s="241"/>
      <c r="G97" s="241"/>
      <c r="H97" s="241"/>
      <c r="I97" s="241"/>
      <c r="J97" s="241"/>
      <c r="K97" s="241"/>
      <c r="L97" s="241"/>
      <c r="M97" s="241"/>
      <c r="N97" s="241"/>
    </row>
    <row r="98" spans="3:17" s="327" customFormat="1">
      <c r="E98" s="241"/>
      <c r="F98" s="241"/>
      <c r="G98" s="241"/>
      <c r="H98" s="241"/>
      <c r="I98" s="241"/>
      <c r="J98" s="241"/>
      <c r="K98" s="241"/>
      <c r="L98" s="241"/>
      <c r="M98" s="241"/>
      <c r="N98" s="241"/>
    </row>
    <row r="99" spans="3:17" s="327" customFormat="1">
      <c r="E99" s="241"/>
      <c r="F99" s="241"/>
      <c r="G99" s="241"/>
      <c r="H99" s="241"/>
      <c r="I99" s="241"/>
      <c r="J99" s="241"/>
      <c r="K99" s="241"/>
      <c r="L99" s="241"/>
      <c r="M99" s="241"/>
      <c r="N99" s="241"/>
    </row>
    <row r="100" spans="3:17" s="327" customFormat="1">
      <c r="C100" s="327" t="s">
        <v>330</v>
      </c>
      <c r="E100" s="241"/>
      <c r="F100" s="241"/>
      <c r="G100" s="241"/>
      <c r="H100" s="241"/>
      <c r="I100" s="241"/>
      <c r="J100" s="241"/>
      <c r="K100" s="241"/>
      <c r="L100" s="241"/>
      <c r="M100" s="241"/>
      <c r="N100" s="241"/>
      <c r="O100" s="116" t="s">
        <v>306</v>
      </c>
      <c r="P100" s="116" t="str">
        <f>+O100</f>
        <v>compris</v>
      </c>
      <c r="Q100" s="117" t="str">
        <f>+P100</f>
        <v>compris</v>
      </c>
    </row>
    <row r="101" spans="3:17" s="327" customFormat="1">
      <c r="C101" s="391" t="str">
        <f t="array" aca="1" ref="C101" ca="1">INDEX(BB_PRIX!B$5:B$86,SMALL(IF(BB_PRIX!B$5:B$86&lt;&gt;"",ROW(INDIRECT("1:"&amp;ROWS(BB_PRIX!B$5:B$86)))),ROWS($1:1)))</f>
        <v>CE_0_INSTALLATION_DE_CHANTIER</v>
      </c>
      <c r="E101" s="241"/>
      <c r="F101" s="241"/>
      <c r="G101" s="241"/>
      <c r="H101" s="241"/>
      <c r="I101" s="241"/>
      <c r="J101" s="241"/>
      <c r="K101" s="241"/>
      <c r="L101" s="241"/>
      <c r="M101" s="241"/>
      <c r="N101" s="241"/>
    </row>
    <row r="102" spans="3:17" s="327" customFormat="1">
      <c r="C102" s="391" t="str">
        <f t="array" aca="1" ref="C102" ca="1">INDEX(BB_PRIX!B$5:B$86,SMALL(IF(BB_PRIX!B$5:B$86&lt;&gt;"",ROW(INDIRECT("1:"&amp;ROWS(BB_PRIX!B$5:B$86)))),ROWS($1:2)))</f>
        <v>CE_1_TERRASSEMENTS_VCT</v>
      </c>
      <c r="E102" s="241"/>
      <c r="F102" s="241"/>
      <c r="G102" s="241"/>
      <c r="H102" s="241"/>
      <c r="I102" s="241"/>
      <c r="J102" s="241"/>
      <c r="K102" s="241"/>
      <c r="L102" s="241"/>
      <c r="M102" s="241"/>
      <c r="N102" s="241"/>
    </row>
    <row r="103" spans="3:17" s="327" customFormat="1">
      <c r="C103" s="391" t="str">
        <f t="array" aca="1" ref="C103" ca="1">INDEX(BB_PRIX!B$5:B$86,SMALL(IF(BB_PRIX!B$5:B$86&lt;&gt;"",ROW(INDIRECT("1:"&amp;ROWS(BB_PRIX!B$5:B$86)))),ROWS($1:3)))</f>
        <v>CE_2_GROS_ŒUVRE</v>
      </c>
      <c r="E103" s="241"/>
      <c r="F103" s="241"/>
      <c r="G103" s="241"/>
      <c r="H103" s="241"/>
      <c r="I103" s="241"/>
      <c r="J103" s="241"/>
      <c r="K103" s="241"/>
      <c r="L103" s="241"/>
      <c r="M103" s="241"/>
      <c r="N103" s="241"/>
    </row>
    <row r="104" spans="3:17" s="327" customFormat="1">
      <c r="C104" s="391" t="str">
        <f t="array" aca="1" ref="C104" ca="1">INDEX(BB_PRIX!B$5:B$86,SMALL(IF(BB_PRIX!B$5:B$86&lt;&gt;"",ROW(INDIRECT("1:"&amp;ROWS(BB_PRIX!B$5:B$86)))),ROWS($1:4)))</f>
        <v>CE_16_VRD</v>
      </c>
      <c r="E104" s="241"/>
      <c r="F104" s="241"/>
      <c r="G104" s="241"/>
      <c r="H104" s="241"/>
      <c r="I104" s="241"/>
      <c r="J104" s="241"/>
      <c r="K104" s="241"/>
      <c r="L104" s="241"/>
      <c r="M104" s="241"/>
      <c r="N104" s="241"/>
    </row>
    <row r="105" spans="3:17" s="327" customFormat="1">
      <c r="C105" s="391" t="e">
        <f t="array" aca="1" ref="C105" ca="1">INDEX(BB_PRIX!B$5:B$86,SMALL(IF(BB_PRIX!B$5:B$86&lt;&gt;"",ROW(INDIRECT("1:"&amp;ROWS(BB_PRIX!B$5:B$86)))),ROWS($1:5)))</f>
        <v>#NUM!</v>
      </c>
      <c r="E105" s="241"/>
      <c r="F105" s="241"/>
      <c r="G105" s="241"/>
      <c r="H105" s="241"/>
      <c r="I105" s="241"/>
      <c r="J105" s="241"/>
      <c r="K105" s="241"/>
      <c r="L105" s="241"/>
      <c r="M105" s="241"/>
      <c r="N105" s="241"/>
    </row>
    <row r="106" spans="3:17" s="327" customFormat="1">
      <c r="C106" s="391" t="e">
        <f t="array" aca="1" ref="C106" ca="1">INDEX(BB_PRIX!B$5:B$86,SMALL(IF(BB_PRIX!B$5:B$86&lt;&gt;"",ROW(INDIRECT("1:"&amp;ROWS(BB_PRIX!B$5:B$86)))),ROWS($1:6)))</f>
        <v>#NUM!</v>
      </c>
      <c r="E106" s="241"/>
      <c r="F106" s="241"/>
      <c r="G106" s="241"/>
      <c r="H106" s="241"/>
      <c r="I106" s="241"/>
      <c r="J106" s="241"/>
      <c r="K106" s="241"/>
      <c r="L106" s="241"/>
      <c r="M106" s="241"/>
      <c r="N106" s="241"/>
    </row>
    <row r="107" spans="3:17" s="327" customFormat="1">
      <c r="C107" s="391" t="e">
        <f t="array" aca="1" ref="C107" ca="1">INDEX(BB_PRIX!B$5:B$86,SMALL(IF(BB_PRIX!B$5:B$86&lt;&gt;"",ROW(INDIRECT("1:"&amp;ROWS(BB_PRIX!B$5:B$86)))),ROWS($1:7)))</f>
        <v>#NUM!</v>
      </c>
      <c r="E107" s="241"/>
      <c r="F107" s="241"/>
      <c r="G107" s="241"/>
      <c r="H107" s="241"/>
      <c r="I107" s="241"/>
      <c r="J107" s="241"/>
      <c r="K107" s="241"/>
      <c r="L107" s="241"/>
      <c r="M107" s="241"/>
      <c r="N107" s="241"/>
    </row>
    <row r="108" spans="3:17" s="327" customFormat="1">
      <c r="C108" s="391" t="e">
        <f t="array" aca="1" ref="C108" ca="1">INDEX(BB_PRIX!B$5:B$86,SMALL(IF(BB_PRIX!B$5:B$86&lt;&gt;"",ROW(INDIRECT("1:"&amp;ROWS(BB_PRIX!B$5:B$86)))),ROWS($1:8)))</f>
        <v>#NUM!</v>
      </c>
      <c r="E108" s="241"/>
      <c r="F108" s="241"/>
      <c r="G108" s="241"/>
      <c r="H108" s="241"/>
      <c r="I108" s="241"/>
      <c r="J108" s="241"/>
      <c r="K108" s="241"/>
      <c r="L108" s="241"/>
      <c r="M108" s="241"/>
      <c r="N108" s="241"/>
    </row>
    <row r="109" spans="3:17" s="327" customFormat="1">
      <c r="C109" s="391" t="e">
        <f t="array" aca="1" ref="C109" ca="1">INDEX(BB_PRIX!B$5:B$86,SMALL(IF(BB_PRIX!B$5:B$86&lt;&gt;"",ROW(INDIRECT("1:"&amp;ROWS(BB_PRIX!B$5:B$86)))),ROWS($1:9)))</f>
        <v>#NUM!</v>
      </c>
      <c r="E109" s="241"/>
      <c r="F109" s="241"/>
      <c r="G109" s="241"/>
      <c r="H109" s="241"/>
      <c r="I109" s="241"/>
      <c r="J109" s="241"/>
      <c r="K109" s="241"/>
      <c r="L109" s="241"/>
      <c r="M109" s="241"/>
      <c r="N109" s="241"/>
    </row>
    <row r="110" spans="3:17" s="327" customFormat="1">
      <c r="C110" s="391" t="e">
        <f t="array" aca="1" ref="C110" ca="1">INDEX(BB_PRIX!B$5:B$86,SMALL(IF(BB_PRIX!B$5:B$86&lt;&gt;"",ROW(INDIRECT("1:"&amp;ROWS(BB_PRIX!B$5:B$86)))),ROWS($1:10)))</f>
        <v>#NUM!</v>
      </c>
      <c r="E110" s="241"/>
      <c r="F110" s="241"/>
      <c r="G110" s="241"/>
      <c r="H110" s="241"/>
      <c r="I110" s="241"/>
      <c r="J110" s="241"/>
      <c r="K110" s="241"/>
      <c r="L110" s="241"/>
      <c r="M110" s="241"/>
      <c r="N110" s="241"/>
    </row>
    <row r="111" spans="3:17" s="327" customFormat="1">
      <c r="C111" s="370"/>
      <c r="E111" s="241"/>
      <c r="F111" s="241"/>
      <c r="G111" s="241"/>
      <c r="H111" s="241"/>
      <c r="I111" s="241"/>
      <c r="J111" s="241"/>
      <c r="K111" s="241"/>
      <c r="L111" s="241"/>
      <c r="M111" s="241"/>
      <c r="N111" s="241"/>
    </row>
    <row r="112" spans="3:17" s="327" customFormat="1">
      <c r="C112" s="370"/>
      <c r="E112" s="241"/>
      <c r="F112" s="241"/>
      <c r="G112" s="241"/>
      <c r="H112" s="241"/>
      <c r="I112" s="241"/>
      <c r="J112" s="241"/>
      <c r="K112" s="241"/>
      <c r="L112" s="241"/>
      <c r="M112" s="241"/>
      <c r="N112" s="241"/>
    </row>
    <row r="113" spans="3:14" s="327" customFormat="1">
      <c r="C113" s="370"/>
      <c r="E113" s="241"/>
      <c r="F113" s="241"/>
      <c r="G113" s="241"/>
      <c r="H113" s="241"/>
      <c r="I113" s="241"/>
      <c r="J113" s="241"/>
      <c r="K113" s="241"/>
      <c r="L113" s="241"/>
      <c r="M113" s="241"/>
      <c r="N113" s="241"/>
    </row>
    <row r="114" spans="3:14" s="327" customFormat="1">
      <c r="C114" s="370"/>
      <c r="E114" s="241"/>
      <c r="F114" s="241"/>
      <c r="G114" s="241"/>
      <c r="H114" s="241"/>
      <c r="I114" s="241"/>
      <c r="J114" s="241"/>
      <c r="K114" s="241"/>
      <c r="L114" s="241"/>
      <c r="M114" s="241"/>
      <c r="N114" s="241"/>
    </row>
    <row r="115" spans="3:14" s="327" customFormat="1">
      <c r="C115" s="370"/>
      <c r="E115" s="241"/>
      <c r="F115" s="241"/>
      <c r="G115" s="241"/>
      <c r="H115" s="241"/>
      <c r="I115" s="241"/>
      <c r="J115" s="241"/>
      <c r="K115" s="241"/>
      <c r="L115" s="241"/>
      <c r="M115" s="241"/>
      <c r="N115" s="241"/>
    </row>
    <row r="116" spans="3:14" s="327" customFormat="1">
      <c r="C116" s="370"/>
      <c r="E116" s="241"/>
      <c r="F116" s="241"/>
      <c r="G116" s="241"/>
      <c r="H116" s="241"/>
      <c r="I116" s="241"/>
      <c r="J116" s="241"/>
      <c r="K116" s="241"/>
      <c r="L116" s="241"/>
      <c r="M116" s="241"/>
      <c r="N116" s="241"/>
    </row>
    <row r="117" spans="3:14" s="327" customFormat="1">
      <c r="C117" s="370"/>
      <c r="E117" s="241"/>
      <c r="F117" s="241"/>
      <c r="G117" s="241"/>
      <c r="H117" s="241"/>
      <c r="I117" s="241"/>
      <c r="J117" s="241"/>
      <c r="K117" s="241"/>
      <c r="L117" s="241"/>
      <c r="M117" s="241"/>
      <c r="N117" s="241"/>
    </row>
    <row r="118" spans="3:14" s="327" customFormat="1">
      <c r="C118" s="370"/>
      <c r="E118" s="241"/>
      <c r="F118" s="241"/>
      <c r="G118" s="241"/>
      <c r="H118" s="241"/>
      <c r="I118" s="241"/>
      <c r="J118" s="241"/>
      <c r="K118" s="241"/>
      <c r="L118" s="241"/>
      <c r="M118" s="241"/>
      <c r="N118" s="241"/>
    </row>
    <row r="119" spans="3:14" s="327" customFormat="1">
      <c r="E119" s="241"/>
      <c r="F119" s="241"/>
      <c r="G119" s="241"/>
      <c r="H119" s="241"/>
      <c r="I119" s="241"/>
      <c r="J119" s="241"/>
      <c r="K119" s="241"/>
      <c r="L119" s="241"/>
      <c r="M119" s="241"/>
      <c r="N119" s="241"/>
    </row>
    <row r="120" spans="3:14" s="327" customFormat="1">
      <c r="E120" s="241"/>
      <c r="F120" s="241"/>
      <c r="G120" s="241"/>
      <c r="H120" s="241"/>
      <c r="I120" s="241"/>
      <c r="J120" s="241"/>
      <c r="K120" s="241"/>
      <c r="L120" s="241"/>
      <c r="M120" s="241"/>
      <c r="N120" s="241"/>
    </row>
    <row r="121" spans="3:14" s="327" customFormat="1">
      <c r="E121" s="241"/>
      <c r="F121" s="241"/>
      <c r="G121" s="241"/>
      <c r="H121" s="241"/>
      <c r="I121" s="241"/>
      <c r="J121" s="241"/>
      <c r="K121" s="241"/>
      <c r="L121" s="241"/>
      <c r="M121" s="241"/>
      <c r="N121" s="241"/>
    </row>
    <row r="122" spans="3:14" s="327" customFormat="1">
      <c r="E122" s="241"/>
      <c r="F122" s="241"/>
      <c r="G122" s="241"/>
      <c r="H122" s="241"/>
      <c r="I122" s="241"/>
      <c r="J122" s="241"/>
      <c r="K122" s="241"/>
      <c r="L122" s="241"/>
      <c r="M122" s="241"/>
      <c r="N122" s="241"/>
    </row>
    <row r="123" spans="3:14" s="327" customFormat="1">
      <c r="E123" s="241"/>
      <c r="F123" s="241"/>
      <c r="G123" s="241"/>
      <c r="H123" s="241"/>
      <c r="I123" s="241"/>
      <c r="J123" s="241"/>
      <c r="K123" s="241"/>
      <c r="L123" s="241"/>
      <c r="M123" s="241"/>
      <c r="N123" s="241"/>
    </row>
    <row r="124" spans="3:14" s="327" customFormat="1">
      <c r="E124" s="241"/>
      <c r="F124" s="241"/>
      <c r="G124" s="241"/>
      <c r="H124" s="241"/>
      <c r="I124" s="241"/>
      <c r="J124" s="241"/>
      <c r="K124" s="241"/>
      <c r="L124" s="241"/>
      <c r="M124" s="241"/>
      <c r="N124" s="241"/>
    </row>
    <row r="125" spans="3:14" s="327" customFormat="1">
      <c r="E125" s="241"/>
      <c r="F125" s="241"/>
      <c r="G125" s="241"/>
      <c r="H125" s="241"/>
      <c r="I125" s="241"/>
      <c r="J125" s="241"/>
      <c r="K125" s="241"/>
      <c r="L125" s="241"/>
      <c r="M125" s="241"/>
      <c r="N125" s="241"/>
    </row>
    <row r="126" spans="3:14" s="327" customFormat="1">
      <c r="E126" s="241"/>
      <c r="F126" s="241"/>
      <c r="G126" s="241"/>
      <c r="H126" s="241"/>
      <c r="I126" s="241"/>
      <c r="J126" s="241"/>
      <c r="K126" s="241"/>
      <c r="L126" s="241"/>
      <c r="M126" s="241"/>
      <c r="N126" s="241"/>
    </row>
    <row r="127" spans="3:14" s="327" customFormat="1">
      <c r="E127" s="241"/>
      <c r="F127" s="241"/>
      <c r="G127" s="241"/>
      <c r="H127" s="241"/>
      <c r="I127" s="241"/>
      <c r="J127" s="241"/>
      <c r="K127" s="241"/>
      <c r="L127" s="241"/>
      <c r="M127" s="241"/>
      <c r="N127" s="241"/>
    </row>
    <row r="128" spans="3:14" s="327" customFormat="1">
      <c r="E128" s="241"/>
      <c r="F128" s="241"/>
      <c r="G128" s="241"/>
      <c r="H128" s="241"/>
      <c r="I128" s="241"/>
      <c r="J128" s="241"/>
      <c r="K128" s="241"/>
      <c r="L128" s="241"/>
      <c r="M128" s="241"/>
      <c r="N128" s="241"/>
    </row>
    <row r="129" spans="5:14" s="327" customFormat="1">
      <c r="E129" s="241"/>
      <c r="F129" s="241"/>
      <c r="G129" s="241"/>
      <c r="H129" s="241"/>
      <c r="I129" s="241"/>
      <c r="J129" s="241"/>
      <c r="K129" s="241"/>
      <c r="L129" s="241"/>
      <c r="M129" s="241"/>
      <c r="N129" s="241"/>
    </row>
    <row r="130" spans="5:14" s="327" customFormat="1">
      <c r="E130" s="241"/>
      <c r="F130" s="241"/>
      <c r="G130" s="241"/>
      <c r="H130" s="241"/>
      <c r="I130" s="241"/>
      <c r="J130" s="241"/>
      <c r="K130" s="241"/>
      <c r="L130" s="241"/>
      <c r="M130" s="241"/>
      <c r="N130" s="241"/>
    </row>
    <row r="131" spans="5:14" s="327" customFormat="1">
      <c r="E131" s="241"/>
      <c r="F131" s="241"/>
      <c r="G131" s="241"/>
      <c r="H131" s="241"/>
      <c r="I131" s="241"/>
      <c r="J131" s="241"/>
      <c r="K131" s="241"/>
      <c r="L131" s="241"/>
      <c r="M131" s="241"/>
      <c r="N131" s="241"/>
    </row>
    <row r="132" spans="5:14" s="327" customFormat="1">
      <c r="E132" s="241"/>
      <c r="F132" s="241"/>
      <c r="G132" s="241"/>
      <c r="H132" s="241"/>
      <c r="I132" s="241"/>
      <c r="J132" s="241"/>
      <c r="K132" s="241"/>
      <c r="L132" s="241"/>
      <c r="M132" s="241"/>
      <c r="N132" s="241"/>
    </row>
    <row r="133" spans="5:14" s="327" customFormat="1">
      <c r="E133" s="241"/>
      <c r="F133" s="241"/>
      <c r="G133" s="241"/>
      <c r="H133" s="241"/>
      <c r="I133" s="241"/>
      <c r="J133" s="241"/>
      <c r="K133" s="241"/>
      <c r="L133" s="241"/>
      <c r="M133" s="241"/>
      <c r="N133" s="241"/>
    </row>
    <row r="134" spans="5:14" s="327" customFormat="1">
      <c r="E134" s="241"/>
      <c r="F134" s="241"/>
      <c r="G134" s="241"/>
      <c r="H134" s="241"/>
      <c r="I134" s="241"/>
      <c r="J134" s="241"/>
      <c r="K134" s="241"/>
      <c r="L134" s="241"/>
      <c r="M134" s="241"/>
      <c r="N134" s="241"/>
    </row>
    <row r="135" spans="5:14" s="327" customFormat="1">
      <c r="E135" s="241"/>
      <c r="F135" s="241"/>
      <c r="G135" s="241"/>
      <c r="H135" s="241"/>
      <c r="I135" s="241"/>
      <c r="J135" s="241"/>
      <c r="K135" s="241"/>
      <c r="L135" s="241"/>
      <c r="M135" s="241"/>
      <c r="N135" s="241"/>
    </row>
    <row r="136" spans="5:14" s="327" customFormat="1">
      <c r="E136" s="241"/>
      <c r="F136" s="241"/>
      <c r="G136" s="241"/>
      <c r="H136" s="241"/>
      <c r="I136" s="241"/>
      <c r="J136" s="241"/>
      <c r="K136" s="241"/>
      <c r="L136" s="241"/>
      <c r="M136" s="241"/>
      <c r="N136" s="241"/>
    </row>
    <row r="137" spans="5:14" s="327" customFormat="1">
      <c r="E137" s="241"/>
      <c r="F137" s="241"/>
      <c r="G137" s="241"/>
      <c r="H137" s="241"/>
      <c r="I137" s="241"/>
      <c r="J137" s="241"/>
      <c r="K137" s="241"/>
      <c r="L137" s="241"/>
      <c r="M137" s="241"/>
      <c r="N137" s="241"/>
    </row>
    <row r="138" spans="5:14" s="327" customFormat="1">
      <c r="E138" s="241"/>
      <c r="F138" s="241"/>
      <c r="G138" s="241"/>
      <c r="H138" s="241"/>
      <c r="I138" s="241"/>
      <c r="J138" s="241"/>
      <c r="K138" s="241"/>
      <c r="L138" s="241"/>
      <c r="M138" s="241"/>
      <c r="N138" s="241"/>
    </row>
    <row r="139" spans="5:14" s="327" customFormat="1">
      <c r="E139" s="241"/>
      <c r="F139" s="241"/>
      <c r="G139" s="241"/>
      <c r="H139" s="241"/>
      <c r="I139" s="241"/>
      <c r="J139" s="241"/>
      <c r="K139" s="241"/>
      <c r="L139" s="241"/>
      <c r="M139" s="241"/>
      <c r="N139" s="241"/>
    </row>
    <row r="140" spans="5:14" s="327" customFormat="1">
      <c r="E140" s="241"/>
      <c r="F140" s="241"/>
      <c r="G140" s="241"/>
      <c r="H140" s="241"/>
      <c r="I140" s="241"/>
      <c r="J140" s="241"/>
      <c r="K140" s="241"/>
      <c r="L140" s="241"/>
      <c r="M140" s="241"/>
      <c r="N140" s="241"/>
    </row>
    <row r="141" spans="5:14" s="327" customFormat="1">
      <c r="E141" s="241"/>
      <c r="F141" s="241"/>
      <c r="G141" s="241"/>
      <c r="H141" s="241"/>
      <c r="I141" s="241"/>
      <c r="J141" s="241"/>
      <c r="K141" s="241"/>
      <c r="L141" s="241"/>
      <c r="M141" s="241"/>
      <c r="N141" s="241"/>
    </row>
    <row r="142" spans="5:14" s="327" customFormat="1">
      <c r="E142" s="241"/>
      <c r="F142" s="241"/>
      <c r="G142" s="241"/>
      <c r="H142" s="241"/>
      <c r="I142" s="241"/>
      <c r="J142" s="241"/>
      <c r="K142" s="241"/>
      <c r="L142" s="241"/>
      <c r="M142" s="241"/>
      <c r="N142" s="241"/>
    </row>
    <row r="143" spans="5:14" s="327" customFormat="1">
      <c r="E143" s="241"/>
      <c r="F143" s="241"/>
      <c r="G143" s="241"/>
      <c r="H143" s="241"/>
      <c r="I143" s="241"/>
      <c r="J143" s="241"/>
      <c r="K143" s="241"/>
      <c r="L143" s="241"/>
      <c r="M143" s="241"/>
      <c r="N143" s="241"/>
    </row>
    <row r="144" spans="5:14" s="327" customFormat="1">
      <c r="E144" s="241"/>
      <c r="F144" s="241"/>
      <c r="G144" s="241"/>
      <c r="H144" s="241"/>
      <c r="I144" s="241"/>
      <c r="J144" s="241"/>
      <c r="K144" s="241"/>
      <c r="L144" s="241"/>
      <c r="M144" s="241"/>
      <c r="N144" s="241"/>
    </row>
    <row r="145" spans="5:14" s="327" customFormat="1">
      <c r="E145" s="241"/>
      <c r="F145" s="241"/>
      <c r="G145" s="241"/>
      <c r="H145" s="241"/>
      <c r="I145" s="241"/>
      <c r="J145" s="241"/>
      <c r="K145" s="241"/>
      <c r="L145" s="241"/>
      <c r="M145" s="241"/>
      <c r="N145" s="241"/>
    </row>
    <row r="146" spans="5:14" s="327" customFormat="1">
      <c r="E146" s="241"/>
      <c r="F146" s="241"/>
      <c r="G146" s="241"/>
      <c r="H146" s="241"/>
      <c r="I146" s="241"/>
      <c r="J146" s="241"/>
      <c r="K146" s="241"/>
      <c r="L146" s="241"/>
      <c r="M146" s="241"/>
      <c r="N146" s="241"/>
    </row>
    <row r="147" spans="5:14" s="327" customFormat="1">
      <c r="E147" s="241"/>
      <c r="F147" s="241"/>
      <c r="G147" s="241"/>
      <c r="H147" s="241"/>
      <c r="I147" s="241"/>
      <c r="J147" s="241"/>
      <c r="K147" s="241"/>
      <c r="L147" s="241"/>
      <c r="M147" s="241"/>
      <c r="N147" s="241"/>
    </row>
    <row r="148" spans="5:14" s="327" customFormat="1">
      <c r="E148" s="241"/>
      <c r="F148" s="241"/>
      <c r="G148" s="241"/>
      <c r="H148" s="241"/>
      <c r="I148" s="241"/>
      <c r="J148" s="241"/>
      <c r="K148" s="241"/>
      <c r="L148" s="241"/>
      <c r="M148" s="241"/>
      <c r="N148" s="241"/>
    </row>
    <row r="149" spans="5:14" s="327" customFormat="1">
      <c r="E149" s="241"/>
      <c r="F149" s="241"/>
      <c r="G149" s="241"/>
      <c r="H149" s="241"/>
      <c r="I149" s="241"/>
      <c r="J149" s="241"/>
      <c r="K149" s="241"/>
      <c r="L149" s="241"/>
      <c r="M149" s="241"/>
      <c r="N149" s="241"/>
    </row>
    <row r="150" spans="5:14" s="327" customFormat="1">
      <c r="E150" s="241"/>
      <c r="F150" s="241"/>
      <c r="G150" s="241"/>
      <c r="H150" s="241"/>
      <c r="I150" s="241"/>
      <c r="J150" s="241"/>
      <c r="K150" s="241"/>
      <c r="L150" s="241"/>
      <c r="M150" s="241"/>
      <c r="N150" s="241"/>
    </row>
    <row r="151" spans="5:14" s="327" customFormat="1">
      <c r="E151" s="241"/>
      <c r="F151" s="241"/>
      <c r="G151" s="241"/>
      <c r="H151" s="241"/>
      <c r="I151" s="241"/>
      <c r="J151" s="241"/>
      <c r="K151" s="241"/>
      <c r="L151" s="241"/>
      <c r="M151" s="241"/>
      <c r="N151" s="241"/>
    </row>
    <row r="152" spans="5:14" s="327" customFormat="1">
      <c r="E152" s="241"/>
      <c r="F152" s="241"/>
      <c r="G152" s="241"/>
      <c r="H152" s="241"/>
      <c r="I152" s="241"/>
      <c r="J152" s="241"/>
      <c r="K152" s="241"/>
      <c r="L152" s="241"/>
      <c r="M152" s="241"/>
      <c r="N152" s="241"/>
    </row>
    <row r="153" spans="5:14" s="327" customFormat="1">
      <c r="E153" s="241"/>
      <c r="F153" s="241"/>
      <c r="G153" s="241"/>
      <c r="H153" s="241"/>
      <c r="I153" s="241"/>
      <c r="J153" s="241"/>
      <c r="K153" s="241"/>
      <c r="L153" s="241"/>
      <c r="M153" s="241"/>
      <c r="N153" s="241"/>
    </row>
    <row r="154" spans="5:14" s="327" customFormat="1">
      <c r="E154" s="241"/>
      <c r="F154" s="241"/>
      <c r="G154" s="241"/>
      <c r="H154" s="241"/>
      <c r="I154" s="241"/>
      <c r="J154" s="241"/>
      <c r="K154" s="241"/>
      <c r="L154" s="241"/>
      <c r="M154" s="241"/>
      <c r="N154" s="241"/>
    </row>
    <row r="155" spans="5:14" s="327" customFormat="1">
      <c r="E155" s="241"/>
      <c r="F155" s="241"/>
      <c r="G155" s="241"/>
      <c r="H155" s="241"/>
      <c r="I155" s="241"/>
      <c r="J155" s="241"/>
      <c r="K155" s="241"/>
      <c r="L155" s="241"/>
      <c r="M155" s="241"/>
      <c r="N155" s="241"/>
    </row>
    <row r="156" spans="5:14" s="327" customFormat="1">
      <c r="E156" s="241"/>
      <c r="F156" s="241"/>
      <c r="G156" s="241"/>
      <c r="H156" s="241"/>
      <c r="I156" s="241"/>
      <c r="J156" s="241"/>
      <c r="K156" s="241"/>
      <c r="L156" s="241"/>
      <c r="M156" s="241"/>
      <c r="N156" s="241"/>
    </row>
    <row r="157" spans="5:14" s="327" customFormat="1">
      <c r="E157" s="241"/>
      <c r="F157" s="241"/>
      <c r="G157" s="241"/>
      <c r="H157" s="241"/>
      <c r="I157" s="241"/>
      <c r="J157" s="241"/>
      <c r="K157" s="241"/>
      <c r="L157" s="241"/>
      <c r="M157" s="241"/>
      <c r="N157" s="241"/>
    </row>
    <row r="158" spans="5:14" s="327" customFormat="1">
      <c r="E158" s="241"/>
      <c r="F158" s="241"/>
      <c r="G158" s="241"/>
      <c r="H158" s="241"/>
      <c r="I158" s="241"/>
      <c r="J158" s="241"/>
      <c r="K158" s="241"/>
      <c r="L158" s="241"/>
      <c r="M158" s="241"/>
      <c r="N158" s="241"/>
    </row>
    <row r="159" spans="5:14" s="327" customFormat="1">
      <c r="E159" s="241"/>
      <c r="F159" s="241"/>
      <c r="G159" s="241"/>
      <c r="H159" s="241"/>
      <c r="I159" s="241"/>
      <c r="J159" s="241"/>
      <c r="K159" s="241"/>
      <c r="L159" s="241"/>
      <c r="M159" s="241"/>
      <c r="N159" s="241"/>
    </row>
    <row r="160" spans="5:14" s="327" customFormat="1">
      <c r="E160" s="241"/>
      <c r="F160" s="241"/>
      <c r="G160" s="241"/>
      <c r="H160" s="241"/>
      <c r="I160" s="241"/>
      <c r="J160" s="241"/>
      <c r="K160" s="241"/>
      <c r="L160" s="241"/>
      <c r="M160" s="241"/>
      <c r="N160" s="241"/>
    </row>
    <row r="161" spans="5:14" s="327" customFormat="1">
      <c r="E161" s="241"/>
      <c r="F161" s="241"/>
      <c r="G161" s="241"/>
      <c r="H161" s="241"/>
      <c r="I161" s="241"/>
      <c r="J161" s="241"/>
      <c r="K161" s="241"/>
      <c r="L161" s="241"/>
      <c r="M161" s="241"/>
      <c r="N161" s="241"/>
    </row>
    <row r="162" spans="5:14" s="327" customFormat="1">
      <c r="E162" s="241"/>
      <c r="F162" s="241"/>
      <c r="G162" s="241"/>
      <c r="H162" s="241"/>
      <c r="I162" s="241"/>
      <c r="J162" s="241"/>
      <c r="K162" s="241"/>
      <c r="L162" s="241"/>
      <c r="M162" s="241"/>
      <c r="N162" s="241"/>
    </row>
    <row r="163" spans="5:14" s="327" customFormat="1">
      <c r="E163" s="241"/>
      <c r="F163" s="241"/>
      <c r="G163" s="241"/>
      <c r="H163" s="241"/>
      <c r="I163" s="241"/>
      <c r="J163" s="241"/>
      <c r="K163" s="241"/>
      <c r="L163" s="241"/>
      <c r="M163" s="241"/>
      <c r="N163" s="241"/>
    </row>
    <row r="164" spans="5:14" s="327" customFormat="1">
      <c r="E164" s="241"/>
      <c r="F164" s="241"/>
      <c r="G164" s="241"/>
      <c r="H164" s="241"/>
      <c r="I164" s="241"/>
      <c r="J164" s="241"/>
      <c r="K164" s="241"/>
      <c r="L164" s="241"/>
      <c r="M164" s="241"/>
      <c r="N164" s="241"/>
    </row>
    <row r="165" spans="5:14" s="327" customFormat="1">
      <c r="E165" s="241"/>
      <c r="F165" s="241"/>
      <c r="G165" s="241"/>
      <c r="H165" s="241"/>
      <c r="I165" s="241"/>
      <c r="J165" s="241"/>
      <c r="K165" s="241"/>
      <c r="L165" s="241"/>
      <c r="M165" s="241"/>
      <c r="N165" s="241"/>
    </row>
    <row r="166" spans="5:14" s="327" customFormat="1">
      <c r="E166" s="241"/>
      <c r="F166" s="241"/>
      <c r="G166" s="241"/>
      <c r="H166" s="241"/>
      <c r="I166" s="241"/>
      <c r="J166" s="241"/>
      <c r="K166" s="241"/>
      <c r="L166" s="241"/>
      <c r="M166" s="241"/>
      <c r="N166" s="241"/>
    </row>
    <row r="167" spans="5:14" s="327" customFormat="1">
      <c r="E167" s="241"/>
      <c r="F167" s="241"/>
      <c r="G167" s="241"/>
      <c r="H167" s="241"/>
      <c r="I167" s="241"/>
      <c r="J167" s="241"/>
      <c r="K167" s="241"/>
      <c r="L167" s="241"/>
      <c r="M167" s="241"/>
      <c r="N167" s="241"/>
    </row>
    <row r="168" spans="5:14" s="327" customFormat="1">
      <c r="E168" s="241"/>
      <c r="F168" s="241"/>
      <c r="G168" s="241"/>
      <c r="H168" s="241"/>
      <c r="I168" s="241"/>
      <c r="J168" s="241"/>
      <c r="K168" s="241"/>
      <c r="L168" s="241"/>
      <c r="M168" s="241"/>
      <c r="N168" s="241"/>
    </row>
    <row r="169" spans="5:14" s="327" customFormat="1">
      <c r="E169" s="241"/>
      <c r="F169" s="241"/>
      <c r="G169" s="241"/>
      <c r="H169" s="241"/>
      <c r="I169" s="241"/>
      <c r="J169" s="241"/>
      <c r="K169" s="241"/>
      <c r="L169" s="241"/>
      <c r="M169" s="241"/>
      <c r="N169" s="241"/>
    </row>
    <row r="170" spans="5:14" s="327" customFormat="1">
      <c r="E170" s="241"/>
      <c r="F170" s="241"/>
      <c r="G170" s="241"/>
      <c r="H170" s="241"/>
      <c r="I170" s="241"/>
      <c r="J170" s="241"/>
      <c r="K170" s="241"/>
      <c r="L170" s="241"/>
      <c r="M170" s="241"/>
      <c r="N170" s="241"/>
    </row>
    <row r="171" spans="5:14" s="327" customFormat="1">
      <c r="E171" s="241"/>
      <c r="F171" s="241"/>
      <c r="G171" s="241"/>
      <c r="H171" s="241"/>
      <c r="I171" s="241"/>
      <c r="J171" s="241"/>
      <c r="K171" s="241"/>
      <c r="L171" s="241"/>
      <c r="M171" s="241"/>
      <c r="N171" s="241"/>
    </row>
    <row r="172" spans="5:14" s="327" customFormat="1">
      <c r="E172" s="241"/>
      <c r="F172" s="241"/>
      <c r="G172" s="241"/>
      <c r="H172" s="241"/>
      <c r="I172" s="241"/>
      <c r="J172" s="241"/>
      <c r="K172" s="241"/>
      <c r="L172" s="241"/>
      <c r="M172" s="241"/>
      <c r="N172" s="241"/>
    </row>
    <row r="173" spans="5:14" s="327" customFormat="1">
      <c r="E173" s="241"/>
      <c r="F173" s="241"/>
      <c r="G173" s="241"/>
      <c r="H173" s="241"/>
      <c r="I173" s="241"/>
      <c r="J173" s="241"/>
      <c r="K173" s="241"/>
      <c r="L173" s="241"/>
      <c r="M173" s="241"/>
      <c r="N173" s="241"/>
    </row>
    <row r="174" spans="5:14" s="327" customFormat="1">
      <c r="E174" s="241"/>
      <c r="F174" s="241"/>
      <c r="G174" s="241"/>
      <c r="H174" s="241"/>
      <c r="I174" s="241"/>
      <c r="J174" s="241"/>
      <c r="K174" s="241"/>
      <c r="L174" s="241"/>
      <c r="M174" s="241"/>
      <c r="N174" s="241"/>
    </row>
    <row r="175" spans="5:14" s="327" customFormat="1">
      <c r="E175" s="241"/>
      <c r="F175" s="241"/>
      <c r="G175" s="241"/>
      <c r="H175" s="241"/>
      <c r="I175" s="241"/>
      <c r="J175" s="241"/>
      <c r="K175" s="241"/>
      <c r="L175" s="241"/>
      <c r="M175" s="241"/>
      <c r="N175" s="241"/>
    </row>
    <row r="176" spans="5:14" s="327" customFormat="1">
      <c r="E176" s="241"/>
      <c r="F176" s="241"/>
      <c r="G176" s="241"/>
      <c r="H176" s="241"/>
      <c r="I176" s="241"/>
      <c r="J176" s="241"/>
      <c r="K176" s="241"/>
      <c r="L176" s="241"/>
      <c r="M176" s="241"/>
      <c r="N176" s="241"/>
    </row>
    <row r="177" spans="5:14" s="327" customFormat="1">
      <c r="E177" s="241"/>
      <c r="F177" s="241"/>
      <c r="G177" s="241"/>
      <c r="H177" s="241"/>
      <c r="I177" s="241"/>
      <c r="J177" s="241"/>
      <c r="K177" s="241"/>
      <c r="L177" s="241"/>
      <c r="M177" s="241"/>
      <c r="N177" s="241"/>
    </row>
    <row r="178" spans="5:14" s="327" customFormat="1">
      <c r="E178" s="241"/>
      <c r="F178" s="241"/>
      <c r="G178" s="241"/>
      <c r="H178" s="241"/>
      <c r="I178" s="241"/>
      <c r="J178" s="241"/>
      <c r="K178" s="241"/>
      <c r="L178" s="241"/>
      <c r="M178" s="241"/>
      <c r="N178" s="241"/>
    </row>
    <row r="179" spans="5:14" s="327" customFormat="1">
      <c r="E179" s="241"/>
      <c r="F179" s="241"/>
      <c r="G179" s="241"/>
      <c r="H179" s="241"/>
      <c r="I179" s="241"/>
      <c r="J179" s="241"/>
      <c r="K179" s="241"/>
      <c r="L179" s="241"/>
      <c r="M179" s="241"/>
      <c r="N179" s="241"/>
    </row>
    <row r="180" spans="5:14" s="327" customFormat="1">
      <c r="E180" s="241"/>
      <c r="F180" s="241"/>
      <c r="G180" s="241"/>
      <c r="H180" s="241"/>
      <c r="I180" s="241"/>
      <c r="J180" s="241"/>
      <c r="K180" s="241"/>
      <c r="L180" s="241"/>
      <c r="M180" s="241"/>
      <c r="N180" s="241"/>
    </row>
    <row r="181" spans="5:14" s="327" customFormat="1">
      <c r="E181" s="241"/>
      <c r="F181" s="241"/>
      <c r="G181" s="241"/>
      <c r="H181" s="241"/>
      <c r="I181" s="241"/>
      <c r="J181" s="241"/>
      <c r="K181" s="241"/>
      <c r="L181" s="241"/>
      <c r="M181" s="241"/>
      <c r="N181" s="241"/>
    </row>
    <row r="182" spans="5:14" s="327" customFormat="1">
      <c r="E182" s="241"/>
      <c r="F182" s="241"/>
      <c r="G182" s="241"/>
      <c r="H182" s="241"/>
      <c r="I182" s="241"/>
      <c r="J182" s="241"/>
      <c r="K182" s="241"/>
      <c r="L182" s="241"/>
      <c r="M182" s="241"/>
      <c r="N182" s="241"/>
    </row>
    <row r="183" spans="5:14" s="327" customFormat="1">
      <c r="E183" s="241"/>
      <c r="F183" s="241"/>
      <c r="G183" s="241"/>
      <c r="H183" s="241"/>
      <c r="I183" s="241"/>
      <c r="J183" s="241"/>
      <c r="K183" s="241"/>
      <c r="L183" s="241"/>
      <c r="M183" s="241"/>
      <c r="N183" s="241"/>
    </row>
    <row r="184" spans="5:14" s="327" customFormat="1">
      <c r="E184" s="241"/>
      <c r="F184" s="241"/>
      <c r="G184" s="241"/>
      <c r="H184" s="241"/>
      <c r="I184" s="241"/>
      <c r="J184" s="241"/>
      <c r="K184" s="241"/>
      <c r="L184" s="241"/>
      <c r="M184" s="241"/>
      <c r="N184" s="241"/>
    </row>
    <row r="185" spans="5:14" s="327" customFormat="1">
      <c r="E185" s="241"/>
      <c r="F185" s="241"/>
      <c r="G185" s="241"/>
      <c r="H185" s="241"/>
      <c r="I185" s="241"/>
      <c r="J185" s="241"/>
      <c r="K185" s="241"/>
      <c r="L185" s="241"/>
      <c r="M185" s="241"/>
      <c r="N185" s="241"/>
    </row>
    <row r="186" spans="5:14" s="327" customFormat="1">
      <c r="E186" s="241"/>
      <c r="F186" s="241"/>
      <c r="G186" s="241"/>
      <c r="H186" s="241"/>
      <c r="I186" s="241"/>
      <c r="J186" s="241"/>
      <c r="K186" s="241"/>
      <c r="L186" s="241"/>
      <c r="M186" s="241"/>
      <c r="N186" s="241"/>
    </row>
    <row r="187" spans="5:14" s="327" customFormat="1">
      <c r="E187" s="241"/>
      <c r="F187" s="241"/>
      <c r="G187" s="241"/>
      <c r="H187" s="241"/>
      <c r="I187" s="241"/>
      <c r="J187" s="241"/>
      <c r="K187" s="241"/>
      <c r="L187" s="241"/>
      <c r="M187" s="241"/>
      <c r="N187" s="241"/>
    </row>
    <row r="188" spans="5:14" s="327" customFormat="1">
      <c r="E188" s="241"/>
      <c r="F188" s="241"/>
      <c r="G188" s="241"/>
      <c r="H188" s="241"/>
      <c r="I188" s="241"/>
      <c r="J188" s="241"/>
      <c r="K188" s="241"/>
      <c r="L188" s="241"/>
      <c r="M188" s="241"/>
      <c r="N188" s="241"/>
    </row>
    <row r="189" spans="5:14" s="327" customFormat="1">
      <c r="E189" s="241"/>
      <c r="F189" s="241"/>
      <c r="G189" s="241"/>
      <c r="H189" s="241"/>
      <c r="I189" s="241"/>
      <c r="J189" s="241"/>
      <c r="K189" s="241"/>
      <c r="L189" s="241"/>
      <c r="M189" s="241"/>
      <c r="N189" s="241"/>
    </row>
    <row r="190" spans="5:14" s="327" customFormat="1">
      <c r="E190" s="241"/>
      <c r="F190" s="241"/>
      <c r="G190" s="241"/>
      <c r="H190" s="241"/>
      <c r="I190" s="241"/>
      <c r="J190" s="241"/>
      <c r="K190" s="241"/>
      <c r="L190" s="241"/>
      <c r="M190" s="241"/>
      <c r="N190" s="241"/>
    </row>
    <row r="191" spans="5:14" s="327" customFormat="1">
      <c r="E191" s="241"/>
      <c r="F191" s="241"/>
      <c r="G191" s="241"/>
      <c r="H191" s="241"/>
      <c r="I191" s="241"/>
      <c r="J191" s="241"/>
      <c r="K191" s="241"/>
      <c r="L191" s="241"/>
      <c r="M191" s="241"/>
      <c r="N191" s="241"/>
    </row>
    <row r="192" spans="5:14" s="327" customFormat="1">
      <c r="E192" s="241"/>
      <c r="F192" s="241"/>
      <c r="G192" s="241"/>
      <c r="H192" s="241"/>
      <c r="I192" s="241"/>
      <c r="J192" s="241"/>
      <c r="K192" s="241"/>
      <c r="L192" s="241"/>
      <c r="M192" s="241"/>
      <c r="N192" s="241"/>
    </row>
    <row r="193" spans="5:14" s="327" customFormat="1">
      <c r="E193" s="241"/>
      <c r="F193" s="241"/>
      <c r="G193" s="241"/>
      <c r="H193" s="241"/>
      <c r="I193" s="241"/>
      <c r="J193" s="241"/>
      <c r="K193" s="241"/>
      <c r="L193" s="241"/>
      <c r="M193" s="241"/>
      <c r="N193" s="241"/>
    </row>
    <row r="194" spans="5:14" s="327" customFormat="1">
      <c r="E194" s="241"/>
      <c r="F194" s="241"/>
      <c r="G194" s="241"/>
      <c r="H194" s="241"/>
      <c r="I194" s="241"/>
      <c r="J194" s="241"/>
      <c r="K194" s="241"/>
      <c r="L194" s="241"/>
      <c r="M194" s="241"/>
      <c r="N194" s="241"/>
    </row>
    <row r="195" spans="5:14" s="327" customFormat="1">
      <c r="E195" s="241"/>
      <c r="F195" s="241"/>
      <c r="G195" s="241"/>
      <c r="H195" s="241"/>
      <c r="I195" s="241"/>
      <c r="J195" s="241"/>
      <c r="K195" s="241"/>
      <c r="L195" s="241"/>
      <c r="M195" s="241"/>
      <c r="N195" s="241"/>
    </row>
    <row r="196" spans="5:14" s="327" customFormat="1">
      <c r="E196" s="241"/>
      <c r="F196" s="241"/>
      <c r="G196" s="241"/>
      <c r="H196" s="241"/>
      <c r="I196" s="241"/>
      <c r="J196" s="241"/>
      <c r="K196" s="241"/>
      <c r="L196" s="241"/>
      <c r="M196" s="241"/>
      <c r="N196" s="241"/>
    </row>
    <row r="197" spans="5:14" s="327" customFormat="1">
      <c r="E197" s="241"/>
      <c r="F197" s="241"/>
      <c r="G197" s="241"/>
      <c r="H197" s="241"/>
      <c r="I197" s="241"/>
      <c r="J197" s="241"/>
      <c r="K197" s="241"/>
      <c r="L197" s="241"/>
      <c r="M197" s="241"/>
      <c r="N197" s="241"/>
    </row>
    <row r="198" spans="5:14" s="327" customFormat="1">
      <c r="E198" s="241"/>
      <c r="F198" s="241"/>
      <c r="G198" s="241"/>
      <c r="H198" s="241"/>
      <c r="I198" s="241"/>
      <c r="J198" s="241"/>
      <c r="K198" s="241"/>
      <c r="L198" s="241"/>
      <c r="M198" s="241"/>
      <c r="N198" s="241"/>
    </row>
    <row r="199" spans="5:14" s="327" customFormat="1">
      <c r="E199" s="241"/>
      <c r="F199" s="241"/>
      <c r="G199" s="241"/>
      <c r="H199" s="241"/>
      <c r="I199" s="241"/>
      <c r="J199" s="241"/>
      <c r="K199" s="241"/>
      <c r="L199" s="241"/>
      <c r="M199" s="241"/>
      <c r="N199" s="241"/>
    </row>
    <row r="200" spans="5:14" s="327" customFormat="1">
      <c r="E200" s="241"/>
      <c r="F200" s="241"/>
      <c r="G200" s="241"/>
      <c r="H200" s="241"/>
      <c r="I200" s="241"/>
      <c r="J200" s="241"/>
      <c r="K200" s="241"/>
      <c r="L200" s="241"/>
      <c r="M200" s="241"/>
      <c r="N200" s="241"/>
    </row>
    <row r="201" spans="5:14" s="327" customFormat="1">
      <c r="E201" s="241"/>
      <c r="F201" s="241"/>
      <c r="G201" s="241"/>
      <c r="H201" s="241"/>
      <c r="I201" s="241"/>
      <c r="J201" s="241"/>
      <c r="K201" s="241"/>
      <c r="L201" s="241"/>
      <c r="M201" s="241"/>
      <c r="N201" s="241"/>
    </row>
    <row r="202" spans="5:14" s="327" customFormat="1">
      <c r="E202" s="241"/>
      <c r="F202" s="241"/>
      <c r="G202" s="241"/>
      <c r="H202" s="241"/>
      <c r="I202" s="241"/>
      <c r="J202" s="241"/>
      <c r="K202" s="241"/>
      <c r="L202" s="241"/>
      <c r="M202" s="241"/>
      <c r="N202" s="241"/>
    </row>
    <row r="203" spans="5:14" s="327" customFormat="1">
      <c r="E203" s="241"/>
      <c r="F203" s="241"/>
      <c r="G203" s="241"/>
      <c r="H203" s="241"/>
      <c r="I203" s="241"/>
      <c r="J203" s="241"/>
      <c r="K203" s="241"/>
      <c r="L203" s="241"/>
      <c r="M203" s="241"/>
      <c r="N203" s="241"/>
    </row>
    <row r="204" spans="5:14" s="327" customFormat="1">
      <c r="E204" s="241"/>
      <c r="F204" s="241"/>
      <c r="G204" s="241"/>
      <c r="H204" s="241"/>
      <c r="I204" s="241"/>
      <c r="J204" s="241"/>
      <c r="K204" s="241"/>
      <c r="L204" s="241"/>
      <c r="M204" s="241"/>
      <c r="N204" s="241"/>
    </row>
    <row r="205" spans="5:14" s="327" customFormat="1">
      <c r="E205" s="241"/>
      <c r="F205" s="241"/>
      <c r="G205" s="241"/>
      <c r="H205" s="241"/>
      <c r="I205" s="241"/>
      <c r="J205" s="241"/>
      <c r="K205" s="241"/>
      <c r="L205" s="241"/>
      <c r="M205" s="241"/>
      <c r="N205" s="241"/>
    </row>
    <row r="206" spans="5:14" s="327" customFormat="1">
      <c r="E206" s="241"/>
      <c r="F206" s="241"/>
      <c r="G206" s="241"/>
      <c r="H206" s="241"/>
      <c r="I206" s="241"/>
      <c r="J206" s="241"/>
      <c r="K206" s="241"/>
      <c r="L206" s="241"/>
      <c r="M206" s="241"/>
      <c r="N206" s="241"/>
    </row>
    <row r="207" spans="5:14" s="327" customFormat="1">
      <c r="E207" s="241"/>
      <c r="F207" s="241"/>
      <c r="G207" s="241"/>
      <c r="H207" s="241"/>
      <c r="I207" s="241"/>
      <c r="J207" s="241"/>
      <c r="K207" s="241"/>
      <c r="L207" s="241"/>
      <c r="M207" s="241"/>
      <c r="N207" s="241"/>
    </row>
    <row r="208" spans="5:14" s="327" customFormat="1">
      <c r="E208" s="241"/>
      <c r="F208" s="241"/>
      <c r="G208" s="241"/>
      <c r="H208" s="241"/>
      <c r="I208" s="241"/>
      <c r="J208" s="241"/>
      <c r="K208" s="241"/>
      <c r="L208" s="241"/>
      <c r="M208" s="241"/>
      <c r="N208" s="241"/>
    </row>
    <row r="209" spans="5:14" s="327" customFormat="1">
      <c r="E209" s="241"/>
      <c r="F209" s="241"/>
      <c r="G209" s="241"/>
      <c r="H209" s="241"/>
      <c r="I209" s="241"/>
      <c r="J209" s="241"/>
      <c r="K209" s="241"/>
      <c r="L209" s="241"/>
      <c r="M209" s="241"/>
      <c r="N209" s="241"/>
    </row>
    <row r="210" spans="5:14" s="327" customFormat="1">
      <c r="E210" s="241"/>
      <c r="F210" s="241"/>
      <c r="G210" s="241"/>
      <c r="H210" s="241"/>
      <c r="I210" s="241"/>
      <c r="J210" s="241"/>
      <c r="K210" s="241"/>
      <c r="L210" s="241"/>
      <c r="M210" s="241"/>
      <c r="N210" s="241"/>
    </row>
    <row r="211" spans="5:14" s="327" customFormat="1">
      <c r="E211" s="241"/>
      <c r="F211" s="241"/>
      <c r="G211" s="241"/>
      <c r="H211" s="241"/>
      <c r="I211" s="241"/>
      <c r="J211" s="241"/>
      <c r="K211" s="241"/>
      <c r="L211" s="241"/>
      <c r="M211" s="241"/>
      <c r="N211" s="241"/>
    </row>
    <row r="212" spans="5:14" s="327" customFormat="1">
      <c r="E212" s="241"/>
      <c r="F212" s="241"/>
      <c r="G212" s="241"/>
      <c r="H212" s="241"/>
      <c r="I212" s="241"/>
      <c r="J212" s="241"/>
      <c r="K212" s="241"/>
      <c r="L212" s="241"/>
      <c r="M212" s="241"/>
      <c r="N212" s="241"/>
    </row>
    <row r="213" spans="5:14" s="327" customFormat="1">
      <c r="E213" s="241"/>
      <c r="F213" s="241"/>
      <c r="G213" s="241"/>
      <c r="H213" s="241"/>
      <c r="I213" s="241"/>
      <c r="J213" s="241"/>
      <c r="K213" s="241"/>
      <c r="L213" s="241"/>
      <c r="M213" s="241"/>
      <c r="N213" s="241"/>
    </row>
    <row r="214" spans="5:14" s="327" customFormat="1">
      <c r="E214" s="241"/>
      <c r="F214" s="241"/>
      <c r="G214" s="241"/>
      <c r="H214" s="241"/>
      <c r="I214" s="241"/>
      <c r="J214" s="241"/>
      <c r="K214" s="241"/>
      <c r="L214" s="241"/>
      <c r="M214" s="241"/>
      <c r="N214" s="241"/>
    </row>
    <row r="215" spans="5:14" s="327" customFormat="1">
      <c r="E215" s="241"/>
      <c r="F215" s="241"/>
      <c r="G215" s="241"/>
      <c r="H215" s="241"/>
      <c r="I215" s="241"/>
      <c r="J215" s="241"/>
      <c r="K215" s="241"/>
      <c r="L215" s="241"/>
      <c r="M215" s="241"/>
      <c r="N215" s="241"/>
    </row>
    <row r="216" spans="5:14" s="327" customFormat="1">
      <c r="E216" s="241"/>
      <c r="F216" s="241"/>
      <c r="G216" s="241"/>
      <c r="H216" s="241"/>
      <c r="I216" s="241"/>
      <c r="J216" s="241"/>
      <c r="K216" s="241"/>
      <c r="L216" s="241"/>
      <c r="M216" s="241"/>
      <c r="N216" s="241"/>
    </row>
    <row r="217" spans="5:14" s="327" customFormat="1">
      <c r="E217" s="241"/>
      <c r="F217" s="241"/>
      <c r="G217" s="241"/>
      <c r="H217" s="241"/>
      <c r="I217" s="241"/>
      <c r="J217" s="241"/>
      <c r="K217" s="241"/>
      <c r="L217" s="241"/>
      <c r="M217" s="241"/>
      <c r="N217" s="241"/>
    </row>
    <row r="218" spans="5:14" s="327" customFormat="1">
      <c r="E218" s="241"/>
      <c r="F218" s="241"/>
      <c r="G218" s="241"/>
      <c r="H218" s="241"/>
      <c r="I218" s="241"/>
      <c r="J218" s="241"/>
      <c r="K218" s="241"/>
      <c r="L218" s="241"/>
      <c r="M218" s="241"/>
      <c r="N218" s="241"/>
    </row>
    <row r="219" spans="5:14" s="327" customFormat="1">
      <c r="E219" s="241"/>
      <c r="F219" s="241"/>
      <c r="G219" s="241"/>
      <c r="H219" s="241"/>
      <c r="I219" s="241"/>
      <c r="J219" s="241"/>
      <c r="K219" s="241"/>
      <c r="L219" s="241"/>
      <c r="M219" s="241"/>
      <c r="N219" s="241"/>
    </row>
    <row r="220" spans="5:14" s="327" customFormat="1">
      <c r="E220" s="241"/>
      <c r="F220" s="241"/>
      <c r="G220" s="241"/>
      <c r="H220" s="241"/>
      <c r="I220" s="241"/>
      <c r="J220" s="241"/>
      <c r="K220" s="241"/>
      <c r="L220" s="241"/>
      <c r="M220" s="241"/>
      <c r="N220" s="241"/>
    </row>
    <row r="221" spans="5:14" s="327" customFormat="1">
      <c r="E221" s="241"/>
      <c r="F221" s="241"/>
      <c r="G221" s="241"/>
      <c r="H221" s="241"/>
      <c r="I221" s="241"/>
      <c r="J221" s="241"/>
      <c r="K221" s="241"/>
      <c r="L221" s="241"/>
      <c r="M221" s="241"/>
      <c r="N221" s="241"/>
    </row>
    <row r="222" spans="5:14" s="327" customFormat="1">
      <c r="E222" s="241"/>
      <c r="F222" s="241"/>
      <c r="G222" s="241"/>
      <c r="H222" s="241"/>
      <c r="I222" s="241"/>
      <c r="J222" s="241"/>
      <c r="K222" s="241"/>
      <c r="L222" s="241"/>
      <c r="M222" s="241"/>
      <c r="N222" s="241"/>
    </row>
    <row r="223" spans="5:14" s="327" customFormat="1">
      <c r="E223" s="241"/>
      <c r="F223" s="241"/>
      <c r="G223" s="241"/>
      <c r="H223" s="241"/>
      <c r="I223" s="241"/>
      <c r="J223" s="241"/>
      <c r="K223" s="241"/>
      <c r="L223" s="241"/>
      <c r="M223" s="241"/>
      <c r="N223" s="241"/>
    </row>
    <row r="224" spans="5:14" s="327" customFormat="1">
      <c r="E224" s="241"/>
      <c r="F224" s="241"/>
      <c r="G224" s="241"/>
      <c r="H224" s="241"/>
      <c r="I224" s="241"/>
      <c r="J224" s="241"/>
      <c r="K224" s="241"/>
      <c r="L224" s="241"/>
      <c r="M224" s="241"/>
      <c r="N224" s="241"/>
    </row>
    <row r="225" spans="2:17" s="327" customFormat="1">
      <c r="E225" s="241"/>
      <c r="F225" s="241"/>
      <c r="G225" s="241"/>
      <c r="H225" s="241"/>
      <c r="I225" s="241"/>
      <c r="J225" s="241"/>
      <c r="K225" s="241"/>
      <c r="L225" s="241"/>
      <c r="M225" s="241"/>
      <c r="N225" s="241"/>
    </row>
    <row r="226" spans="2:17" s="327" customFormat="1">
      <c r="B226" s="67"/>
      <c r="C226" s="67"/>
      <c r="D226" s="67"/>
      <c r="E226" s="229"/>
      <c r="F226" s="229"/>
      <c r="G226" s="229"/>
      <c r="H226" s="229"/>
      <c r="I226" s="229"/>
      <c r="J226" s="229"/>
      <c r="K226" s="229"/>
      <c r="L226" s="229"/>
      <c r="M226" s="229"/>
      <c r="N226" s="229"/>
      <c r="O226" s="67"/>
      <c r="P226" s="67"/>
      <c r="Q226" s="67"/>
    </row>
    <row r="227" spans="2:17" s="327" customFormat="1">
      <c r="B227" s="67"/>
      <c r="C227" s="67"/>
      <c r="D227" s="67"/>
      <c r="E227" s="229"/>
      <c r="F227" s="229"/>
      <c r="G227" s="229"/>
      <c r="H227" s="229"/>
      <c r="I227" s="229"/>
      <c r="J227" s="229"/>
      <c r="K227" s="229"/>
      <c r="L227" s="229"/>
      <c r="M227" s="229"/>
      <c r="N227" s="229"/>
      <c r="O227" s="67"/>
      <c r="P227" s="67"/>
      <c r="Q227" s="67"/>
    </row>
    <row r="228" spans="2:17" s="327" customFormat="1">
      <c r="B228" s="67"/>
      <c r="C228" s="67"/>
      <c r="D228" s="67"/>
      <c r="E228" s="229"/>
      <c r="F228" s="229"/>
      <c r="G228" s="229"/>
      <c r="H228" s="229"/>
      <c r="I228" s="229"/>
      <c r="J228" s="229"/>
      <c r="K228" s="229"/>
      <c r="L228" s="229"/>
      <c r="M228" s="229"/>
      <c r="N228" s="229"/>
      <c r="O228" s="67"/>
      <c r="P228" s="67"/>
      <c r="Q228" s="67"/>
    </row>
    <row r="229" spans="2:17" s="327" customFormat="1">
      <c r="B229" s="67"/>
      <c r="C229" s="67"/>
      <c r="D229" s="67"/>
      <c r="E229" s="229"/>
      <c r="F229" s="229"/>
      <c r="G229" s="229"/>
      <c r="H229" s="229"/>
      <c r="I229" s="229"/>
      <c r="J229" s="229"/>
      <c r="K229" s="229"/>
      <c r="L229" s="229"/>
      <c r="M229" s="229"/>
      <c r="N229" s="229"/>
      <c r="O229" s="67"/>
      <c r="P229" s="67"/>
      <c r="Q229" s="67"/>
    </row>
    <row r="230" spans="2:17" s="327" customFormat="1">
      <c r="B230" s="67"/>
      <c r="C230" s="67"/>
      <c r="D230" s="67"/>
      <c r="E230" s="229"/>
      <c r="F230" s="229"/>
      <c r="G230" s="229"/>
      <c r="H230" s="229"/>
      <c r="I230" s="229"/>
      <c r="J230" s="229"/>
      <c r="K230" s="229"/>
      <c r="L230" s="229"/>
      <c r="M230" s="229"/>
      <c r="N230" s="229"/>
      <c r="O230" s="67"/>
      <c r="P230" s="67"/>
      <c r="Q230" s="67"/>
    </row>
    <row r="231" spans="2:17" s="327" customFormat="1">
      <c r="B231" s="67"/>
      <c r="C231" s="67"/>
      <c r="D231" s="67"/>
      <c r="E231" s="229"/>
      <c r="F231" s="229"/>
      <c r="G231" s="229"/>
      <c r="H231" s="229"/>
      <c r="I231" s="229"/>
      <c r="J231" s="229"/>
      <c r="K231" s="229"/>
      <c r="L231" s="229"/>
      <c r="M231" s="229"/>
      <c r="N231" s="229"/>
      <c r="O231" s="67"/>
      <c r="P231" s="67"/>
      <c r="Q231" s="67"/>
    </row>
  </sheetData>
  <mergeCells count="63">
    <mergeCell ref="AW4:AZ5"/>
    <mergeCell ref="S4:S6"/>
    <mergeCell ref="J5:J6"/>
    <mergeCell ref="K5:K6"/>
    <mergeCell ref="L5:L6"/>
    <mergeCell ref="AK5:AK6"/>
    <mergeCell ref="AL5:AL6"/>
    <mergeCell ref="AM5:AM6"/>
    <mergeCell ref="AQ4:AQ6"/>
    <mergeCell ref="AV4:AV6"/>
    <mergeCell ref="AU4:AU6"/>
    <mergeCell ref="AF5:AF6"/>
    <mergeCell ref="AG5:AG6"/>
    <mergeCell ref="AH5:AH6"/>
    <mergeCell ref="AI5:AI6"/>
    <mergeCell ref="AJ5:AJ6"/>
    <mergeCell ref="V5:V6"/>
    <mergeCell ref="W5:W6"/>
    <mergeCell ref="X5:X6"/>
    <mergeCell ref="AE4:AE6"/>
    <mergeCell ref="Y5:Y6"/>
    <mergeCell ref="Z5:Z6"/>
    <mergeCell ref="AA5:AA6"/>
    <mergeCell ref="AB5:AB6"/>
    <mergeCell ref="AC5:AC6"/>
    <mergeCell ref="AD5:AD6"/>
    <mergeCell ref="AQ2:AS2"/>
    <mergeCell ref="B4:D4"/>
    <mergeCell ref="H4:Q4"/>
    <mergeCell ref="T4:AC4"/>
    <mergeCell ref="AF4:AO4"/>
    <mergeCell ref="BA4:BA6"/>
    <mergeCell ref="BB4:BC5"/>
    <mergeCell ref="BD4:BD6"/>
    <mergeCell ref="BE4:BF5"/>
    <mergeCell ref="BG4:BG6"/>
    <mergeCell ref="BH4:BI5"/>
    <mergeCell ref="BK4:BL5"/>
    <mergeCell ref="BM4:BM6"/>
    <mergeCell ref="BN4:BO5"/>
    <mergeCell ref="BP4:BP6"/>
    <mergeCell ref="BJ4:BJ6"/>
    <mergeCell ref="BQ4:BR5"/>
    <mergeCell ref="BS4:BS6"/>
    <mergeCell ref="BT4:BU5"/>
    <mergeCell ref="BV4:BW5"/>
    <mergeCell ref="BX4:BX6"/>
    <mergeCell ref="AN5:AN6"/>
    <mergeCell ref="AO5:AO6"/>
    <mergeCell ref="AP5:AP6"/>
    <mergeCell ref="B5:B6"/>
    <mergeCell ref="C5:C6"/>
    <mergeCell ref="D5:D6"/>
    <mergeCell ref="O5:O6"/>
    <mergeCell ref="P5:P6"/>
    <mergeCell ref="M5:M6"/>
    <mergeCell ref="N5:N6"/>
    <mergeCell ref="H5:H6"/>
    <mergeCell ref="I5:I6"/>
    <mergeCell ref="Q5:Q6"/>
    <mergeCell ref="R5:R6"/>
    <mergeCell ref="T5:T6"/>
    <mergeCell ref="U5:U6"/>
  </mergeCells>
  <dataValidations count="2">
    <dataValidation type="list" allowBlank="1" showInputMessage="1" showErrorMessage="1" sqref="O100 AQ13">
      <formula1>"Sans objet,à définir,Compris,Non prévu,Pm,"</formula1>
    </dataValidation>
    <dataValidation type="list" allowBlank="1" showInputMessage="1" showErrorMessage="1" sqref="C11 D11">
      <formula1>INDIRECT(B11)</formula1>
    </dataValidation>
  </dataValidations>
  <pageMargins left="0.25" right="0.25" top="0.75" bottom="0.75" header="0.3" footer="0.3"/>
  <pageSetup paperSize="9" scale="10" fitToHeight="0" orientation="landscape"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BB_PRIX!$B$5:$B$86</xm:f>
          </x14:formula1>
          <xm:sqref>B11</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68</vt:i4>
      </vt:variant>
    </vt:vector>
  </HeadingPairs>
  <TitlesOfParts>
    <vt:vector size="72" baseType="lpstr">
      <vt:lpstr>PdG</vt:lpstr>
      <vt:lpstr>Lot_1_VRD</vt:lpstr>
      <vt:lpstr>BB_PRIX</vt:lpstr>
      <vt:lpstr>Mac</vt:lpstr>
      <vt:lpstr>ACTUALISABLE</vt:lpstr>
      <vt:lpstr>ARRONDI_PU</vt:lpstr>
      <vt:lpstr>ARRONDI_QT</vt:lpstr>
      <vt:lpstr>Base_vie</vt:lpstr>
      <vt:lpstr>Béton</vt:lpstr>
      <vt:lpstr>Canalisations_enterrées</vt:lpstr>
      <vt:lpstr>CE_0_INSTALLATION_DE_CHANTIER</vt:lpstr>
      <vt:lpstr>CE_1_TERRASSEMENTS_VCT</vt:lpstr>
      <vt:lpstr>CE_16_VRD</vt:lpstr>
      <vt:lpstr>CE_2_GROS_ŒUVRE</vt:lpstr>
      <vt:lpstr>COEF_FOUR1_GO</vt:lpstr>
      <vt:lpstr>COEF_FOUR1_INSTALL</vt:lpstr>
      <vt:lpstr>COEF_FOUR1_TERR</vt:lpstr>
      <vt:lpstr>COEF_FOUR1_VRD</vt:lpstr>
      <vt:lpstr>COEF_FOUR2_GO</vt:lpstr>
      <vt:lpstr>COEF_FOUR2_INSTALL</vt:lpstr>
      <vt:lpstr>COEF_FOUR2_TERR</vt:lpstr>
      <vt:lpstr>COEF_FOUR2_VRD</vt:lpstr>
      <vt:lpstr>COEF_FOUR3_GO</vt:lpstr>
      <vt:lpstr>COEF_FOUR3_INSTALL</vt:lpstr>
      <vt:lpstr>COEF_FOUR3_TERR</vt:lpstr>
      <vt:lpstr>COEF_FOUR3_VRD</vt:lpstr>
      <vt:lpstr>COEF_FOURNITURE1</vt:lpstr>
      <vt:lpstr>COEF_FOURNITURE2</vt:lpstr>
      <vt:lpstr>COEF_FOURNITURE3</vt:lpstr>
      <vt:lpstr>COEF_MO</vt:lpstr>
      <vt:lpstr>COEF_MO_GO</vt:lpstr>
      <vt:lpstr>COEF_MO_INSTALL</vt:lpstr>
      <vt:lpstr>COEF_MO_TERR</vt:lpstr>
      <vt:lpstr>COEF_MO_VRD</vt:lpstr>
      <vt:lpstr>COEF_MTL_AMR</vt:lpstr>
      <vt:lpstr>COEF_MTL_LOC</vt:lpstr>
      <vt:lpstr>COEF_MTLAMR_GO</vt:lpstr>
      <vt:lpstr>COEF_MTLAMR_INSTALL</vt:lpstr>
      <vt:lpstr>COEF_MTLAMR_TERR</vt:lpstr>
      <vt:lpstr>COEF_MTLAMR_VRD</vt:lpstr>
      <vt:lpstr>COEF_MTLLOC_GO</vt:lpstr>
      <vt:lpstr>COEF_MTLLOC_INSTALL</vt:lpstr>
      <vt:lpstr>COEF_MTLLOC_TERR</vt:lpstr>
      <vt:lpstr>COEF_MTLLOC_VRD</vt:lpstr>
      <vt:lpstr>COEF_ST1</vt:lpstr>
      <vt:lpstr>COEF_ST1_GO</vt:lpstr>
      <vt:lpstr>COEF_ST1_INSTALL</vt:lpstr>
      <vt:lpstr>COEF_ST1_TERR</vt:lpstr>
      <vt:lpstr>COEF_ST1_VRD</vt:lpstr>
      <vt:lpstr>COEF_ST2</vt:lpstr>
      <vt:lpstr>COEF_ST2_GO</vt:lpstr>
      <vt:lpstr>COEF_ST2_INSTALL</vt:lpstr>
      <vt:lpstr>COEF_ST2_TERR</vt:lpstr>
      <vt:lpstr>COEF_ST2_VRD</vt:lpstr>
      <vt:lpstr>DATE</vt:lpstr>
      <vt:lpstr>DATE_VALEUR</vt:lpstr>
      <vt:lpstr>Décapage</vt:lpstr>
      <vt:lpstr>Fouille_pleine_masse</vt:lpstr>
      <vt:lpstr>Grue_à_tour</vt:lpstr>
      <vt:lpstr>Lot_1_VRD!Impression_des_titres</vt:lpstr>
      <vt:lpstr>INDICE_DQE</vt:lpstr>
      <vt:lpstr>Réseau_EP</vt:lpstr>
      <vt:lpstr>Réseau_EU</vt:lpstr>
      <vt:lpstr>REVISABLE</vt:lpstr>
      <vt:lpstr>Terrassements_complémentaires</vt:lpstr>
      <vt:lpstr>TH_GO</vt:lpstr>
      <vt:lpstr>TH_INSTALL</vt:lpstr>
      <vt:lpstr>TH_TERR</vt:lpstr>
      <vt:lpstr>TH_VRD</vt:lpstr>
      <vt:lpstr>Travaux_préalables</vt:lpstr>
      <vt:lpstr>TVA</vt:lpstr>
      <vt:lpstr>Lot_1_VRD!Zone_d_impression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 Lajuzan</dc:creator>
  <cp:lastModifiedBy>Christophe Lajuzan</cp:lastModifiedBy>
  <cp:lastPrinted>2016-09-24T09:24:03Z</cp:lastPrinted>
  <dcterms:created xsi:type="dcterms:W3CDTF">2016-09-01T12:21:10Z</dcterms:created>
  <dcterms:modified xsi:type="dcterms:W3CDTF">2016-09-24T17:15:21Z</dcterms:modified>
</cp:coreProperties>
</file>