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rgeois\Desktop\"/>
    </mc:Choice>
  </mc:AlternateContent>
  <bookViews>
    <workbookView xWindow="0" yWindow="0" windowWidth="16380" windowHeight="8190"/>
  </bookViews>
  <sheets>
    <sheet name="349A6898P001" sheetId="1" r:id="rId1"/>
    <sheet name="Accueil" sheetId="2" state="hidden" r:id="rId2"/>
    <sheet name="chiffrage" sheetId="3" r:id="rId3"/>
    <sheet name="Matiere" sheetId="4" r:id="rId4"/>
    <sheet name="Composant" sheetId="5" r:id="rId5"/>
    <sheet name="listeop" sheetId="6" r:id="rId6"/>
    <sheet name="Laser" sheetId="7" state="hidden" r:id="rId7"/>
    <sheet name="parametres" sheetId="8" state="hidden" r:id="rId8"/>
  </sheets>
  <definedNames>
    <definedName name="Auteur">chiffrage!$AJ$7:$AJ$16</definedName>
    <definedName name="Delai">chiffrage!$AL$7:$AL$16</definedName>
    <definedName name="DensiteMatiere">Matiere!$A$4:$B$50</definedName>
    <definedName name="DesignationAchatQte">Composant!$B$3:$B$998</definedName>
    <definedName name="DesignationAuteur">chiffrage!$AJ$7:$AJ$27</definedName>
    <definedName name="DesignationComposant">Composant!$H$2:$H$198</definedName>
    <definedName name="DesignationDensiteMatiere">Matiere!$E$4:$I$250</definedName>
    <definedName name="DesignationMatiere">Matiere!$E$4:$E$251</definedName>
    <definedName name="DesignationOperation">listeop!$A$5:$A$1004</definedName>
    <definedName name="DesignationTS">listeop!$P$3:$P$27</definedName>
    <definedName name="Difficulte">chiffrage!$AN$7:$AN$14</definedName>
    <definedName name="InfosDeviseur">chiffrage!$AQ$7:$AQ$22</definedName>
    <definedName name="ListeOperation">listeop!$A$5:$L$344</definedName>
    <definedName name="Parametre">parametres!$A$1:$E$2</definedName>
    <definedName name="PrixComposant">Composant!$H$3:$I$254</definedName>
    <definedName name="TempsLaser">Laser!$F$2:$H$1000</definedName>
    <definedName name="Traitement">chiffrage!$AP$7:$AP$17</definedName>
    <definedName name="TypeMatiere">Matiere!$A$4:$A$50</definedName>
    <definedName name="_xlnm.Print_Area" localSheetId="0">'349A6898P001'!$A$1:$N$62</definedName>
    <definedName name="_xlnm.Print_Area" localSheetId="2">chiffrage!$B$1:$O$62</definedName>
  </definedNames>
  <calcPr calcId="162913"/>
</workbook>
</file>

<file path=xl/calcChain.xml><?xml version="1.0" encoding="utf-8"?>
<calcChain xmlns="http://schemas.openxmlformats.org/spreadsheetml/2006/main">
  <c r="G50" i="1" l="1"/>
  <c r="I26" i="1" l="1"/>
  <c r="L26" i="1"/>
  <c r="I7" i="1" l="1"/>
  <c r="AA24" i="1"/>
  <c r="W24" i="1" s="1"/>
  <c r="Z24" i="1"/>
  <c r="V24" i="1" s="1"/>
  <c r="AA22" i="1"/>
  <c r="W22" i="1" s="1"/>
  <c r="Z22" i="1"/>
  <c r="V22" i="1" s="1"/>
  <c r="AA21" i="1"/>
  <c r="W21" i="1" s="1"/>
  <c r="Z21" i="1"/>
  <c r="V21" i="1" s="1"/>
  <c r="AA19" i="1"/>
  <c r="W19" i="1" s="1"/>
  <c r="Z19" i="1"/>
  <c r="V19" i="1"/>
  <c r="AA18" i="1"/>
  <c r="W18" i="1" s="1"/>
  <c r="Z18" i="1"/>
  <c r="V18" i="1" s="1"/>
  <c r="AA16" i="1"/>
  <c r="W16" i="1" s="1"/>
  <c r="Z16" i="1"/>
  <c r="V16" i="1" s="1"/>
  <c r="AA15" i="1"/>
  <c r="W15" i="1" s="1"/>
  <c r="Z15" i="1"/>
  <c r="V15" i="1"/>
  <c r="AA13" i="1"/>
  <c r="W13" i="1" s="1"/>
  <c r="Z13" i="1"/>
  <c r="V13" i="1" s="1"/>
  <c r="AA12" i="1"/>
  <c r="W12" i="1" s="1"/>
  <c r="Z12" i="1"/>
  <c r="V12" i="1" s="1"/>
  <c r="Z347" i="1"/>
  <c r="V347" i="1" s="1"/>
  <c r="AA346" i="1"/>
  <c r="W346" i="1" s="1"/>
  <c r="Z346" i="1"/>
  <c r="V346" i="1" s="1"/>
  <c r="AA344" i="1"/>
  <c r="W344" i="1" s="1"/>
  <c r="Z344" i="1"/>
  <c r="V344" i="1" s="1"/>
  <c r="AA343" i="1"/>
  <c r="W343" i="1" s="1"/>
  <c r="Z343" i="1"/>
  <c r="V343" i="1" s="1"/>
  <c r="Y343" i="1"/>
  <c r="AA341" i="1"/>
  <c r="W341" i="1" s="1"/>
  <c r="Z341" i="1"/>
  <c r="V341" i="1" s="1"/>
  <c r="AA340" i="1"/>
  <c r="W340" i="1" s="1"/>
  <c r="Z340" i="1"/>
  <c r="V340" i="1" s="1"/>
  <c r="Y340" i="1"/>
  <c r="AA338" i="1"/>
  <c r="W338" i="1" s="1"/>
  <c r="Z338" i="1"/>
  <c r="V338" i="1" s="1"/>
  <c r="AA337" i="1"/>
  <c r="W337" i="1" s="1"/>
  <c r="Z337" i="1"/>
  <c r="V337" i="1"/>
  <c r="AA335" i="1"/>
  <c r="W335" i="1" s="1"/>
  <c r="Z335" i="1"/>
  <c r="V335" i="1" s="1"/>
  <c r="AA334" i="1"/>
  <c r="W334" i="1" s="1"/>
  <c r="Z334" i="1"/>
  <c r="V334" i="1" s="1"/>
  <c r="AA300" i="1"/>
  <c r="W300" i="1" s="1"/>
  <c r="Z300" i="1"/>
  <c r="V300" i="1" s="1"/>
  <c r="AA298" i="1"/>
  <c r="W298" i="1" s="1"/>
  <c r="Z298" i="1"/>
  <c r="V298" i="1" s="1"/>
  <c r="AA297" i="1"/>
  <c r="W297" i="1" s="1"/>
  <c r="Z297" i="1"/>
  <c r="V297" i="1"/>
  <c r="AA295" i="1"/>
  <c r="Z295" i="1"/>
  <c r="V295" i="1" s="1"/>
  <c r="W295" i="1"/>
  <c r="AA294" i="1"/>
  <c r="W294" i="1" s="1"/>
  <c r="Z294" i="1"/>
  <c r="V294" i="1" s="1"/>
  <c r="AA292" i="1"/>
  <c r="W292" i="1" s="1"/>
  <c r="Z292" i="1"/>
  <c r="V292" i="1" s="1"/>
  <c r="AA291" i="1"/>
  <c r="Z291" i="1"/>
  <c r="V291" i="1" s="1"/>
  <c r="W291" i="1"/>
  <c r="AA289" i="1"/>
  <c r="W289" i="1" s="1"/>
  <c r="Z289" i="1"/>
  <c r="V289" i="1"/>
  <c r="AA288" i="1"/>
  <c r="W288" i="1" s="1"/>
  <c r="Z288" i="1"/>
  <c r="V288" i="1" s="1"/>
  <c r="AA254" i="1"/>
  <c r="W254" i="1" s="1"/>
  <c r="Z254" i="1"/>
  <c r="V254" i="1" s="1"/>
  <c r="AA252" i="1"/>
  <c r="W252" i="1" s="1"/>
  <c r="Z252" i="1"/>
  <c r="V252" i="1" s="1"/>
  <c r="AA251" i="1"/>
  <c r="W251" i="1" s="1"/>
  <c r="Z251" i="1"/>
  <c r="V251" i="1" s="1"/>
  <c r="AA249" i="1"/>
  <c r="W249" i="1" s="1"/>
  <c r="Z249" i="1"/>
  <c r="V249" i="1" s="1"/>
  <c r="AA248" i="1"/>
  <c r="W248" i="1" s="1"/>
  <c r="Z248" i="1"/>
  <c r="V248" i="1" s="1"/>
  <c r="AA246" i="1"/>
  <c r="W246" i="1" s="1"/>
  <c r="Z246" i="1"/>
  <c r="V246" i="1" s="1"/>
  <c r="AA245" i="1"/>
  <c r="W245" i="1" s="1"/>
  <c r="Z245" i="1"/>
  <c r="V245" i="1" s="1"/>
  <c r="AA243" i="1"/>
  <c r="W243" i="1" s="1"/>
  <c r="Z243" i="1"/>
  <c r="V243" i="1" s="1"/>
  <c r="AA242" i="1"/>
  <c r="W242" i="1" s="1"/>
  <c r="Z242" i="1"/>
  <c r="V242" i="1" s="1"/>
  <c r="AA208" i="1"/>
  <c r="W208" i="1" s="1"/>
  <c r="Z208" i="1"/>
  <c r="V208" i="1" s="1"/>
  <c r="AA206" i="1"/>
  <c r="W206" i="1" s="1"/>
  <c r="Z206" i="1"/>
  <c r="V206" i="1" s="1"/>
  <c r="AA205" i="1"/>
  <c r="Z205" i="1"/>
  <c r="V205" i="1" s="1"/>
  <c r="W205" i="1"/>
  <c r="AA203" i="1"/>
  <c r="W203" i="1" s="1"/>
  <c r="Z203" i="1"/>
  <c r="V203" i="1"/>
  <c r="AA202" i="1"/>
  <c r="W202" i="1" s="1"/>
  <c r="Z202" i="1"/>
  <c r="V202" i="1" s="1"/>
  <c r="AA200" i="1"/>
  <c r="W200" i="1" s="1"/>
  <c r="Z200" i="1"/>
  <c r="V200" i="1" s="1"/>
  <c r="AA199" i="1"/>
  <c r="W199" i="1" s="1"/>
  <c r="Z199" i="1"/>
  <c r="V199" i="1"/>
  <c r="AA197" i="1"/>
  <c r="Z197" i="1"/>
  <c r="V197" i="1" s="1"/>
  <c r="W197" i="1"/>
  <c r="AA196" i="1"/>
  <c r="W196" i="1" s="1"/>
  <c r="Z196" i="1"/>
  <c r="V196" i="1" s="1"/>
  <c r="AA162" i="1"/>
  <c r="W162" i="1" s="1"/>
  <c r="Z162" i="1"/>
  <c r="V162" i="1" s="1"/>
  <c r="AA160" i="1"/>
  <c r="W160" i="1" s="1"/>
  <c r="Z160" i="1"/>
  <c r="V160" i="1" s="1"/>
  <c r="AA159" i="1"/>
  <c r="W159" i="1" s="1"/>
  <c r="Z159" i="1"/>
  <c r="V159" i="1" s="1"/>
  <c r="AA157" i="1"/>
  <c r="W157" i="1" s="1"/>
  <c r="Z157" i="1"/>
  <c r="V157" i="1" s="1"/>
  <c r="AA156" i="1"/>
  <c r="W156" i="1" s="1"/>
  <c r="Z156" i="1"/>
  <c r="V156" i="1" s="1"/>
  <c r="AA154" i="1"/>
  <c r="W154" i="1" s="1"/>
  <c r="Z154" i="1"/>
  <c r="V154" i="1" s="1"/>
  <c r="AA153" i="1"/>
  <c r="W153" i="1" s="1"/>
  <c r="Z153" i="1"/>
  <c r="V153" i="1" s="1"/>
  <c r="AA151" i="1"/>
  <c r="W151" i="1" s="1"/>
  <c r="Z151" i="1"/>
  <c r="V151" i="1" s="1"/>
  <c r="AA150" i="1"/>
  <c r="W150" i="1" s="1"/>
  <c r="Z150" i="1"/>
  <c r="V150" i="1" s="1"/>
  <c r="AA116" i="1"/>
  <c r="W116" i="1" s="1"/>
  <c r="Z116" i="1"/>
  <c r="V116" i="1" s="1"/>
  <c r="AA114" i="1"/>
  <c r="W114" i="1" s="1"/>
  <c r="Z114" i="1"/>
  <c r="V114" i="1" s="1"/>
  <c r="AA113" i="1"/>
  <c r="W113" i="1" s="1"/>
  <c r="Z113" i="1"/>
  <c r="V113" i="1"/>
  <c r="AA111" i="1"/>
  <c r="W111" i="1" s="1"/>
  <c r="Z111" i="1"/>
  <c r="V111" i="1"/>
  <c r="AA110" i="1"/>
  <c r="W110" i="1" s="1"/>
  <c r="Z110" i="1"/>
  <c r="V110" i="1" s="1"/>
  <c r="AA108" i="1"/>
  <c r="Z108" i="1"/>
  <c r="V108" i="1" s="1"/>
  <c r="W108" i="1"/>
  <c r="AA107" i="1"/>
  <c r="Z107" i="1"/>
  <c r="V107" i="1" s="1"/>
  <c r="W107" i="1"/>
  <c r="AA105" i="1"/>
  <c r="W105" i="1" s="1"/>
  <c r="Z105" i="1"/>
  <c r="V105" i="1"/>
  <c r="AA104" i="1"/>
  <c r="W104" i="1" s="1"/>
  <c r="Z104" i="1"/>
  <c r="V104" i="1" s="1"/>
  <c r="AA65" i="1"/>
  <c r="W65" i="1" s="1"/>
  <c r="AA70" i="1"/>
  <c r="W70" i="1" s="1"/>
  <c r="AA68" i="1"/>
  <c r="W68" i="1" s="1"/>
  <c r="AA67" i="1"/>
  <c r="W67" i="1" s="1"/>
  <c r="AA64" i="1"/>
  <c r="W64" i="1" s="1"/>
  <c r="AA62" i="1"/>
  <c r="W62" i="1" s="1"/>
  <c r="AA61" i="1"/>
  <c r="W61" i="1" s="1"/>
  <c r="AA59" i="1"/>
  <c r="W59" i="1" s="1"/>
  <c r="AA58" i="1"/>
  <c r="W58" i="1" s="1"/>
  <c r="Z70" i="1"/>
  <c r="V70" i="1" s="1"/>
  <c r="Z68" i="1"/>
  <c r="V68" i="1" s="1"/>
  <c r="Z67" i="1"/>
  <c r="V67" i="1" s="1"/>
  <c r="Z65" i="1"/>
  <c r="V65" i="1" s="1"/>
  <c r="Z64" i="1"/>
  <c r="V64" i="1" s="1"/>
  <c r="Z62" i="1"/>
  <c r="V62" i="1" s="1"/>
  <c r="Z61" i="1"/>
  <c r="V61" i="1" s="1"/>
  <c r="Z59" i="1"/>
  <c r="V59" i="1" s="1"/>
  <c r="Z58" i="1"/>
  <c r="V58" i="1" s="1"/>
  <c r="S12" i="1"/>
  <c r="AI19" i="1"/>
  <c r="AI16" i="1"/>
  <c r="AI9" i="1"/>
  <c r="AH9" i="1"/>
  <c r="AG9" i="1"/>
  <c r="AJ8" i="1"/>
  <c r="AJ9" i="1" s="1"/>
  <c r="D6" i="1"/>
  <c r="R370" i="1"/>
  <c r="O370" i="1"/>
  <c r="T369" i="1"/>
  <c r="T368" i="1"/>
  <c r="T367" i="1"/>
  <c r="T366" i="1"/>
  <c r="S365" i="1"/>
  <c r="T365" i="1" s="1"/>
  <c r="T363" i="1"/>
  <c r="R363" i="1"/>
  <c r="O360" i="1"/>
  <c r="T358" i="1"/>
  <c r="S356" i="1"/>
  <c r="S354" i="1"/>
  <c r="S351" i="1"/>
  <c r="U349" i="1"/>
  <c r="S348" i="1"/>
  <c r="R347" i="1"/>
  <c r="AA347" i="1" s="1"/>
  <c r="Q347" i="1"/>
  <c r="S346" i="1"/>
  <c r="U346" i="1" s="1"/>
  <c r="S344" i="1"/>
  <c r="U344" i="1" s="1"/>
  <c r="S343" i="1"/>
  <c r="U343" i="1" s="1"/>
  <c r="S341" i="1"/>
  <c r="U341" i="1" s="1"/>
  <c r="S340" i="1"/>
  <c r="U340" i="1" s="1"/>
  <c r="S338" i="1"/>
  <c r="U338" i="1" s="1"/>
  <c r="S337" i="1"/>
  <c r="T337" i="1" s="1"/>
  <c r="S335" i="1"/>
  <c r="U335" i="1" s="1"/>
  <c r="S334" i="1"/>
  <c r="W327" i="1"/>
  <c r="U327" i="1"/>
  <c r="V327" i="1" s="1"/>
  <c r="O326" i="1"/>
  <c r="S347" i="1" l="1"/>
  <c r="T347" i="1" s="1"/>
  <c r="W347" i="1"/>
  <c r="X347" i="1" s="1"/>
  <c r="X340" i="1"/>
  <c r="H7" i="1"/>
  <c r="X334" i="1"/>
  <c r="Y341" i="1"/>
  <c r="Y344" i="1"/>
  <c r="Y334" i="1"/>
  <c r="Y337" i="1"/>
  <c r="Y347" i="1"/>
  <c r="Y335" i="1"/>
  <c r="Y346" i="1"/>
  <c r="Y338" i="1"/>
  <c r="T334" i="1"/>
  <c r="X335" i="1"/>
  <c r="X346" i="1"/>
  <c r="X341" i="1"/>
  <c r="X337" i="1"/>
  <c r="X343" i="1"/>
  <c r="T340" i="1"/>
  <c r="O333" i="1" s="1"/>
  <c r="T341" i="1"/>
  <c r="T346" i="1"/>
  <c r="T344" i="1"/>
  <c r="T338" i="1"/>
  <c r="T343" i="1"/>
  <c r="X338" i="1"/>
  <c r="X344" i="1"/>
  <c r="T335" i="1"/>
  <c r="U334" i="1"/>
  <c r="T359" i="1"/>
  <c r="T370" i="1"/>
  <c r="U370" i="1" s="1"/>
  <c r="B6" i="1"/>
  <c r="C6" i="1"/>
  <c r="T348" i="1"/>
  <c r="U337" i="1"/>
  <c r="U347" i="1"/>
  <c r="T356" i="1"/>
  <c r="G29" i="1"/>
  <c r="O343" i="1" l="1"/>
  <c r="O337" i="1"/>
  <c r="O338" i="1"/>
  <c r="O341" i="1"/>
  <c r="O340" i="1"/>
  <c r="O344" i="1"/>
  <c r="T350" i="1"/>
  <c r="T354" i="1" s="1"/>
  <c r="T351" i="1"/>
  <c r="T355" i="1" s="1"/>
  <c r="O4" i="1"/>
  <c r="U5" i="1"/>
  <c r="F6" i="1" s="1"/>
  <c r="W5" i="1"/>
  <c r="L6" i="1" s="1"/>
  <c r="I6" i="1"/>
  <c r="AQ8" i="1"/>
  <c r="U12" i="1"/>
  <c r="S13" i="1"/>
  <c r="U13" i="1" s="1"/>
  <c r="S15" i="1"/>
  <c r="U15" i="1" s="1"/>
  <c r="C16" i="1"/>
  <c r="H16" i="1"/>
  <c r="S16" i="1"/>
  <c r="U16" i="1" s="1"/>
  <c r="C17" i="1"/>
  <c r="H17" i="1"/>
  <c r="C18" i="1"/>
  <c r="H18" i="1"/>
  <c r="S18" i="1"/>
  <c r="C19" i="1"/>
  <c r="H19" i="1"/>
  <c r="S19" i="1"/>
  <c r="C20" i="1"/>
  <c r="H20" i="1"/>
  <c r="C21" i="1"/>
  <c r="H21" i="1"/>
  <c r="S21" i="1"/>
  <c r="C22" i="1"/>
  <c r="H22" i="1"/>
  <c r="S22" i="1"/>
  <c r="U22" i="1" s="1"/>
  <c r="G24" i="1"/>
  <c r="S24" i="1"/>
  <c r="T24" i="1" s="1"/>
  <c r="Q25" i="1"/>
  <c r="R25" i="1"/>
  <c r="S25" i="1"/>
  <c r="B26" i="1"/>
  <c r="D26" i="1"/>
  <c r="E26" i="1"/>
  <c r="N26" i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S26" i="1"/>
  <c r="B27" i="1"/>
  <c r="C27" i="1"/>
  <c r="J27" i="1" s="1"/>
  <c r="D27" i="1"/>
  <c r="E27" i="1"/>
  <c r="F27" i="1"/>
  <c r="G27" i="1"/>
  <c r="H27" i="1"/>
  <c r="I27" i="1"/>
  <c r="B28" i="1"/>
  <c r="D28" i="1"/>
  <c r="E28" i="1"/>
  <c r="H28" i="1"/>
  <c r="J28" i="1" s="1"/>
  <c r="B29" i="1"/>
  <c r="C29" i="1"/>
  <c r="D29" i="1"/>
  <c r="E29" i="1"/>
  <c r="F29" i="1"/>
  <c r="H29" i="1"/>
  <c r="I29" i="1"/>
  <c r="J29" i="1"/>
  <c r="S29" i="1"/>
  <c r="T34" i="1" s="1"/>
  <c r="B30" i="1"/>
  <c r="D30" i="1"/>
  <c r="E30" i="1"/>
  <c r="H30" i="1"/>
  <c r="I30" i="1" s="1"/>
  <c r="L30" i="1" s="1"/>
  <c r="B31" i="1"/>
  <c r="C31" i="1"/>
  <c r="J31" i="1" s="1"/>
  <c r="D31" i="1"/>
  <c r="E31" i="1"/>
  <c r="F31" i="1"/>
  <c r="G31" i="1"/>
  <c r="H31" i="1"/>
  <c r="I31" i="1"/>
  <c r="B32" i="1"/>
  <c r="C32" i="1"/>
  <c r="D32" i="1"/>
  <c r="E32" i="1"/>
  <c r="F32" i="1"/>
  <c r="G32" i="1"/>
  <c r="H32" i="1"/>
  <c r="I32" i="1"/>
  <c r="S32" i="1"/>
  <c r="B33" i="1"/>
  <c r="C33" i="1"/>
  <c r="J33" i="1" s="1"/>
  <c r="D33" i="1"/>
  <c r="E33" i="1"/>
  <c r="F33" i="1"/>
  <c r="G33" i="1"/>
  <c r="H33" i="1"/>
  <c r="I33" i="1"/>
  <c r="B34" i="1"/>
  <c r="C34" i="1"/>
  <c r="J34" i="1" s="1"/>
  <c r="D34" i="1"/>
  <c r="E34" i="1"/>
  <c r="F34" i="1"/>
  <c r="G34" i="1"/>
  <c r="H34" i="1"/>
  <c r="I34" i="1"/>
  <c r="B35" i="1"/>
  <c r="C35" i="1"/>
  <c r="J35" i="1" s="1"/>
  <c r="D35" i="1"/>
  <c r="E35" i="1"/>
  <c r="F35" i="1"/>
  <c r="G35" i="1"/>
  <c r="H35" i="1"/>
  <c r="I35" i="1"/>
  <c r="B36" i="1"/>
  <c r="C36" i="1"/>
  <c r="D36" i="1"/>
  <c r="E36" i="1"/>
  <c r="F36" i="1"/>
  <c r="G36" i="1"/>
  <c r="H36" i="1"/>
  <c r="I36" i="1"/>
  <c r="J36" i="1"/>
  <c r="T36" i="1"/>
  <c r="B37" i="1"/>
  <c r="C37" i="1"/>
  <c r="J37" i="1" s="1"/>
  <c r="D37" i="1"/>
  <c r="E37" i="1"/>
  <c r="F37" i="1"/>
  <c r="G37" i="1"/>
  <c r="H37" i="1"/>
  <c r="I37" i="1"/>
  <c r="B38" i="1"/>
  <c r="C38" i="1"/>
  <c r="J38" i="1" s="1"/>
  <c r="D38" i="1"/>
  <c r="E38" i="1"/>
  <c r="F38" i="1"/>
  <c r="G38" i="1"/>
  <c r="H38" i="1"/>
  <c r="I38" i="1"/>
  <c r="O38" i="1"/>
  <c r="B39" i="1"/>
  <c r="C39" i="1"/>
  <c r="D39" i="1"/>
  <c r="E39" i="1"/>
  <c r="F39" i="1"/>
  <c r="G39" i="1"/>
  <c r="H39" i="1"/>
  <c r="I39" i="1"/>
  <c r="J39" i="1"/>
  <c r="B40" i="1"/>
  <c r="C40" i="1"/>
  <c r="J40" i="1" s="1"/>
  <c r="D40" i="1"/>
  <c r="E40" i="1"/>
  <c r="F40" i="1"/>
  <c r="G40" i="1"/>
  <c r="H40" i="1"/>
  <c r="I40" i="1"/>
  <c r="B41" i="1"/>
  <c r="C41" i="1"/>
  <c r="J41" i="1" s="1"/>
  <c r="D41" i="1"/>
  <c r="E41" i="1"/>
  <c r="F41" i="1"/>
  <c r="G41" i="1"/>
  <c r="H41" i="1"/>
  <c r="I41" i="1"/>
  <c r="R41" i="1"/>
  <c r="T41" i="1"/>
  <c r="B42" i="1"/>
  <c r="C42" i="1"/>
  <c r="J42" i="1" s="1"/>
  <c r="D42" i="1"/>
  <c r="E42" i="1"/>
  <c r="F42" i="1"/>
  <c r="G42" i="1"/>
  <c r="H42" i="1"/>
  <c r="I42" i="1"/>
  <c r="B43" i="1"/>
  <c r="C43" i="1"/>
  <c r="J43" i="1" s="1"/>
  <c r="D43" i="1"/>
  <c r="E43" i="1"/>
  <c r="F43" i="1"/>
  <c r="G43" i="1"/>
  <c r="H43" i="1"/>
  <c r="I43" i="1"/>
  <c r="S43" i="1"/>
  <c r="T43" i="1" s="1"/>
  <c r="B44" i="1"/>
  <c r="C44" i="1"/>
  <c r="J44" i="1" s="1"/>
  <c r="D44" i="1"/>
  <c r="E44" i="1"/>
  <c r="F44" i="1"/>
  <c r="G44" i="1"/>
  <c r="H44" i="1"/>
  <c r="I44" i="1"/>
  <c r="T44" i="1"/>
  <c r="B45" i="1"/>
  <c r="C45" i="1"/>
  <c r="J45" i="1" s="1"/>
  <c r="D45" i="1"/>
  <c r="E45" i="1"/>
  <c r="F45" i="1"/>
  <c r="G45" i="1"/>
  <c r="H45" i="1"/>
  <c r="I45" i="1"/>
  <c r="T45" i="1"/>
  <c r="B46" i="1"/>
  <c r="C46" i="1"/>
  <c r="J46" i="1" s="1"/>
  <c r="D46" i="1"/>
  <c r="E46" i="1"/>
  <c r="F46" i="1"/>
  <c r="G46" i="1"/>
  <c r="H46" i="1"/>
  <c r="I46" i="1"/>
  <c r="T46" i="1"/>
  <c r="T47" i="1"/>
  <c r="C48" i="1"/>
  <c r="O48" i="1"/>
  <c r="R48" i="1"/>
  <c r="O50" i="1"/>
  <c r="U51" i="1"/>
  <c r="W51" i="1"/>
  <c r="S58" i="1"/>
  <c r="S59" i="1"/>
  <c r="S61" i="1"/>
  <c r="S62" i="1"/>
  <c r="S64" i="1"/>
  <c r="S65" i="1"/>
  <c r="S67" i="1"/>
  <c r="T67" i="1" s="1"/>
  <c r="S68" i="1"/>
  <c r="S70" i="1"/>
  <c r="Q71" i="1"/>
  <c r="Z71" i="1" s="1"/>
  <c r="V71" i="1" s="1"/>
  <c r="R71" i="1"/>
  <c r="AA71" i="1" s="1"/>
  <c r="W71" i="1" s="1"/>
  <c r="S71" i="1"/>
  <c r="S72" i="1"/>
  <c r="U73" i="1"/>
  <c r="S75" i="1"/>
  <c r="S78" i="1"/>
  <c r="T83" i="1" s="1"/>
  <c r="S80" i="1"/>
  <c r="T82" i="1"/>
  <c r="O84" i="1"/>
  <c r="R87" i="1"/>
  <c r="T87" i="1"/>
  <c r="S89" i="1"/>
  <c r="T89" i="1" s="1"/>
  <c r="T90" i="1"/>
  <c r="T91" i="1"/>
  <c r="T92" i="1"/>
  <c r="T93" i="1"/>
  <c r="O94" i="1"/>
  <c r="R94" i="1"/>
  <c r="O96" i="1"/>
  <c r="U97" i="1"/>
  <c r="W97" i="1"/>
  <c r="S104" i="1"/>
  <c r="U104" i="1"/>
  <c r="S105" i="1"/>
  <c r="U105" i="1"/>
  <c r="S107" i="1"/>
  <c r="U107" i="1" s="1"/>
  <c r="S108" i="1"/>
  <c r="U108" i="1"/>
  <c r="S110" i="1"/>
  <c r="S111" i="1"/>
  <c r="S113" i="1"/>
  <c r="U113" i="1" s="1"/>
  <c r="S114" i="1"/>
  <c r="U114" i="1" s="1"/>
  <c r="S116" i="1"/>
  <c r="U116" i="1" s="1"/>
  <c r="Q117" i="1"/>
  <c r="R117" i="1"/>
  <c r="AA117" i="1" s="1"/>
  <c r="W117" i="1" s="1"/>
  <c r="S117" i="1"/>
  <c r="S118" i="1"/>
  <c r="U119" i="1"/>
  <c r="S121" i="1"/>
  <c r="T118" i="1" s="1"/>
  <c r="S124" i="1"/>
  <c r="S126" i="1"/>
  <c r="T128" i="1"/>
  <c r="O130" i="1"/>
  <c r="R133" i="1"/>
  <c r="T133" i="1"/>
  <c r="S135" i="1"/>
  <c r="T135" i="1" s="1"/>
  <c r="T136" i="1"/>
  <c r="T137" i="1"/>
  <c r="T138" i="1"/>
  <c r="T139" i="1"/>
  <c r="O140" i="1"/>
  <c r="R140" i="1"/>
  <c r="O142" i="1"/>
  <c r="U143" i="1"/>
  <c r="W143" i="1"/>
  <c r="S150" i="1"/>
  <c r="T150" i="1" s="1"/>
  <c r="S151" i="1"/>
  <c r="T151" i="1" s="1"/>
  <c r="S153" i="1"/>
  <c r="U153" i="1" s="1"/>
  <c r="S154" i="1"/>
  <c r="S156" i="1"/>
  <c r="S157" i="1"/>
  <c r="S159" i="1"/>
  <c r="U159" i="1" s="1"/>
  <c r="S160" i="1"/>
  <c r="U160" i="1" s="1"/>
  <c r="S162" i="1"/>
  <c r="U162" i="1" s="1"/>
  <c r="Q163" i="1"/>
  <c r="R163" i="1"/>
  <c r="S164" i="1"/>
  <c r="U165" i="1"/>
  <c r="S167" i="1"/>
  <c r="S170" i="1"/>
  <c r="S172" i="1"/>
  <c r="T174" i="1"/>
  <c r="O176" i="1"/>
  <c r="R179" i="1"/>
  <c r="T179" i="1"/>
  <c r="S181" i="1"/>
  <c r="T181" i="1" s="1"/>
  <c r="T182" i="1"/>
  <c r="T183" i="1"/>
  <c r="T184" i="1"/>
  <c r="T185" i="1"/>
  <c r="O186" i="1"/>
  <c r="R186" i="1"/>
  <c r="O188" i="1"/>
  <c r="U189" i="1"/>
  <c r="W189" i="1"/>
  <c r="S196" i="1"/>
  <c r="T196" i="1" s="1"/>
  <c r="S197" i="1"/>
  <c r="T197" i="1" s="1"/>
  <c r="U197" i="1"/>
  <c r="S199" i="1"/>
  <c r="U199" i="1" s="1"/>
  <c r="S200" i="1"/>
  <c r="U200" i="1" s="1"/>
  <c r="S202" i="1"/>
  <c r="S203" i="1"/>
  <c r="S205" i="1"/>
  <c r="U205" i="1" s="1"/>
  <c r="S206" i="1"/>
  <c r="U206" i="1" s="1"/>
  <c r="S208" i="1"/>
  <c r="Q209" i="1"/>
  <c r="R209" i="1"/>
  <c r="S210" i="1"/>
  <c r="U211" i="1"/>
  <c r="S213" i="1"/>
  <c r="S216" i="1"/>
  <c r="S218" i="1"/>
  <c r="T220" i="1"/>
  <c r="O222" i="1"/>
  <c r="R225" i="1"/>
  <c r="T225" i="1"/>
  <c r="S227" i="1"/>
  <c r="T227" i="1" s="1"/>
  <c r="T228" i="1"/>
  <c r="T229" i="1"/>
  <c r="T230" i="1"/>
  <c r="T231" i="1"/>
  <c r="O232" i="1"/>
  <c r="R232" i="1"/>
  <c r="O234" i="1"/>
  <c r="U235" i="1"/>
  <c r="V235" i="1"/>
  <c r="W235" i="1"/>
  <c r="S242" i="1"/>
  <c r="U242" i="1"/>
  <c r="S243" i="1"/>
  <c r="U243" i="1" s="1"/>
  <c r="S245" i="1"/>
  <c r="U245" i="1" s="1"/>
  <c r="S246" i="1"/>
  <c r="U246" i="1" s="1"/>
  <c r="S248" i="1"/>
  <c r="S249" i="1"/>
  <c r="U249" i="1" s="1"/>
  <c r="S251" i="1"/>
  <c r="U251" i="1"/>
  <c r="S252" i="1"/>
  <c r="U252" i="1" s="1"/>
  <c r="S254" i="1"/>
  <c r="U254" i="1" s="1"/>
  <c r="Q255" i="1"/>
  <c r="R255" i="1"/>
  <c r="S256" i="1"/>
  <c r="U257" i="1"/>
  <c r="S259" i="1"/>
  <c r="S262" i="1"/>
  <c r="S264" i="1"/>
  <c r="T266" i="1"/>
  <c r="O268" i="1"/>
  <c r="R271" i="1"/>
  <c r="T271" i="1"/>
  <c r="S273" i="1"/>
  <c r="T273" i="1" s="1"/>
  <c r="T274" i="1"/>
  <c r="T275" i="1"/>
  <c r="T276" i="1"/>
  <c r="T277" i="1"/>
  <c r="O278" i="1"/>
  <c r="R278" i="1"/>
  <c r="O280" i="1"/>
  <c r="U281" i="1"/>
  <c r="V281" i="1"/>
  <c r="W281" i="1"/>
  <c r="S288" i="1"/>
  <c r="U288" i="1"/>
  <c r="S289" i="1"/>
  <c r="U289" i="1"/>
  <c r="S291" i="1"/>
  <c r="U291" i="1" s="1"/>
  <c r="S292" i="1"/>
  <c r="S294" i="1"/>
  <c r="U294" i="1" s="1"/>
  <c r="S295" i="1"/>
  <c r="U295" i="1" s="1"/>
  <c r="S297" i="1"/>
  <c r="S298" i="1"/>
  <c r="U298" i="1" s="1"/>
  <c r="S300" i="1"/>
  <c r="Q301" i="1"/>
  <c r="R301" i="1"/>
  <c r="S302" i="1"/>
  <c r="U303" i="1"/>
  <c r="S305" i="1"/>
  <c r="S308" i="1"/>
  <c r="S310" i="1"/>
  <c r="T310" i="1"/>
  <c r="T312" i="1"/>
  <c r="O314" i="1"/>
  <c r="R317" i="1"/>
  <c r="T317" i="1"/>
  <c r="S319" i="1"/>
  <c r="T319" i="1" s="1"/>
  <c r="T320" i="1"/>
  <c r="T321" i="1"/>
  <c r="T322" i="1"/>
  <c r="T323" i="1"/>
  <c r="O324" i="1"/>
  <c r="R324" i="1"/>
  <c r="H1" i="2"/>
  <c r="L1" i="3"/>
  <c r="AA1" i="3"/>
  <c r="N2" i="3"/>
  <c r="P2" i="3"/>
  <c r="V3" i="3"/>
  <c r="W3" i="3"/>
  <c r="X3" i="3"/>
  <c r="AC3" i="3"/>
  <c r="A4" i="3"/>
  <c r="A5" i="3"/>
  <c r="G5" i="3"/>
  <c r="H5" i="3" s="1"/>
  <c r="I5" i="3" s="1"/>
  <c r="A6" i="3"/>
  <c r="G6" i="3"/>
  <c r="H6" i="3" s="1"/>
  <c r="I6" i="3" s="1"/>
  <c r="AD6" i="3"/>
  <c r="AE6" i="3"/>
  <c r="AF6" i="3"/>
  <c r="AG6" i="3"/>
  <c r="AR6" i="3"/>
  <c r="A7" i="3"/>
  <c r="G7" i="3"/>
  <c r="H7" i="3" s="1"/>
  <c r="I7" i="3" s="1"/>
  <c r="A8" i="3"/>
  <c r="G8" i="3"/>
  <c r="H8" i="3" s="1"/>
  <c r="I8" i="3" s="1"/>
  <c r="A9" i="3"/>
  <c r="G9" i="3"/>
  <c r="H9" i="3" s="1"/>
  <c r="I9" i="3" s="1"/>
  <c r="A10" i="3"/>
  <c r="G10" i="3"/>
  <c r="H10" i="3" s="1"/>
  <c r="I10" i="3" s="1"/>
  <c r="T10" i="3"/>
  <c r="U10" i="3"/>
  <c r="V10" i="3"/>
  <c r="A11" i="3"/>
  <c r="G11" i="3"/>
  <c r="H11" i="3" s="1"/>
  <c r="I11" i="3" s="1"/>
  <c r="T11" i="3"/>
  <c r="U11" i="3" s="1"/>
  <c r="V11" i="3"/>
  <c r="M12" i="3"/>
  <c r="N12" i="3"/>
  <c r="T12" i="3"/>
  <c r="U12" i="3" s="1"/>
  <c r="T13" i="3"/>
  <c r="V13" i="3" s="1"/>
  <c r="AF13" i="3"/>
  <c r="D14" i="3"/>
  <c r="I14" i="3"/>
  <c r="T14" i="3"/>
  <c r="V14" i="3"/>
  <c r="D15" i="3"/>
  <c r="I15" i="3"/>
  <c r="T15" i="3"/>
  <c r="U15" i="3"/>
  <c r="D16" i="3"/>
  <c r="I16" i="3"/>
  <c r="T16" i="3"/>
  <c r="AF16" i="3"/>
  <c r="D17" i="3"/>
  <c r="I17" i="3"/>
  <c r="T17" i="3"/>
  <c r="V17" i="3"/>
  <c r="D18" i="3"/>
  <c r="I18" i="3"/>
  <c r="T18" i="3"/>
  <c r="U18" i="3" s="1"/>
  <c r="D19" i="3"/>
  <c r="I19" i="3"/>
  <c r="T19" i="3"/>
  <c r="V19" i="3"/>
  <c r="D20" i="3"/>
  <c r="I20" i="3" s="1"/>
  <c r="T20" i="3"/>
  <c r="T21" i="3"/>
  <c r="U21" i="3" s="1"/>
  <c r="H22" i="3"/>
  <c r="T22" i="3"/>
  <c r="V22" i="3"/>
  <c r="R23" i="3"/>
  <c r="S23" i="3"/>
  <c r="C24" i="3"/>
  <c r="D24" i="3"/>
  <c r="E24" i="3"/>
  <c r="F24" i="3"/>
  <c r="G24" i="3"/>
  <c r="H24" i="3"/>
  <c r="I24" i="3"/>
  <c r="L24" i="3" s="1"/>
  <c r="J24" i="3"/>
  <c r="M24" i="3" s="1"/>
  <c r="K24" i="3"/>
  <c r="O24" i="3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T24" i="3"/>
  <c r="Z24" i="3"/>
  <c r="C25" i="3"/>
  <c r="D25" i="3"/>
  <c r="K25" i="3" s="1"/>
  <c r="E25" i="3"/>
  <c r="F25" i="3"/>
  <c r="G25" i="3"/>
  <c r="H25" i="3"/>
  <c r="I25" i="3"/>
  <c r="J25" i="3"/>
  <c r="M25" i="3" s="1"/>
  <c r="V25" i="3"/>
  <c r="C26" i="3"/>
  <c r="D26" i="3"/>
  <c r="E26" i="3"/>
  <c r="F26" i="3"/>
  <c r="G26" i="3"/>
  <c r="H26" i="3"/>
  <c r="I26" i="3"/>
  <c r="L26" i="3" s="1"/>
  <c r="J26" i="3"/>
  <c r="M26" i="3" s="1"/>
  <c r="K26" i="3"/>
  <c r="C27" i="3"/>
  <c r="D27" i="3"/>
  <c r="K27" i="3" s="1"/>
  <c r="E27" i="3"/>
  <c r="F27" i="3"/>
  <c r="G27" i="3"/>
  <c r="H27" i="3"/>
  <c r="I27" i="3"/>
  <c r="J27" i="3"/>
  <c r="M27" i="3" s="1"/>
  <c r="T27" i="3"/>
  <c r="C28" i="3"/>
  <c r="D28" i="3"/>
  <c r="E28" i="3"/>
  <c r="F28" i="3"/>
  <c r="G28" i="3"/>
  <c r="H28" i="3"/>
  <c r="I28" i="3"/>
  <c r="L28" i="3" s="1"/>
  <c r="J28" i="3"/>
  <c r="M28" i="3" s="1"/>
  <c r="K28" i="3"/>
  <c r="C29" i="3"/>
  <c r="D29" i="3"/>
  <c r="K29" i="3" s="1"/>
  <c r="E29" i="3"/>
  <c r="F29" i="3"/>
  <c r="G29" i="3"/>
  <c r="H29" i="3"/>
  <c r="I29" i="3"/>
  <c r="L29" i="3" s="1"/>
  <c r="J29" i="3"/>
  <c r="M29" i="3" s="1"/>
  <c r="C30" i="3"/>
  <c r="D30" i="3"/>
  <c r="K30" i="3" s="1"/>
  <c r="E30" i="3"/>
  <c r="F30" i="3"/>
  <c r="G30" i="3"/>
  <c r="H30" i="3"/>
  <c r="I30" i="3"/>
  <c r="L30" i="3" s="1"/>
  <c r="J30" i="3"/>
  <c r="M30" i="3" s="1"/>
  <c r="T30" i="3"/>
  <c r="C31" i="3"/>
  <c r="D31" i="3"/>
  <c r="K31" i="3" s="1"/>
  <c r="E31" i="3"/>
  <c r="F31" i="3"/>
  <c r="G31" i="3"/>
  <c r="H31" i="3"/>
  <c r="I31" i="3"/>
  <c r="L31" i="3" s="1"/>
  <c r="J31" i="3"/>
  <c r="M31" i="3" s="1"/>
  <c r="C32" i="3"/>
  <c r="D32" i="3"/>
  <c r="K32" i="3" s="1"/>
  <c r="E32" i="3"/>
  <c r="F32" i="3"/>
  <c r="G32" i="3"/>
  <c r="H32" i="3"/>
  <c r="I32" i="3"/>
  <c r="L32" i="3" s="1"/>
  <c r="J32" i="3"/>
  <c r="M32" i="3" s="1"/>
  <c r="T32" i="3"/>
  <c r="W32" i="3"/>
  <c r="Y32" i="3"/>
  <c r="C33" i="3"/>
  <c r="D33" i="3"/>
  <c r="K33" i="3" s="1"/>
  <c r="E33" i="3"/>
  <c r="F33" i="3"/>
  <c r="G33" i="3"/>
  <c r="H33" i="3"/>
  <c r="I33" i="3"/>
  <c r="L33" i="3" s="1"/>
  <c r="J33" i="3"/>
  <c r="M33" i="3" s="1"/>
  <c r="W33" i="3"/>
  <c r="Y33" i="3"/>
  <c r="C34" i="3"/>
  <c r="D34" i="3"/>
  <c r="K34" i="3" s="1"/>
  <c r="E34" i="3"/>
  <c r="F34" i="3"/>
  <c r="G34" i="3"/>
  <c r="H34" i="3"/>
  <c r="I34" i="3"/>
  <c r="J34" i="3"/>
  <c r="M34" i="3" s="1"/>
  <c r="U34" i="3"/>
  <c r="V34" i="3"/>
  <c r="W34" i="3"/>
  <c r="Y34" i="3"/>
  <c r="C35" i="3"/>
  <c r="D35" i="3"/>
  <c r="E35" i="3"/>
  <c r="F35" i="3"/>
  <c r="G35" i="3"/>
  <c r="H35" i="3"/>
  <c r="I35" i="3"/>
  <c r="L35" i="3" s="1"/>
  <c r="J35" i="3"/>
  <c r="M35" i="3" s="1"/>
  <c r="K35" i="3"/>
  <c r="U35" i="3"/>
  <c r="W35" i="3"/>
  <c r="C36" i="3"/>
  <c r="D36" i="3"/>
  <c r="K36" i="3" s="1"/>
  <c r="E36" i="3"/>
  <c r="F36" i="3"/>
  <c r="G36" i="3"/>
  <c r="H36" i="3"/>
  <c r="I36" i="3"/>
  <c r="L36" i="3" s="1"/>
  <c r="J36" i="3"/>
  <c r="M36" i="3" s="1"/>
  <c r="P36" i="3"/>
  <c r="C37" i="3"/>
  <c r="D37" i="3"/>
  <c r="E37" i="3"/>
  <c r="F37" i="3"/>
  <c r="G37" i="3"/>
  <c r="H37" i="3"/>
  <c r="I37" i="3"/>
  <c r="L37" i="3" s="1"/>
  <c r="J37" i="3"/>
  <c r="M37" i="3" s="1"/>
  <c r="K37" i="3"/>
  <c r="C38" i="3"/>
  <c r="D38" i="3"/>
  <c r="E38" i="3"/>
  <c r="F38" i="3"/>
  <c r="G38" i="3"/>
  <c r="H38" i="3"/>
  <c r="I38" i="3"/>
  <c r="L38" i="3" s="1"/>
  <c r="J38" i="3"/>
  <c r="M38" i="3" s="1"/>
  <c r="K38" i="3"/>
  <c r="C39" i="3"/>
  <c r="D39" i="3"/>
  <c r="K39" i="3" s="1"/>
  <c r="E39" i="3"/>
  <c r="F39" i="3"/>
  <c r="G39" i="3"/>
  <c r="H39" i="3"/>
  <c r="I39" i="3"/>
  <c r="J39" i="3"/>
  <c r="M39" i="3" s="1"/>
  <c r="S39" i="3"/>
  <c r="U39" i="3"/>
  <c r="C40" i="3"/>
  <c r="D40" i="3"/>
  <c r="E40" i="3"/>
  <c r="F40" i="3"/>
  <c r="G40" i="3"/>
  <c r="H40" i="3"/>
  <c r="I40" i="3"/>
  <c r="L40" i="3" s="1"/>
  <c r="J40" i="3"/>
  <c r="M40" i="3" s="1"/>
  <c r="K40" i="3"/>
  <c r="C41" i="3"/>
  <c r="D41" i="3"/>
  <c r="E41" i="3"/>
  <c r="F41" i="3"/>
  <c r="G41" i="3"/>
  <c r="H41" i="3"/>
  <c r="I41" i="3"/>
  <c r="L41" i="3" s="1"/>
  <c r="J41" i="3"/>
  <c r="M41" i="3" s="1"/>
  <c r="K41" i="3"/>
  <c r="T41" i="3"/>
  <c r="U41" i="3" s="1"/>
  <c r="C42" i="3"/>
  <c r="D42" i="3"/>
  <c r="K42" i="3" s="1"/>
  <c r="E42" i="3"/>
  <c r="F42" i="3"/>
  <c r="G42" i="3"/>
  <c r="H42" i="3"/>
  <c r="I42" i="3"/>
  <c r="L42" i="3" s="1"/>
  <c r="J42" i="3"/>
  <c r="M42" i="3" s="1"/>
  <c r="U42" i="3"/>
  <c r="C43" i="3"/>
  <c r="D43" i="3"/>
  <c r="K43" i="3" s="1"/>
  <c r="E43" i="3"/>
  <c r="F43" i="3"/>
  <c r="G43" i="3"/>
  <c r="H43" i="3"/>
  <c r="I43" i="3"/>
  <c r="J43" i="3"/>
  <c r="M43" i="3" s="1"/>
  <c r="U43" i="3"/>
  <c r="C44" i="3"/>
  <c r="D44" i="3"/>
  <c r="E44" i="3"/>
  <c r="F44" i="3"/>
  <c r="G44" i="3"/>
  <c r="H44" i="3"/>
  <c r="I44" i="3"/>
  <c r="L44" i="3" s="1"/>
  <c r="J44" i="3"/>
  <c r="M44" i="3" s="1"/>
  <c r="K44" i="3"/>
  <c r="U44" i="3"/>
  <c r="U46" i="3" s="1"/>
  <c r="V46" i="3" s="1"/>
  <c r="U45" i="3"/>
  <c r="D46" i="3"/>
  <c r="P46" i="3"/>
  <c r="S46" i="3"/>
  <c r="O48" i="3"/>
  <c r="P48" i="3"/>
  <c r="V49" i="3"/>
  <c r="W49" i="3"/>
  <c r="X49" i="3"/>
  <c r="O51" i="3"/>
  <c r="O52" i="3"/>
  <c r="T56" i="3"/>
  <c r="U56" i="3" s="1"/>
  <c r="V56" i="3"/>
  <c r="T57" i="3"/>
  <c r="U57" i="3" s="1"/>
  <c r="V57" i="3"/>
  <c r="T58" i="3"/>
  <c r="U58" i="3" s="1"/>
  <c r="T59" i="3"/>
  <c r="V59" i="3"/>
  <c r="T60" i="3"/>
  <c r="V60" i="3" s="1"/>
  <c r="T61" i="3"/>
  <c r="U61" i="3"/>
  <c r="T62" i="3"/>
  <c r="T63" i="3"/>
  <c r="V63" i="3"/>
  <c r="T64" i="3"/>
  <c r="U64" i="3" s="1"/>
  <c r="T65" i="3"/>
  <c r="V65" i="3"/>
  <c r="T66" i="3"/>
  <c r="V66" i="3"/>
  <c r="T67" i="3"/>
  <c r="U67" i="3" s="1"/>
  <c r="T68" i="3"/>
  <c r="V68" i="3" s="1"/>
  <c r="R69" i="3"/>
  <c r="S69" i="3"/>
  <c r="T70" i="3"/>
  <c r="W70" i="3"/>
  <c r="W72" i="3" s="1"/>
  <c r="Z70" i="3"/>
  <c r="V71" i="3"/>
  <c r="T73" i="3"/>
  <c r="U70" i="3" s="1"/>
  <c r="T76" i="3"/>
  <c r="T78" i="3"/>
  <c r="Y78" i="3"/>
  <c r="W79" i="3"/>
  <c r="Y79" i="3"/>
  <c r="V80" i="3"/>
  <c r="U80" i="3" s="1"/>
  <c r="W80" i="3"/>
  <c r="Y80" i="3"/>
  <c r="W81" i="3"/>
  <c r="P82" i="3"/>
  <c r="S85" i="3"/>
  <c r="U85" i="3"/>
  <c r="T87" i="3"/>
  <c r="U87" i="3"/>
  <c r="U92" i="3" s="1"/>
  <c r="V92" i="3" s="1"/>
  <c r="U88" i="3"/>
  <c r="U89" i="3"/>
  <c r="U90" i="3"/>
  <c r="U91" i="3"/>
  <c r="P92" i="3"/>
  <c r="S92" i="3"/>
  <c r="P94" i="3"/>
  <c r="V95" i="3"/>
  <c r="W95" i="3"/>
  <c r="X95" i="3"/>
  <c r="T102" i="3"/>
  <c r="U102" i="3" s="1"/>
  <c r="V102" i="3"/>
  <c r="T103" i="3"/>
  <c r="U103" i="3"/>
  <c r="V103" i="3"/>
  <c r="T104" i="3"/>
  <c r="U104" i="3" s="1"/>
  <c r="T105" i="3"/>
  <c r="V105" i="3"/>
  <c r="T106" i="3"/>
  <c r="V106" i="3"/>
  <c r="T107" i="3"/>
  <c r="U107" i="3" s="1"/>
  <c r="T108" i="3"/>
  <c r="V108" i="3"/>
  <c r="T109" i="3"/>
  <c r="V109" i="3"/>
  <c r="T110" i="3"/>
  <c r="U110" i="3"/>
  <c r="T111" i="3"/>
  <c r="V111" i="3"/>
  <c r="T112" i="3"/>
  <c r="V112" i="3"/>
  <c r="T113" i="3"/>
  <c r="U113" i="3" s="1"/>
  <c r="T114" i="3"/>
  <c r="V114" i="3"/>
  <c r="R115" i="3"/>
  <c r="S115" i="3"/>
  <c r="V115" i="3" s="1"/>
  <c r="T115" i="3"/>
  <c r="U115" i="3" s="1"/>
  <c r="T116" i="3"/>
  <c r="U116" i="3"/>
  <c r="U119" i="3" s="1"/>
  <c r="U123" i="3" s="1"/>
  <c r="Y116" i="3"/>
  <c r="Y119" i="3" s="1"/>
  <c r="Y123" i="3" s="1"/>
  <c r="Z116" i="3"/>
  <c r="V117" i="3"/>
  <c r="T119" i="3"/>
  <c r="W116" i="3" s="1"/>
  <c r="T122" i="3"/>
  <c r="U127" i="3" s="1"/>
  <c r="T124" i="3"/>
  <c r="U124" i="3"/>
  <c r="W124" i="3"/>
  <c r="W125" i="3"/>
  <c r="Y125" i="3"/>
  <c r="V126" i="3"/>
  <c r="U126" i="3" s="1"/>
  <c r="W126" i="3"/>
  <c r="Y126" i="3"/>
  <c r="P128" i="3"/>
  <c r="S131" i="3"/>
  <c r="U131" i="3"/>
  <c r="T133" i="3"/>
  <c r="U133" i="3"/>
  <c r="U138" i="3" s="1"/>
  <c r="V138" i="3" s="1"/>
  <c r="U134" i="3"/>
  <c r="U135" i="3"/>
  <c r="U136" i="3"/>
  <c r="U137" i="3"/>
  <c r="P138" i="3"/>
  <c r="S138" i="3"/>
  <c r="P140" i="3"/>
  <c r="V141" i="3"/>
  <c r="W141" i="3"/>
  <c r="X141" i="3"/>
  <c r="T148" i="3"/>
  <c r="U148" i="3"/>
  <c r="V148" i="3"/>
  <c r="T149" i="3"/>
  <c r="U149" i="3" s="1"/>
  <c r="V149" i="3"/>
  <c r="T150" i="3"/>
  <c r="U150" i="3" s="1"/>
  <c r="T151" i="3"/>
  <c r="V151" i="3"/>
  <c r="T152" i="3"/>
  <c r="V152" i="3"/>
  <c r="T153" i="3"/>
  <c r="U153" i="3" s="1"/>
  <c r="T154" i="3"/>
  <c r="V154" i="3"/>
  <c r="T155" i="3"/>
  <c r="V155" i="3"/>
  <c r="T156" i="3"/>
  <c r="U156" i="3" s="1"/>
  <c r="T157" i="3"/>
  <c r="V157" i="3" s="1"/>
  <c r="T158" i="3"/>
  <c r="V158" i="3"/>
  <c r="T159" i="3"/>
  <c r="U159" i="3" s="1"/>
  <c r="T160" i="3"/>
  <c r="V160" i="3" s="1"/>
  <c r="R161" i="3"/>
  <c r="S161" i="3"/>
  <c r="T161" i="3"/>
  <c r="U161" i="3" s="1"/>
  <c r="T162" i="3"/>
  <c r="U162" i="3"/>
  <c r="U165" i="3" s="1"/>
  <c r="U169" i="3" s="1"/>
  <c r="Y162" i="3"/>
  <c r="Y164" i="3" s="1"/>
  <c r="Y168" i="3" s="1"/>
  <c r="Z162" i="3"/>
  <c r="V163" i="3"/>
  <c r="T165" i="3"/>
  <c r="Y170" i="3" s="1"/>
  <c r="T168" i="3"/>
  <c r="T170" i="3"/>
  <c r="U170" i="3" s="1"/>
  <c r="W171" i="3"/>
  <c r="Y171" i="3"/>
  <c r="V172" i="3"/>
  <c r="U172" i="3" s="1"/>
  <c r="W172" i="3"/>
  <c r="Y172" i="3"/>
  <c r="U173" i="3"/>
  <c r="W173" i="3"/>
  <c r="Y173" i="3"/>
  <c r="P174" i="3"/>
  <c r="S177" i="3"/>
  <c r="U177" i="3"/>
  <c r="T179" i="3"/>
  <c r="U179" i="3" s="1"/>
  <c r="U180" i="3"/>
  <c r="U181" i="3"/>
  <c r="U182" i="3"/>
  <c r="U183" i="3"/>
  <c r="P184" i="3"/>
  <c r="S184" i="3"/>
  <c r="U184" i="3"/>
  <c r="V184" i="3" s="1"/>
  <c r="C1" i="5"/>
  <c r="H26" i="5"/>
  <c r="G1" i="5" s="1"/>
  <c r="F2" i="7"/>
  <c r="H2" i="7"/>
  <c r="J2" i="7"/>
  <c r="G2" i="7" s="1"/>
  <c r="F3" i="7"/>
  <c r="H3" i="7"/>
  <c r="J3" i="7"/>
  <c r="G3" i="7" s="1"/>
  <c r="F4" i="7"/>
  <c r="H4" i="7"/>
  <c r="J4" i="7"/>
  <c r="G4" i="7" s="1"/>
  <c r="F5" i="7"/>
  <c r="W119" i="3" s="1"/>
  <c r="W123" i="3" s="1"/>
  <c r="H5" i="7"/>
  <c r="J5" i="7"/>
  <c r="G5" i="7" s="1"/>
  <c r="F6" i="7"/>
  <c r="H6" i="7"/>
  <c r="J6" i="7"/>
  <c r="G6" i="7" s="1"/>
  <c r="F7" i="7"/>
  <c r="H7" i="7"/>
  <c r="J7" i="7"/>
  <c r="G7" i="7" s="1"/>
  <c r="F8" i="7"/>
  <c r="G8" i="7"/>
  <c r="H8" i="7"/>
  <c r="J8" i="7"/>
  <c r="F9" i="7"/>
  <c r="H9" i="7"/>
  <c r="J9" i="7"/>
  <c r="G9" i="7" s="1"/>
  <c r="F10" i="7"/>
  <c r="G10" i="7"/>
  <c r="H10" i="7"/>
  <c r="J10" i="7"/>
  <c r="F11" i="7"/>
  <c r="H11" i="7"/>
  <c r="J11" i="7"/>
  <c r="G11" i="7" s="1"/>
  <c r="F12" i="7"/>
  <c r="G12" i="7"/>
  <c r="H12" i="7"/>
  <c r="F13" i="7"/>
  <c r="H13" i="7"/>
  <c r="J13" i="7"/>
  <c r="G13" i="7" s="1"/>
  <c r="F14" i="7"/>
  <c r="H14" i="7"/>
  <c r="J14" i="7"/>
  <c r="G14" i="7" s="1"/>
  <c r="F15" i="7"/>
  <c r="H15" i="7"/>
  <c r="J15" i="7"/>
  <c r="G15" i="7" s="1"/>
  <c r="F16" i="7"/>
  <c r="G16" i="7"/>
  <c r="H16" i="7"/>
  <c r="J16" i="7"/>
  <c r="F17" i="7"/>
  <c r="H17" i="7"/>
  <c r="J17" i="7"/>
  <c r="G17" i="7" s="1"/>
  <c r="F18" i="7"/>
  <c r="G18" i="7"/>
  <c r="H18" i="7"/>
  <c r="J18" i="7"/>
  <c r="F19" i="7"/>
  <c r="H19" i="7"/>
  <c r="J19" i="7"/>
  <c r="G19" i="7" s="1"/>
  <c r="F20" i="7"/>
  <c r="H20" i="7"/>
  <c r="J20" i="7"/>
  <c r="G20" i="7" s="1"/>
  <c r="F21" i="7"/>
  <c r="H21" i="7"/>
  <c r="J21" i="7"/>
  <c r="G21" i="7" s="1"/>
  <c r="F22" i="7"/>
  <c r="G22" i="7"/>
  <c r="H22" i="7"/>
  <c r="J22" i="7"/>
  <c r="F23" i="7"/>
  <c r="H23" i="7"/>
  <c r="J23" i="7"/>
  <c r="G23" i="7" s="1"/>
  <c r="F24" i="7"/>
  <c r="G24" i="7"/>
  <c r="H24" i="7"/>
  <c r="J24" i="7"/>
  <c r="F25" i="7"/>
  <c r="H25" i="7"/>
  <c r="J25" i="7"/>
  <c r="G25" i="7" s="1"/>
  <c r="F26" i="7"/>
  <c r="H26" i="7"/>
  <c r="J26" i="7"/>
  <c r="G26" i="7" s="1"/>
  <c r="F27" i="7"/>
  <c r="H27" i="7"/>
  <c r="J27" i="7"/>
  <c r="G27" i="7" s="1"/>
  <c r="F28" i="7"/>
  <c r="H28" i="7"/>
  <c r="J28" i="7"/>
  <c r="G28" i="7" s="1"/>
  <c r="F29" i="7"/>
  <c r="H29" i="7"/>
  <c r="J29" i="7"/>
  <c r="G29" i="7" s="1"/>
  <c r="F30" i="7"/>
  <c r="H30" i="7"/>
  <c r="J30" i="7"/>
  <c r="G30" i="7" s="1"/>
  <c r="F31" i="7"/>
  <c r="H31" i="7"/>
  <c r="J31" i="7"/>
  <c r="G31" i="7" s="1"/>
  <c r="F32" i="7"/>
  <c r="G32" i="7"/>
  <c r="H32" i="7"/>
  <c r="J32" i="7"/>
  <c r="F33" i="7"/>
  <c r="H33" i="7"/>
  <c r="J33" i="7"/>
  <c r="G33" i="7" s="1"/>
  <c r="F34" i="7"/>
  <c r="G34" i="7"/>
  <c r="H34" i="7"/>
  <c r="J34" i="7"/>
  <c r="F35" i="7"/>
  <c r="H35" i="7"/>
  <c r="J35" i="7"/>
  <c r="G35" i="7" s="1"/>
  <c r="F36" i="7"/>
  <c r="H36" i="7"/>
  <c r="J36" i="7"/>
  <c r="G36" i="7" s="1"/>
  <c r="F37" i="7"/>
  <c r="H37" i="7"/>
  <c r="J37" i="7"/>
  <c r="G37" i="7" s="1"/>
  <c r="F38" i="7"/>
  <c r="G38" i="7"/>
  <c r="H38" i="7"/>
  <c r="J38" i="7"/>
  <c r="F39" i="7"/>
  <c r="H39" i="7"/>
  <c r="J39" i="7"/>
  <c r="G39" i="7" s="1"/>
  <c r="F40" i="7"/>
  <c r="G40" i="7"/>
  <c r="H40" i="7"/>
  <c r="J40" i="7"/>
  <c r="F41" i="7"/>
  <c r="H41" i="7"/>
  <c r="J41" i="7"/>
  <c r="G41" i="7" s="1"/>
  <c r="F42" i="7"/>
  <c r="H42" i="7"/>
  <c r="J42" i="7"/>
  <c r="G42" i="7" s="1"/>
  <c r="F43" i="7"/>
  <c r="H43" i="7"/>
  <c r="J43" i="7"/>
  <c r="G43" i="7" s="1"/>
  <c r="F44" i="7"/>
  <c r="H44" i="7"/>
  <c r="J44" i="7"/>
  <c r="G44" i="7" s="1"/>
  <c r="F45" i="7"/>
  <c r="H45" i="7"/>
  <c r="J45" i="7"/>
  <c r="G45" i="7" s="1"/>
  <c r="F46" i="7"/>
  <c r="H46" i="7"/>
  <c r="J46" i="7"/>
  <c r="G46" i="7" s="1"/>
  <c r="F47" i="7"/>
  <c r="H47" i="7"/>
  <c r="J47" i="7"/>
  <c r="G47" i="7" s="1"/>
  <c r="F48" i="7"/>
  <c r="G48" i="7"/>
  <c r="H48" i="7"/>
  <c r="J48" i="7"/>
  <c r="F49" i="7"/>
  <c r="H49" i="7"/>
  <c r="J49" i="7"/>
  <c r="G49" i="7" s="1"/>
  <c r="F50" i="7"/>
  <c r="G50" i="7"/>
  <c r="H50" i="7"/>
  <c r="J50" i="7"/>
  <c r="F51" i="7"/>
  <c r="H51" i="7"/>
  <c r="J51" i="7"/>
  <c r="G51" i="7" s="1"/>
  <c r="F52" i="7"/>
  <c r="G52" i="7"/>
  <c r="H52" i="7"/>
  <c r="J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A1" i="6"/>
  <c r="G6" i="6"/>
  <c r="I8" i="6"/>
  <c r="J8" i="6"/>
  <c r="K8" i="6" s="1"/>
  <c r="I9" i="6"/>
  <c r="J9" i="6"/>
  <c r="K9" i="6"/>
  <c r="I10" i="6"/>
  <c r="J10" i="6"/>
  <c r="K10" i="6" s="1"/>
  <c r="I11" i="6"/>
  <c r="J11" i="6"/>
  <c r="K11" i="6" s="1"/>
  <c r="I12" i="6"/>
  <c r="J12" i="6"/>
  <c r="K12" i="6"/>
  <c r="I13" i="6"/>
  <c r="J13" i="6"/>
  <c r="K13" i="6"/>
  <c r="I14" i="6"/>
  <c r="J14" i="6"/>
  <c r="K14" i="6" s="1"/>
  <c r="I15" i="6"/>
  <c r="J15" i="6"/>
  <c r="K15" i="6"/>
  <c r="I16" i="6"/>
  <c r="J16" i="6"/>
  <c r="K16" i="6"/>
  <c r="I17" i="6"/>
  <c r="J17" i="6"/>
  <c r="K17" i="6"/>
  <c r="I18" i="6"/>
  <c r="J18" i="6"/>
  <c r="K18" i="6" s="1"/>
  <c r="I19" i="6"/>
  <c r="J19" i="6"/>
  <c r="K19" i="6" s="1"/>
  <c r="I20" i="6"/>
  <c r="J20" i="6"/>
  <c r="K20" i="6"/>
  <c r="I21" i="6"/>
  <c r="J21" i="6"/>
  <c r="K21" i="6" s="1"/>
  <c r="I22" i="6"/>
  <c r="J22" i="6"/>
  <c r="K22" i="6" s="1"/>
  <c r="I23" i="6"/>
  <c r="J23" i="6"/>
  <c r="K23" i="6"/>
  <c r="I24" i="6"/>
  <c r="J24" i="6"/>
  <c r="K24" i="6" s="1"/>
  <c r="I25" i="6"/>
  <c r="J25" i="6"/>
  <c r="K25" i="6"/>
  <c r="I26" i="6"/>
  <c r="J26" i="6"/>
  <c r="K26" i="6"/>
  <c r="I27" i="6"/>
  <c r="J27" i="6"/>
  <c r="K27" i="6"/>
  <c r="I28" i="6"/>
  <c r="J28" i="6"/>
  <c r="K28" i="6" s="1"/>
  <c r="I29" i="6"/>
  <c r="J29" i="6"/>
  <c r="K29" i="6"/>
  <c r="I30" i="6"/>
  <c r="J30" i="6"/>
  <c r="K30" i="6" s="1"/>
  <c r="I31" i="6"/>
  <c r="J31" i="6"/>
  <c r="K31" i="6" s="1"/>
  <c r="I32" i="6"/>
  <c r="J32" i="6"/>
  <c r="K32" i="6" s="1"/>
  <c r="I33" i="6"/>
  <c r="J33" i="6"/>
  <c r="K33" i="6"/>
  <c r="I34" i="6"/>
  <c r="J34" i="6"/>
  <c r="K34" i="6"/>
  <c r="I35" i="6"/>
  <c r="J35" i="6"/>
  <c r="K35" i="6" s="1"/>
  <c r="I36" i="6"/>
  <c r="J36" i="6"/>
  <c r="K36" i="6"/>
  <c r="I37" i="6"/>
  <c r="J37" i="6"/>
  <c r="K37" i="6"/>
  <c r="I38" i="6"/>
  <c r="J38" i="6"/>
  <c r="K38" i="6" s="1"/>
  <c r="I39" i="6"/>
  <c r="J39" i="6"/>
  <c r="K39" i="6"/>
  <c r="I40" i="6"/>
  <c r="J40" i="6"/>
  <c r="K40" i="6"/>
  <c r="I41" i="6"/>
  <c r="J41" i="6"/>
  <c r="K41" i="6"/>
  <c r="I42" i="6"/>
  <c r="J42" i="6"/>
  <c r="K42" i="6" s="1"/>
  <c r="I43" i="6"/>
  <c r="J43" i="6"/>
  <c r="K43" i="6"/>
  <c r="I44" i="6"/>
  <c r="J44" i="6"/>
  <c r="K44" i="6"/>
  <c r="I45" i="6"/>
  <c r="J45" i="6"/>
  <c r="K45" i="6"/>
  <c r="I46" i="6"/>
  <c r="J46" i="6"/>
  <c r="K46" i="6" s="1"/>
  <c r="I47" i="6"/>
  <c r="J47" i="6"/>
  <c r="K47" i="6"/>
  <c r="I48" i="6"/>
  <c r="J48" i="6"/>
  <c r="K48" i="6"/>
  <c r="I49" i="6"/>
  <c r="J49" i="6"/>
  <c r="K49" i="6"/>
  <c r="I50" i="6"/>
  <c r="J50" i="6"/>
  <c r="K50" i="6"/>
  <c r="I51" i="6"/>
  <c r="J51" i="6"/>
  <c r="K51" i="6"/>
  <c r="I52" i="6"/>
  <c r="J52" i="6"/>
  <c r="K52" i="6"/>
  <c r="I53" i="6"/>
  <c r="J53" i="6"/>
  <c r="K53" i="6" s="1"/>
  <c r="I54" i="6"/>
  <c r="J54" i="6"/>
  <c r="K54" i="6" s="1"/>
  <c r="I55" i="6"/>
  <c r="J55" i="6"/>
  <c r="K55" i="6"/>
  <c r="I56" i="6"/>
  <c r="J56" i="6"/>
  <c r="K56" i="6" s="1"/>
  <c r="I57" i="6"/>
  <c r="J57" i="6"/>
  <c r="K57" i="6"/>
  <c r="I58" i="6"/>
  <c r="J58" i="6"/>
  <c r="K58" i="6" s="1"/>
  <c r="I59" i="6"/>
  <c r="J59" i="6"/>
  <c r="K59" i="6"/>
  <c r="G60" i="6"/>
  <c r="H60" i="6"/>
  <c r="I60" i="6"/>
  <c r="J60" i="6"/>
  <c r="K60" i="6" s="1"/>
  <c r="M60" i="6"/>
  <c r="G61" i="6"/>
  <c r="I61" i="6" s="1"/>
  <c r="H61" i="6"/>
  <c r="J61" i="6"/>
  <c r="K61" i="6" s="1"/>
  <c r="G62" i="6"/>
  <c r="H62" i="6"/>
  <c r="I62" i="6"/>
  <c r="J62" i="6"/>
  <c r="K62" i="6" s="1"/>
  <c r="A63" i="6"/>
  <c r="G4" i="4"/>
  <c r="G5" i="4"/>
  <c r="G6" i="4"/>
  <c r="G8" i="4"/>
  <c r="G9" i="4"/>
  <c r="G10" i="4"/>
  <c r="G11" i="4"/>
  <c r="G13" i="4"/>
  <c r="G15" i="4"/>
  <c r="G16" i="4"/>
  <c r="G17" i="4"/>
  <c r="G18" i="4"/>
  <c r="G19" i="4"/>
  <c r="G20" i="4"/>
  <c r="G21" i="4"/>
  <c r="G22" i="4"/>
  <c r="G24" i="4"/>
  <c r="G25" i="4"/>
  <c r="G26" i="4"/>
  <c r="G27" i="4"/>
  <c r="G28" i="4"/>
  <c r="G29" i="4"/>
  <c r="G30" i="4"/>
  <c r="G31" i="4"/>
  <c r="G32" i="4"/>
  <c r="G33" i="4"/>
  <c r="G35" i="4"/>
  <c r="G37" i="4"/>
  <c r="E41" i="4"/>
  <c r="J7" i="3" s="1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X69" i="3"/>
  <c r="U22" i="3"/>
  <c r="Z157" i="3"/>
  <c r="X111" i="3"/>
  <c r="Z60" i="3"/>
  <c r="W158" i="3"/>
  <c r="U157" i="3"/>
  <c r="Z62" i="3"/>
  <c r="X161" i="3"/>
  <c r="X60" i="3"/>
  <c r="X65" i="3"/>
  <c r="X151" i="3"/>
  <c r="Y68" i="3"/>
  <c r="Z14" i="3"/>
  <c r="Y57" i="3"/>
  <c r="Y19" i="3"/>
  <c r="Z57" i="3"/>
  <c r="W22" i="3"/>
  <c r="W152" i="3"/>
  <c r="Z109" i="3"/>
  <c r="U17" i="3"/>
  <c r="X109" i="3"/>
  <c r="Z160" i="3"/>
  <c r="X68" i="3"/>
  <c r="X103" i="3"/>
  <c r="Z106" i="3"/>
  <c r="Z108" i="3"/>
  <c r="W68" i="3"/>
  <c r="X19" i="3"/>
  <c r="W109" i="3"/>
  <c r="W10" i="3"/>
  <c r="Y152" i="3"/>
  <c r="W13" i="3"/>
  <c r="Y11" i="3"/>
  <c r="X114" i="3"/>
  <c r="Y103" i="3"/>
  <c r="X59" i="3"/>
  <c r="W11" i="3"/>
  <c r="Y22" i="3"/>
  <c r="Z105" i="3"/>
  <c r="Y105" i="3"/>
  <c r="Z68" i="3"/>
  <c r="Y160" i="3"/>
  <c r="Y62" i="3"/>
  <c r="X22" i="3"/>
  <c r="X56" i="3"/>
  <c r="Z13" i="3"/>
  <c r="U152" i="3"/>
  <c r="Z22" i="3"/>
  <c r="W19" i="3"/>
  <c r="W14" i="3"/>
  <c r="Z59" i="3"/>
  <c r="Z10" i="3"/>
  <c r="U155" i="3"/>
  <c r="W112" i="3"/>
  <c r="Y59" i="3"/>
  <c r="Z152" i="3"/>
  <c r="Z151" i="3"/>
  <c r="Y69" i="3"/>
  <c r="X13" i="3"/>
  <c r="W60" i="3"/>
  <c r="X63" i="3"/>
  <c r="W56" i="3"/>
  <c r="W148" i="3"/>
  <c r="Y115" i="3"/>
  <c r="U19" i="3"/>
  <c r="Z115" i="3"/>
  <c r="W114" i="3"/>
  <c r="Z112" i="3"/>
  <c r="W62" i="3"/>
  <c r="X11" i="3"/>
  <c r="W111" i="3"/>
  <c r="U105" i="3"/>
  <c r="Y10" i="3"/>
  <c r="U151" i="3"/>
  <c r="X102" i="3"/>
  <c r="Y13" i="3"/>
  <c r="Z103" i="3"/>
  <c r="X57" i="3"/>
  <c r="X157" i="3"/>
  <c r="U59" i="3"/>
  <c r="X148" i="3"/>
  <c r="U66" i="3"/>
  <c r="Z149" i="3"/>
  <c r="X149" i="3"/>
  <c r="Y108" i="3"/>
  <c r="U65" i="3"/>
  <c r="X106" i="3"/>
  <c r="Y158" i="3"/>
  <c r="W161" i="3"/>
  <c r="U13" i="3"/>
  <c r="W69" i="3"/>
  <c r="W16" i="3"/>
  <c r="Z11" i="3"/>
  <c r="Y20" i="3"/>
  <c r="Y161" i="3"/>
  <c r="X14" i="3"/>
  <c r="W160" i="3"/>
  <c r="W65" i="3"/>
  <c r="X105" i="3"/>
  <c r="W106" i="3"/>
  <c r="U106" i="3"/>
  <c r="Z19" i="3"/>
  <c r="Z56" i="3"/>
  <c r="X152" i="3"/>
  <c r="W149" i="3"/>
  <c r="W23" i="3"/>
  <c r="X160" i="3"/>
  <c r="X62" i="3"/>
  <c r="W102" i="3"/>
  <c r="Y63" i="3"/>
  <c r="Y154" i="3"/>
  <c r="Z148" i="3"/>
  <c r="X10" i="3"/>
  <c r="Y112" i="3"/>
  <c r="Y65" i="3"/>
  <c r="Y17" i="3"/>
  <c r="W115" i="3"/>
  <c r="X112" i="3"/>
  <c r="U158" i="3"/>
  <c r="U154" i="3"/>
  <c r="Y66" i="3"/>
  <c r="U114" i="3"/>
  <c r="W105" i="3"/>
  <c r="Y23" i="3"/>
  <c r="W108" i="3"/>
  <c r="W20" i="3"/>
  <c r="Y102" i="3"/>
  <c r="W155" i="3"/>
  <c r="Z161" i="3"/>
  <c r="U112" i="3"/>
  <c r="W157" i="3"/>
  <c r="Z65" i="3"/>
  <c r="X17" i="3"/>
  <c r="W66" i="3"/>
  <c r="W59" i="3"/>
  <c r="X16" i="3"/>
  <c r="Z114" i="3"/>
  <c r="Z102" i="3"/>
  <c r="Z17" i="3"/>
  <c r="Z154" i="3"/>
  <c r="Z155" i="3"/>
  <c r="Y151" i="3"/>
  <c r="X108" i="3"/>
  <c r="Z63" i="3"/>
  <c r="W103" i="3"/>
  <c r="Y56" i="3"/>
  <c r="X115" i="3"/>
  <c r="Y109" i="3"/>
  <c r="Z66" i="3"/>
  <c r="Y114" i="3"/>
  <c r="Z23" i="3"/>
  <c r="U14" i="3"/>
  <c r="X66" i="3"/>
  <c r="Y111" i="3"/>
  <c r="W57" i="3"/>
  <c r="Z20" i="3"/>
  <c r="Y149" i="3"/>
  <c r="Y155" i="3"/>
  <c r="W17" i="3"/>
  <c r="X154" i="3"/>
  <c r="X155" i="3"/>
  <c r="Y157" i="3"/>
  <c r="Z158" i="3"/>
  <c r="U60" i="3"/>
  <c r="Y16" i="3"/>
  <c r="Z16" i="3"/>
  <c r="Y60" i="3"/>
  <c r="U63" i="3"/>
  <c r="W154" i="3"/>
  <c r="W151" i="3"/>
  <c r="U160" i="3"/>
  <c r="U111" i="3"/>
  <c r="X23" i="3"/>
  <c r="U108" i="3"/>
  <c r="U109" i="3"/>
  <c r="Y106" i="3"/>
  <c r="X20" i="3"/>
  <c r="X158" i="3"/>
  <c r="W63" i="3"/>
  <c r="Y14" i="3"/>
  <c r="Z111" i="3"/>
  <c r="Z69" i="3"/>
  <c r="Y148" i="3"/>
  <c r="B69" i="1" l="1"/>
  <c r="I50" i="1" s="1"/>
  <c r="B70" i="1"/>
  <c r="B72" i="1"/>
  <c r="AA163" i="1"/>
  <c r="W163" i="1" s="1"/>
  <c r="Z163" i="1"/>
  <c r="V163" i="1" s="1"/>
  <c r="X163" i="1" s="1"/>
  <c r="T94" i="1"/>
  <c r="U94" i="1" s="1"/>
  <c r="G6" i="1"/>
  <c r="H6" i="1" s="1"/>
  <c r="AA301" i="1"/>
  <c r="W301" i="1"/>
  <c r="T242" i="1"/>
  <c r="U196" i="1"/>
  <c r="U151" i="1"/>
  <c r="Z117" i="1"/>
  <c r="V117" i="1"/>
  <c r="X117" i="1" s="1"/>
  <c r="T19" i="1"/>
  <c r="Z301" i="1"/>
  <c r="V301" i="1"/>
  <c r="X301" i="1" s="1"/>
  <c r="AA255" i="1"/>
  <c r="W255" i="1"/>
  <c r="V143" i="1"/>
  <c r="AA25" i="1"/>
  <c r="W25" i="1" s="1"/>
  <c r="S209" i="1"/>
  <c r="U209" i="1" s="1"/>
  <c r="Z209" i="1"/>
  <c r="V209" i="1" s="1"/>
  <c r="X209" i="1" s="1"/>
  <c r="T48" i="1"/>
  <c r="U48" i="1" s="1"/>
  <c r="S255" i="1"/>
  <c r="U255" i="1" s="1"/>
  <c r="Z255" i="1"/>
  <c r="V255" i="1"/>
  <c r="X255" i="1" s="1"/>
  <c r="T186" i="1"/>
  <c r="U186" i="1" s="1"/>
  <c r="AA209" i="1"/>
  <c r="W209" i="1"/>
  <c r="S163" i="1"/>
  <c r="Z25" i="1"/>
  <c r="Z3" i="1" s="1"/>
  <c r="V25" i="1"/>
  <c r="J10" i="3"/>
  <c r="T25" i="1"/>
  <c r="T21" i="1"/>
  <c r="T18" i="1"/>
  <c r="J5" i="3"/>
  <c r="T62" i="1"/>
  <c r="J4" i="3"/>
  <c r="H4" i="3" s="1"/>
  <c r="I4" i="3" s="1"/>
  <c r="I12" i="3" s="1"/>
  <c r="J22" i="3" s="1"/>
  <c r="T289" i="1"/>
  <c r="Y255" i="1"/>
  <c r="Y252" i="1"/>
  <c r="Y249" i="1"/>
  <c r="Y246" i="1"/>
  <c r="Y243" i="1"/>
  <c r="T249" i="1"/>
  <c r="T246" i="1"/>
  <c r="T254" i="1"/>
  <c r="T252" i="1"/>
  <c r="T251" i="1"/>
  <c r="T248" i="1"/>
  <c r="Y254" i="1"/>
  <c r="Y248" i="1"/>
  <c r="Y242" i="1"/>
  <c r="Y251" i="1"/>
  <c r="Y245" i="1"/>
  <c r="T245" i="1"/>
  <c r="X245" i="1"/>
  <c r="X243" i="1"/>
  <c r="X251" i="1"/>
  <c r="X246" i="1"/>
  <c r="X242" i="1"/>
  <c r="X252" i="1"/>
  <c r="X248" i="1"/>
  <c r="X249" i="1"/>
  <c r="X254" i="1"/>
  <c r="V189" i="1"/>
  <c r="Y209" i="1"/>
  <c r="Y206" i="1"/>
  <c r="Y203" i="1"/>
  <c r="Y200" i="1"/>
  <c r="Y197" i="1"/>
  <c r="T203" i="1"/>
  <c r="T202" i="1"/>
  <c r="Y208" i="1"/>
  <c r="Y196" i="1"/>
  <c r="T200" i="1"/>
  <c r="Y202" i="1"/>
  <c r="T208" i="1"/>
  <c r="Y205" i="1"/>
  <c r="Y199" i="1"/>
  <c r="T199" i="1"/>
  <c r="T206" i="1"/>
  <c r="T205" i="1"/>
  <c r="X200" i="1"/>
  <c r="X196" i="1"/>
  <c r="X203" i="1"/>
  <c r="X202" i="1"/>
  <c r="X208" i="1"/>
  <c r="X206" i="1"/>
  <c r="X197" i="1"/>
  <c r="X199" i="1"/>
  <c r="X205" i="1"/>
  <c r="T61" i="1"/>
  <c r="Y21" i="1"/>
  <c r="Y15" i="1"/>
  <c r="Y12" i="1"/>
  <c r="Y24" i="1"/>
  <c r="Y18" i="1"/>
  <c r="V5" i="1"/>
  <c r="Y25" i="1"/>
  <c r="Y22" i="1"/>
  <c r="Y19" i="1"/>
  <c r="Y16" i="1"/>
  <c r="Y13" i="1"/>
  <c r="X12" i="1"/>
  <c r="X16" i="1"/>
  <c r="X24" i="1"/>
  <c r="X21" i="1"/>
  <c r="X18" i="1"/>
  <c r="X22" i="1"/>
  <c r="X13" i="1"/>
  <c r="T12" i="1"/>
  <c r="X15" i="1"/>
  <c r="X19" i="1"/>
  <c r="V51" i="1"/>
  <c r="Y59" i="1"/>
  <c r="Y71" i="1"/>
  <c r="Y58" i="1"/>
  <c r="Y65" i="1"/>
  <c r="Y61" i="1"/>
  <c r="Y70" i="1"/>
  <c r="Y68" i="1"/>
  <c r="Y67" i="1"/>
  <c r="Y64" i="1"/>
  <c r="Y62" i="1"/>
  <c r="X58" i="1"/>
  <c r="X68" i="1"/>
  <c r="X70" i="1"/>
  <c r="X65" i="1"/>
  <c r="X61" i="1"/>
  <c r="X59" i="1"/>
  <c r="X67" i="1"/>
  <c r="X71" i="1"/>
  <c r="X62" i="1"/>
  <c r="X64" i="1"/>
  <c r="Y301" i="1"/>
  <c r="Y298" i="1"/>
  <c r="Y295" i="1"/>
  <c r="Y292" i="1"/>
  <c r="Y289" i="1"/>
  <c r="T295" i="1"/>
  <c r="T294" i="1"/>
  <c r="T298" i="1"/>
  <c r="T292" i="1"/>
  <c r="Y300" i="1"/>
  <c r="Y294" i="1"/>
  <c r="Y288" i="1"/>
  <c r="T300" i="1"/>
  <c r="T297" i="1"/>
  <c r="Y297" i="1"/>
  <c r="Y291" i="1"/>
  <c r="T291" i="1"/>
  <c r="T301" i="1"/>
  <c r="X288" i="1"/>
  <c r="X300" i="1"/>
  <c r="X292" i="1"/>
  <c r="X291" i="1"/>
  <c r="X294" i="1"/>
  <c r="X297" i="1"/>
  <c r="X295" i="1"/>
  <c r="X298" i="1"/>
  <c r="X289" i="1"/>
  <c r="J11" i="3"/>
  <c r="I11" i="1"/>
  <c r="T59" i="1"/>
  <c r="T288" i="1"/>
  <c r="Y163" i="1"/>
  <c r="Y160" i="1"/>
  <c r="Y157" i="1"/>
  <c r="Y154" i="1"/>
  <c r="Y151" i="1"/>
  <c r="T157" i="1"/>
  <c r="T156" i="1"/>
  <c r="T154" i="1"/>
  <c r="Y156" i="1"/>
  <c r="Y150" i="1"/>
  <c r="T160" i="1"/>
  <c r="Y162" i="1"/>
  <c r="T159" i="1"/>
  <c r="Y159" i="1"/>
  <c r="Y153" i="1"/>
  <c r="T153" i="1"/>
  <c r="T163" i="1"/>
  <c r="T162" i="1"/>
  <c r="X156" i="1"/>
  <c r="X151" i="1"/>
  <c r="X160" i="1"/>
  <c r="X162" i="1"/>
  <c r="X154" i="1"/>
  <c r="X157" i="1"/>
  <c r="X153" i="1"/>
  <c r="X159" i="1"/>
  <c r="X150" i="1"/>
  <c r="T70" i="1"/>
  <c r="T58" i="1"/>
  <c r="V97" i="1"/>
  <c r="Y117" i="1"/>
  <c r="Y111" i="1"/>
  <c r="Y105" i="1"/>
  <c r="T111" i="1"/>
  <c r="T116" i="1"/>
  <c r="Y108" i="1"/>
  <c r="T113" i="1"/>
  <c r="T110" i="1"/>
  <c r="T108" i="1"/>
  <c r="Y113" i="1"/>
  <c r="Y107" i="1"/>
  <c r="T107" i="1"/>
  <c r="Y116" i="1"/>
  <c r="Y110" i="1"/>
  <c r="Y104" i="1"/>
  <c r="T117" i="1"/>
  <c r="T114" i="1"/>
  <c r="Y114" i="1"/>
  <c r="X110" i="1"/>
  <c r="X108" i="1"/>
  <c r="X105" i="1"/>
  <c r="X116" i="1"/>
  <c r="X113" i="1"/>
  <c r="X111" i="1"/>
  <c r="X107" i="1"/>
  <c r="X114" i="1"/>
  <c r="X104" i="1"/>
  <c r="T64" i="1"/>
  <c r="T105" i="1"/>
  <c r="E1" i="4"/>
  <c r="T243" i="1"/>
  <c r="T104" i="1"/>
  <c r="T68" i="1"/>
  <c r="T360" i="1"/>
  <c r="U59" i="1"/>
  <c r="U58" i="1"/>
  <c r="U64" i="1"/>
  <c r="U71" i="1"/>
  <c r="T71" i="1"/>
  <c r="U65" i="1"/>
  <c r="T65" i="1"/>
  <c r="U150" i="1"/>
  <c r="T140" i="1"/>
  <c r="U140" i="1" s="1"/>
  <c r="T164" i="1"/>
  <c r="AB5" i="1"/>
  <c r="T264" i="1"/>
  <c r="T256" i="1"/>
  <c r="H23" i="1"/>
  <c r="I21" i="3"/>
  <c r="I22" i="3" s="1"/>
  <c r="T26" i="1"/>
  <c r="T28" i="1" s="1"/>
  <c r="T32" i="1" s="1"/>
  <c r="U21" i="1"/>
  <c r="T13" i="1"/>
  <c r="U24" i="1"/>
  <c r="T15" i="1"/>
  <c r="T22" i="1"/>
  <c r="U18" i="1"/>
  <c r="T16" i="1"/>
  <c r="F28" i="1"/>
  <c r="J30" i="1"/>
  <c r="F26" i="1"/>
  <c r="K30" i="1"/>
  <c r="E47" i="1"/>
  <c r="P9" i="3"/>
  <c r="P10" i="3" s="1"/>
  <c r="P101" i="3"/>
  <c r="P114" i="3" s="1"/>
  <c r="U72" i="3"/>
  <c r="U73" i="3"/>
  <c r="U77" i="3" s="1"/>
  <c r="K45" i="3"/>
  <c r="U300" i="1"/>
  <c r="U248" i="1"/>
  <c r="U19" i="1"/>
  <c r="U164" i="3"/>
  <c r="U168" i="3" s="1"/>
  <c r="U174" i="3" s="1"/>
  <c r="P55" i="3"/>
  <c r="P57" i="3" s="1"/>
  <c r="S301" i="1"/>
  <c r="W127" i="3"/>
  <c r="W118" i="3"/>
  <c r="W122" i="3" s="1"/>
  <c r="W128" i="3" s="1"/>
  <c r="L34" i="3"/>
  <c r="V16" i="3"/>
  <c r="U292" i="1"/>
  <c r="U208" i="1"/>
  <c r="AF2" i="3"/>
  <c r="AF1" i="3"/>
  <c r="V161" i="3"/>
  <c r="U118" i="3"/>
  <c r="Y24" i="3"/>
  <c r="U24" i="3"/>
  <c r="W24" i="3"/>
  <c r="U32" i="3"/>
  <c r="L25" i="3"/>
  <c r="T23" i="3"/>
  <c r="U23" i="3" s="1"/>
  <c r="O53" i="3"/>
  <c r="O49" i="3"/>
  <c r="O50" i="3"/>
  <c r="T324" i="1"/>
  <c r="U324" i="1" s="1"/>
  <c r="T69" i="3"/>
  <c r="U69" i="3" s="1"/>
  <c r="V69" i="3"/>
  <c r="L27" i="3"/>
  <c r="G45" i="3"/>
  <c r="U297" i="1"/>
  <c r="U61" i="1"/>
  <c r="U122" i="3"/>
  <c r="U128" i="3" s="1"/>
  <c r="Y127" i="3"/>
  <c r="W73" i="3"/>
  <c r="W77" i="3" s="1"/>
  <c r="U203" i="1"/>
  <c r="T166" i="1"/>
  <c r="T170" i="1" s="1"/>
  <c r="T167" i="1"/>
  <c r="T171" i="1" s="1"/>
  <c r="T120" i="1"/>
  <c r="T124" i="1" s="1"/>
  <c r="T121" i="1"/>
  <c r="T125" i="1" s="1"/>
  <c r="L43" i="3"/>
  <c r="V20" i="3"/>
  <c r="T258" i="1"/>
  <c r="T262" i="1" s="1"/>
  <c r="T259" i="1"/>
  <c r="T263" i="1" s="1"/>
  <c r="U117" i="1"/>
  <c r="U68" i="1"/>
  <c r="V62" i="3"/>
  <c r="L14" i="1"/>
  <c r="H41" i="4" s="1"/>
  <c r="P147" i="3"/>
  <c r="P154" i="3" s="1"/>
  <c r="L39" i="3"/>
  <c r="Y165" i="3"/>
  <c r="Y169" i="3" s="1"/>
  <c r="Y174" i="3" s="1"/>
  <c r="Y118" i="3"/>
  <c r="Y122" i="3" s="1"/>
  <c r="Y128" i="3" s="1"/>
  <c r="U76" i="3"/>
  <c r="U82" i="3" s="1"/>
  <c r="U81" i="3"/>
  <c r="W76" i="3"/>
  <c r="W82" i="3" s="1"/>
  <c r="Y81" i="3"/>
  <c r="F45" i="3"/>
  <c r="W162" i="3"/>
  <c r="W170" i="3"/>
  <c r="W78" i="3"/>
  <c r="Y70" i="3"/>
  <c r="U78" i="3"/>
  <c r="J45" i="3"/>
  <c r="T313" i="1"/>
  <c r="U202" i="1"/>
  <c r="Y124" i="3"/>
  <c r="T302" i="1"/>
  <c r="T232" i="1"/>
  <c r="U232" i="1" s="1"/>
  <c r="T172" i="1"/>
  <c r="U163" i="1"/>
  <c r="U154" i="1"/>
  <c r="I28" i="1"/>
  <c r="T278" i="1"/>
  <c r="U278" i="1" s="1"/>
  <c r="T267" i="1"/>
  <c r="T80" i="1"/>
  <c r="T72" i="1"/>
  <c r="U25" i="1"/>
  <c r="Y35" i="3"/>
  <c r="T218" i="1"/>
  <c r="T210" i="1"/>
  <c r="I10" i="1"/>
  <c r="I13" i="1"/>
  <c r="I8" i="1"/>
  <c r="J9" i="3"/>
  <c r="I12" i="1"/>
  <c r="J6" i="3"/>
  <c r="U157" i="1"/>
  <c r="I9" i="1"/>
  <c r="J8" i="3"/>
  <c r="U156" i="1"/>
  <c r="U110" i="1"/>
  <c r="U62" i="1"/>
  <c r="T37" i="1"/>
  <c r="U67" i="1"/>
  <c r="J32" i="1"/>
  <c r="F30" i="1"/>
  <c r="U70" i="1"/>
  <c r="U111" i="1"/>
  <c r="T126" i="1"/>
  <c r="T221" i="1"/>
  <c r="T175" i="1"/>
  <c r="T129" i="1"/>
  <c r="U68" i="3"/>
  <c r="U62" i="3"/>
  <c r="U20" i="3"/>
  <c r="U16" i="3"/>
  <c r="L28" i="1" l="1"/>
  <c r="K28" i="1" s="1"/>
  <c r="X25" i="1"/>
  <c r="T255" i="1"/>
  <c r="T209" i="1"/>
  <c r="M6" i="1"/>
  <c r="M14" i="1" s="1"/>
  <c r="I41" i="4" s="1"/>
  <c r="H12" i="1"/>
  <c r="H8" i="1"/>
  <c r="H11" i="1"/>
  <c r="H13" i="1"/>
  <c r="H10" i="1"/>
  <c r="H9" i="1"/>
  <c r="O11" i="1"/>
  <c r="O57" i="1"/>
  <c r="O64" i="1" s="1"/>
  <c r="O149" i="1"/>
  <c r="O160" i="1" s="1"/>
  <c r="O153" i="1"/>
  <c r="O287" i="1"/>
  <c r="O298" i="1" s="1"/>
  <c r="O291" i="1"/>
  <c r="O113" i="1"/>
  <c r="O292" i="1"/>
  <c r="O205" i="1"/>
  <c r="O241" i="1"/>
  <c r="O252" i="1" s="1"/>
  <c r="O103" i="1"/>
  <c r="O114" i="1" s="1"/>
  <c r="O107" i="1"/>
  <c r="O295" i="1"/>
  <c r="O203" i="1"/>
  <c r="O108" i="1"/>
  <c r="O297" i="1"/>
  <c r="AA5" i="1"/>
  <c r="O195" i="1"/>
  <c r="O206" i="1" s="1"/>
  <c r="O199" i="1"/>
  <c r="O202" i="1"/>
  <c r="T176" i="1"/>
  <c r="I26" i="5"/>
  <c r="T29" i="1"/>
  <c r="T33" i="1" s="1"/>
  <c r="T38" i="1" s="1"/>
  <c r="H26" i="1" s="1"/>
  <c r="F47" i="1"/>
  <c r="B74" i="1" s="1"/>
  <c r="P17" i="3"/>
  <c r="P19" i="3"/>
  <c r="P23" i="3"/>
  <c r="P11" i="3"/>
  <c r="P14" i="3"/>
  <c r="P22" i="3"/>
  <c r="P13" i="3"/>
  <c r="P155" i="3"/>
  <c r="P161" i="3"/>
  <c r="P157" i="3"/>
  <c r="P152" i="3"/>
  <c r="P65" i="3"/>
  <c r="P63" i="3"/>
  <c r="P16" i="3"/>
  <c r="P68" i="3"/>
  <c r="P20" i="3"/>
  <c r="P62" i="3"/>
  <c r="U301" i="1"/>
  <c r="P111" i="3"/>
  <c r="T130" i="1"/>
  <c r="W164" i="3"/>
  <c r="W168" i="3" s="1"/>
  <c r="W174" i="3" s="1"/>
  <c r="W165" i="3"/>
  <c r="W169" i="3" s="1"/>
  <c r="P59" i="3"/>
  <c r="C67" i="3"/>
  <c r="J48" i="3" s="1"/>
  <c r="C69" i="3"/>
  <c r="J50" i="3" s="1"/>
  <c r="C70" i="3"/>
  <c r="J51" i="3" s="1"/>
  <c r="C72" i="3"/>
  <c r="J53" i="3" s="1"/>
  <c r="C68" i="3"/>
  <c r="J49" i="3" s="1"/>
  <c r="C71" i="3"/>
  <c r="J52" i="3" s="1"/>
  <c r="U27" i="3"/>
  <c r="U31" i="3" s="1"/>
  <c r="U26" i="3"/>
  <c r="U30" i="3" s="1"/>
  <c r="U36" i="3" s="1"/>
  <c r="P115" i="3"/>
  <c r="P102" i="3"/>
  <c r="P106" i="3"/>
  <c r="P112" i="3"/>
  <c r="P109" i="3"/>
  <c r="P60" i="3"/>
  <c r="T212" i="1"/>
  <c r="T216" i="1" s="1"/>
  <c r="T213" i="1"/>
  <c r="T217" i="1" s="1"/>
  <c r="T74" i="1"/>
  <c r="T78" i="1" s="1"/>
  <c r="T75" i="1"/>
  <c r="T79" i="1" s="1"/>
  <c r="T268" i="1"/>
  <c r="Y26" i="3"/>
  <c r="Y30" i="3" s="1"/>
  <c r="Y27" i="3"/>
  <c r="Y31" i="3" s="1"/>
  <c r="P149" i="3"/>
  <c r="P105" i="3"/>
  <c r="P158" i="3"/>
  <c r="P108" i="3"/>
  <c r="M45" i="3"/>
  <c r="H53" i="3"/>
  <c r="H52" i="3"/>
  <c r="H49" i="3"/>
  <c r="H48" i="3"/>
  <c r="H50" i="3"/>
  <c r="H51" i="3"/>
  <c r="T304" i="1"/>
  <c r="T308" i="1" s="1"/>
  <c r="T305" i="1"/>
  <c r="T309" i="1" s="1"/>
  <c r="P103" i="3"/>
  <c r="P160" i="3"/>
  <c r="P66" i="3"/>
  <c r="W26" i="3"/>
  <c r="W30" i="3" s="1"/>
  <c r="W36" i="3" s="1"/>
  <c r="W27" i="3"/>
  <c r="W31" i="3" s="1"/>
  <c r="Y73" i="3"/>
  <c r="Y77" i="3" s="1"/>
  <c r="Y72" i="3"/>
  <c r="Y76" i="3" s="1"/>
  <c r="Y82" i="3" s="1"/>
  <c r="P69" i="3"/>
  <c r="V23" i="3"/>
  <c r="P56" i="3"/>
  <c r="P148" i="3"/>
  <c r="P151" i="3"/>
  <c r="O110" i="1" l="1"/>
  <c r="O62" i="1"/>
  <c r="H14" i="1"/>
  <c r="I24" i="1" s="1"/>
  <c r="O68" i="1"/>
  <c r="O65" i="1"/>
  <c r="O111" i="1"/>
  <c r="O61" i="1"/>
  <c r="O67" i="1"/>
  <c r="O294" i="1"/>
  <c r="O248" i="1"/>
  <c r="O157" i="1"/>
  <c r="O154" i="1"/>
  <c r="O249" i="1"/>
  <c r="O159" i="1"/>
  <c r="O200" i="1"/>
  <c r="O251" i="1"/>
  <c r="O156" i="1"/>
  <c r="O245" i="1"/>
  <c r="O246" i="1"/>
  <c r="T84" i="1"/>
  <c r="J26" i="1"/>
  <c r="J47" i="1" s="1"/>
  <c r="C63" i="6" s="1"/>
  <c r="B63" i="6"/>
  <c r="K26" i="1"/>
  <c r="B71" i="1"/>
  <c r="O15" i="1"/>
  <c r="O18" i="1"/>
  <c r="O16" i="1"/>
  <c r="O22" i="1"/>
  <c r="O19" i="1"/>
  <c r="O21" i="1"/>
  <c r="B73" i="1"/>
  <c r="T314" i="1"/>
  <c r="T222" i="1"/>
  <c r="M52" i="3"/>
  <c r="I52" i="3" s="1"/>
  <c r="G52" i="3"/>
  <c r="F52" i="3"/>
  <c r="Y36" i="3"/>
  <c r="F51" i="3"/>
  <c r="M51" i="3"/>
  <c r="I51" i="3" s="1"/>
  <c r="G51" i="3"/>
  <c r="M50" i="3"/>
  <c r="I50" i="3" s="1"/>
  <c r="G50" i="3"/>
  <c r="F50" i="3"/>
  <c r="M49" i="3"/>
  <c r="I49" i="3" s="1"/>
  <c r="G49" i="3"/>
  <c r="F49" i="3"/>
  <c r="M53" i="3"/>
  <c r="I53" i="3" s="1"/>
  <c r="G53" i="3"/>
  <c r="F53" i="3"/>
  <c r="M48" i="3"/>
  <c r="I48" i="3" s="1"/>
  <c r="G48" i="3"/>
  <c r="F48" i="3"/>
  <c r="F50" i="1" l="1"/>
  <c r="E50" i="1"/>
  <c r="L50" i="1"/>
  <c r="H50" i="1" s="1"/>
  <c r="H24" i="1"/>
  <c r="I51" i="1" s="1"/>
  <c r="L51" i="1" s="1"/>
  <c r="F41" i="4"/>
  <c r="I47" i="1"/>
  <c r="G53" i="1" s="1"/>
  <c r="I55" i="1" l="1"/>
  <c r="L55" i="1" s="1"/>
  <c r="I52" i="1"/>
  <c r="L52" i="1" s="1"/>
  <c r="I53" i="1"/>
  <c r="L53" i="1" s="1"/>
  <c r="N53" i="1" s="1"/>
  <c r="I54" i="1"/>
  <c r="F54" i="1" s="1"/>
  <c r="N51" i="1"/>
  <c r="H51" i="1"/>
  <c r="E51" i="1"/>
  <c r="F51" i="1"/>
  <c r="G55" i="1"/>
  <c r="G51" i="1"/>
  <c r="L47" i="1"/>
  <c r="G52" i="1"/>
  <c r="G54" i="1"/>
  <c r="E54" i="1" l="1"/>
  <c r="L54" i="1"/>
  <c r="H53" i="1"/>
  <c r="N52" i="1"/>
  <c r="H52" i="1"/>
  <c r="H55" i="1"/>
  <c r="E52" i="1"/>
  <c r="N55" i="1"/>
  <c r="F55" i="1"/>
  <c r="E55" i="1"/>
  <c r="F53" i="1"/>
  <c r="F52" i="1"/>
  <c r="E53" i="1"/>
  <c r="N50" i="1" l="1"/>
  <c r="H54" i="1"/>
  <c r="N54" i="1"/>
</calcChain>
</file>

<file path=xl/comments1.xml><?xml version="1.0" encoding="utf-8"?>
<comments xmlns="http://schemas.openxmlformats.org/spreadsheetml/2006/main">
  <authors>
    <author/>
  </authors>
  <commentList>
    <comment ref="B26" authorId="0" shapeId="0">
      <text>
        <r>
          <rPr>
            <sz val="10"/>
            <rFont val="Arial"/>
            <family val="2"/>
          </rPr>
          <t>Voir aide calcul</t>
        </r>
      </text>
    </comment>
    <comment ref="B28" authorId="0" shapeId="0">
      <text>
        <r>
          <rPr>
            <sz val="10"/>
            <rFont val="Arial"/>
            <family val="2"/>
          </rPr>
          <t>Nbr de Plis</t>
        </r>
      </text>
    </comment>
    <comment ref="B30" authorId="0" shapeId="0">
      <text>
        <r>
          <rPr>
            <sz val="10"/>
            <rFont val="Arial"/>
            <family val="2"/>
          </rPr>
          <t>Nbr de taraudage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47" authorId="0" shapeId="0">
      <text>
        <r>
          <rPr>
            <sz val="10"/>
            <rFont val="Arial"/>
            <family val="2"/>
          </rPr>
          <t>Voir la feuille listeop pour les donnes</t>
        </r>
      </text>
    </comment>
  </commentList>
</comments>
</file>

<file path=xl/sharedStrings.xml><?xml version="1.0" encoding="utf-8"?>
<sst xmlns="http://schemas.openxmlformats.org/spreadsheetml/2006/main" count="1616" uniqueCount="447">
  <si>
    <t>BOURGEOIS.C</t>
  </si>
  <si>
    <t>chiffrage</t>
  </si>
  <si>
    <t>SEPARATEUR</t>
  </si>
  <si>
    <t>Infos</t>
  </si>
  <si>
    <t>=SI(B2="";"";RECHERCHEV(B2;ListeOperation;7;FAUX()))</t>
  </si>
  <si>
    <t>Longueur
(mm)</t>
  </si>
  <si>
    <t>Largeur
(mm)</t>
  </si>
  <si>
    <t>Ep
Mm</t>
  </si>
  <si>
    <t>Matière</t>
  </si>
  <si>
    <t>Poids</t>
  </si>
  <si>
    <t>M2</t>
  </si>
  <si>
    <t>TOTAL POIDS</t>
  </si>
  <si>
    <t>TOTAL M2</t>
  </si>
  <si>
    <t>SELECTEUR</t>
  </si>
  <si>
    <t>Longueur 
Mm</t>
  </si>
  <si>
    <t>Largeur
 Mm</t>
  </si>
  <si>
    <t>Ep 
Mm</t>
  </si>
  <si>
    <t>Qté</t>
  </si>
  <si>
    <t>Poids
 Kg</t>
  </si>
  <si>
    <t>Prix
Unitaire</t>
  </si>
  <si>
    <t>Total</t>
  </si>
  <si>
    <t>Prix/Kg
Achat</t>
  </si>
  <si>
    <t xml:space="preserve">     Informations</t>
  </si>
  <si>
    <t>acier</t>
  </si>
  <si>
    <t>S235JR</t>
  </si>
  <si>
    <t>Squelette    X    Y</t>
  </si>
  <si>
    <t>Pinces</t>
  </si>
  <si>
    <t>Tps minute</t>
  </si>
  <si>
    <t xml:space="preserve">Tps en seconde </t>
  </si>
  <si>
    <t>centiemes h</t>
  </si>
  <si>
    <t>Delai</t>
  </si>
  <si>
    <t>Difficulte</t>
  </si>
  <si>
    <t>Traitement</t>
  </si>
  <si>
    <t>A convenir</t>
  </si>
  <si>
    <t>Facile</t>
  </si>
  <si>
    <t>Brute</t>
  </si>
  <si>
    <t>PEI ESTI</t>
  </si>
  <si>
    <t>TOLE</t>
  </si>
  <si>
    <t>FORMAT IDEAL</t>
  </si>
  <si>
    <t>Poids Tole Kg</t>
  </si>
  <si>
    <t>1 Semaine</t>
  </si>
  <si>
    <t>Moyen</t>
  </si>
  <si>
    <t>Epoxy</t>
  </si>
  <si>
    <t>USI ESTI</t>
  </si>
  <si>
    <t>Dispo</t>
  </si>
  <si>
    <t>Longueur (mm)</t>
  </si>
  <si>
    <t>Largeur</t>
  </si>
  <si>
    <t>Qté/Tôle</t>
  </si>
  <si>
    <t>Poids/Piece</t>
  </si>
  <si>
    <t>% Chute</t>
  </si>
  <si>
    <t>longueur</t>
  </si>
  <si>
    <t>2 Semaines</t>
  </si>
  <si>
    <t>Complexe</t>
  </si>
  <si>
    <t>Haute T°</t>
  </si>
  <si>
    <t>PEI+USI ESTI</t>
  </si>
  <si>
    <t>3 Semaines</t>
  </si>
  <si>
    <t>Zn</t>
  </si>
  <si>
    <t>Rectangle</t>
  </si>
  <si>
    <t>4 Semaines</t>
  </si>
  <si>
    <t>Antirouille</t>
  </si>
  <si>
    <t xml:space="preserve"> SST MP</t>
  </si>
  <si>
    <t>Matiere</t>
  </si>
  <si>
    <t>Longueur mm</t>
  </si>
  <si>
    <t>Largeur mm</t>
  </si>
  <si>
    <t>Epaisseur mm</t>
  </si>
  <si>
    <t>Poids Kg</t>
  </si>
  <si>
    <t>5 Semaines</t>
  </si>
  <si>
    <t>Liquide</t>
  </si>
  <si>
    <t>Composants</t>
  </si>
  <si>
    <t>Prix</t>
  </si>
  <si>
    <t>Informations</t>
  </si>
  <si>
    <t>x</t>
  </si>
  <si>
    <t>alu</t>
  </si>
  <si>
    <t>6 Semaines</t>
  </si>
  <si>
    <t>tribofinition</t>
  </si>
  <si>
    <t>Rond</t>
  </si>
  <si>
    <t>7 Semaines</t>
  </si>
  <si>
    <t>Polissage_elec</t>
  </si>
  <si>
    <t>Diametre mm</t>
  </si>
  <si>
    <t>8 Semaines</t>
  </si>
  <si>
    <t>brunissage</t>
  </si>
  <si>
    <t>9 Semaines</t>
  </si>
  <si>
    <t>10 Semaines</t>
  </si>
  <si>
    <t>SST CP</t>
  </si>
  <si>
    <t>TOTAL</t>
  </si>
  <si>
    <t>Commentaires</t>
  </si>
  <si>
    <t>OPERATIONS</t>
  </si>
  <si>
    <t>AIDE</t>
  </si>
  <si>
    <t>Nb 
Actions</t>
  </si>
  <si>
    <t>Tx 
PREP</t>
  </si>
  <si>
    <t>Tps
PREP</t>
  </si>
  <si>
    <t>CT
prep</t>
  </si>
  <si>
    <t>TH
 OP</t>
  </si>
  <si>
    <t>Base 
Op</t>
  </si>
  <si>
    <t>TPS
OP</t>
  </si>
  <si>
    <t>CT
op</t>
  </si>
  <si>
    <t>Pce/H</t>
  </si>
  <si>
    <t>TPS
 par op</t>
  </si>
  <si>
    <t>Pièce 
Aspect</t>
  </si>
  <si>
    <t>Bystronic3015</t>
  </si>
  <si>
    <t>Bystronic4000</t>
  </si>
  <si>
    <t>Amada</t>
  </si>
  <si>
    <t>Pliage&lt;200</t>
  </si>
  <si>
    <t>LASER</t>
  </si>
  <si>
    <t xml:space="preserve">vitesse </t>
  </si>
  <si>
    <t>Épaisseur</t>
  </si>
  <si>
    <t>vitesse d</t>
  </si>
  <si>
    <t>Taraudage</t>
  </si>
  <si>
    <t>Gaz</t>
  </si>
  <si>
    <t>Oxygene</t>
  </si>
  <si>
    <t>High Speed</t>
  </si>
  <si>
    <t xml:space="preserve">Contours decoupés en mm </t>
  </si>
  <si>
    <t>nbre diam &lt; 10</t>
  </si>
  <si>
    <t>Nbre d'amorçages</t>
  </si>
  <si>
    <t>Nbre de trappe</t>
  </si>
  <si>
    <t>Nbrs d' evac manuelle</t>
  </si>
  <si>
    <t>Vapo</t>
  </si>
  <si>
    <t>a reporter</t>
  </si>
  <si>
    <t>Poinconnage</t>
  </si>
  <si>
    <t>Nbre d'outils-changements</t>
  </si>
  <si>
    <t>Nbre de pieces sur la tole</t>
  </si>
  <si>
    <t>Nbre de coups de poincons</t>
  </si>
  <si>
    <t>Nbre de taraud-embout</t>
  </si>
  <si>
    <t>Nbr d'evacuations trappes</t>
  </si>
  <si>
    <t>Nbre d'evac Trumalift-manuel/piece</t>
  </si>
  <si>
    <t>Chargement tole</t>
  </si>
  <si>
    <t xml:space="preserve">Études-Méthodes </t>
  </si>
  <si>
    <t>FAD</t>
  </si>
  <si>
    <t>OUTILLAGE</t>
  </si>
  <si>
    <t>TEMPS PREP</t>
  </si>
  <si>
    <t>Zinguage Esti</t>
  </si>
  <si>
    <t>Trt de
 Surface</t>
  </si>
  <si>
    <t>Trt de 
Surface</t>
  </si>
  <si>
    <t>Usinage</t>
  </si>
  <si>
    <t>Parts Achat
Trait/Usi</t>
  </si>
  <si>
    <t>Part Achats
Total</t>
  </si>
  <si>
    <t>Hrs
fab</t>
  </si>
  <si>
    <t>Total 
par série</t>
  </si>
  <si>
    <t>P U
Brut</t>
  </si>
  <si>
    <t>Coef</t>
  </si>
  <si>
    <t>PU 
VENTE</t>
  </si>
  <si>
    <t>Largeur (mm)</t>
  </si>
  <si>
    <t>Ep mm</t>
  </si>
  <si>
    <t>Squelette    X                Y</t>
  </si>
  <si>
    <t xml:space="preserve"> INFORMATIONS CLIENT</t>
  </si>
  <si>
    <t>Difficulté :</t>
  </si>
  <si>
    <t>Délai</t>
  </si>
  <si>
    <t>Trait</t>
  </si>
  <si>
    <t>demande SC du 30/07/12</t>
  </si>
  <si>
    <t>1 à 2 pièces   : Coef 1.40</t>
  </si>
  <si>
    <t>      5 Pièces   : Coef 1.35</t>
  </si>
  <si>
    <t>CP avec
 BE et FAD</t>
  </si>
  <si>
    <t>   10p à 20p   : Coef 1.30</t>
  </si>
  <si>
    <t xml:space="preserve">Au dela 200p : Mini 1.20 </t>
  </si>
  <si>
    <t>Chiffrage ATF
4.4</t>
  </si>
  <si>
    <t xml:space="preserve"> </t>
  </si>
  <si>
    <t>Trt de surface</t>
  </si>
  <si>
    <t>MR +</t>
  </si>
  <si>
    <t xml:space="preserve"> , selon plan
En  Ep  mm, finition :
Dimension :  xx mm</t>
  </si>
  <si>
    <t>PRIX</t>
  </si>
  <si>
    <t>Densité</t>
  </si>
  <si>
    <t>Désignation</t>
  </si>
  <si>
    <t>Prix/Kg</t>
  </si>
  <si>
    <t>Remarques</t>
  </si>
  <si>
    <t>Lm 12/13</t>
  </si>
  <si>
    <t>inox</t>
  </si>
  <si>
    <t>XC10&gt;3</t>
  </si>
  <si>
    <t>s235jr</t>
  </si>
  <si>
    <t>XC10&gt;10</t>
  </si>
  <si>
    <t>laiton</t>
  </si>
  <si>
    <t>S355JR</t>
  </si>
  <si>
    <t>cuivre</t>
  </si>
  <si>
    <t>GALVA</t>
  </si>
  <si>
    <t>bronze</t>
  </si>
  <si>
    <t>EZ</t>
  </si>
  <si>
    <t>plexi</t>
  </si>
  <si>
    <t>AUZINC</t>
  </si>
  <si>
    <t>XC75</t>
  </si>
  <si>
    <t>--------------</t>
  </si>
  <si>
    <t>MEPLAT</t>
  </si>
  <si>
    <t>304L</t>
  </si>
  <si>
    <t>304P 1PVC</t>
  </si>
  <si>
    <t>304G220</t>
  </si>
  <si>
    <t>304_5WL</t>
  </si>
  <si>
    <t>316L</t>
  </si>
  <si>
    <t>301 4_4 dur</t>
  </si>
  <si>
    <t>AG3_5754</t>
  </si>
  <si>
    <t>AG3P 1PVC</t>
  </si>
  <si>
    <t>AG3D 1.5/2</t>
  </si>
  <si>
    <t>AG3D 2/3</t>
  </si>
  <si>
    <t>AG3D 4/5.5</t>
  </si>
  <si>
    <t>AG3_duetH</t>
  </si>
  <si>
    <t>AG6</t>
  </si>
  <si>
    <t>ALU5083-86</t>
  </si>
  <si>
    <t>ALUNOX</t>
  </si>
  <si>
    <t>Alu-nature</t>
  </si>
  <si>
    <t>LAITON</t>
  </si>
  <si>
    <t>3050x2050</t>
  </si>
  <si>
    <t>Plexi</t>
  </si>
  <si>
    <t>Plexi-poly</t>
  </si>
  <si>
    <t>03/11 transparent ou opaque 1f prot M1-2000x1000</t>
  </si>
  <si>
    <t>pvc</t>
  </si>
  <si>
    <t>Achats par quantité</t>
  </si>
  <si>
    <t>Designation</t>
  </si>
  <si>
    <t>Qte</t>
  </si>
  <si>
    <t>Prix/U</t>
  </si>
  <si>
    <t>Ecrou ACIER_M3-M6</t>
  </si>
  <si>
    <t>Ecrou ACIER_M8-M10</t>
  </si>
  <si>
    <t>Ecrou INOX_M3-M5</t>
  </si>
  <si>
    <t>Ecrou INOX_M6-M8</t>
  </si>
  <si>
    <t>Gouj ACIER_M3-M5</t>
  </si>
  <si>
    <t>Gouj ACIER_M6-M10</t>
  </si>
  <si>
    <t>Gouj INOX_M3-M5</t>
  </si>
  <si>
    <t>Gouj INOX_M6-M8</t>
  </si>
  <si>
    <t>SERFIN acier_M3-M5</t>
  </si>
  <si>
    <t>SERFIN acier_M6-M10</t>
  </si>
  <si>
    <t>SERFIN inox_M3-M5</t>
  </si>
  <si>
    <t xml:space="preserve">Colonnette_M3-M5 </t>
  </si>
  <si>
    <t>SERFIN inox_M6-M10</t>
  </si>
  <si>
    <t>RIVET</t>
  </si>
  <si>
    <t>Tube Inox</t>
  </si>
  <si>
    <t>Prix au kg</t>
  </si>
  <si>
    <t>Tube Acier</t>
  </si>
  <si>
    <t>Tube Alu</t>
  </si>
  <si>
    <t>Rond Inox</t>
  </si>
  <si>
    <t>Rond Acier</t>
  </si>
  <si>
    <t>Rond Alu</t>
  </si>
  <si>
    <t>Cornière Acier</t>
  </si>
  <si>
    <t>Prix tonne</t>
  </si>
  <si>
    <t>Cornière Inox</t>
  </si>
  <si>
    <t>Prix au m</t>
  </si>
  <si>
    <t>Tx HOR</t>
  </si>
  <si>
    <t>Cout hor. Op</t>
  </si>
  <si>
    <t>TPS PREP</t>
  </si>
  <si>
    <t>Petie piece</t>
  </si>
  <si>
    <t>Grd piece</t>
  </si>
  <si>
    <t>Cadence heure</t>
  </si>
  <si>
    <t>TPS SEC</t>
  </si>
  <si>
    <t>TPS min</t>
  </si>
  <si>
    <t>Traitement de surface</t>
  </si>
  <si>
    <t>Poids/M2</t>
  </si>
  <si>
    <t>Forfait Mini</t>
  </si>
  <si>
    <t>------------------</t>
  </si>
  <si>
    <t>Voir aide calcul</t>
  </si>
  <si>
    <t>=</t>
  </si>
  <si>
    <t>T500R2_2</t>
  </si>
  <si>
    <t>Zinguage</t>
  </si>
  <si>
    <t>Cataphorese</t>
  </si>
  <si>
    <t>Cisaillage</t>
  </si>
  <si>
    <t>Coupe /piece</t>
  </si>
  <si>
    <t>Galvanisation</t>
  </si>
  <si>
    <t>Cisaillage_2OPS</t>
  </si>
  <si>
    <t>Epoxy Esti</t>
  </si>
  <si>
    <t>Liquide Esti</t>
  </si>
  <si>
    <t>Nbr de Plis</t>
  </si>
  <si>
    <t>Pliage&gt;200</t>
  </si>
  <si>
    <t>Cataphorese Esti</t>
  </si>
  <si>
    <t>Pliage_2OPS</t>
  </si>
  <si>
    <t>Galvanisation Esti</t>
  </si>
  <si>
    <t>Prix &lt;300Kg</t>
  </si>
  <si>
    <t>1,4&lt;500Kg</t>
  </si>
  <si>
    <t>0,2&lt;800Kg</t>
  </si>
  <si>
    <t>1&lt;1400Kg</t>
  </si>
  <si>
    <t>Brunissage</t>
  </si>
  <si>
    <t>Débit</t>
  </si>
  <si>
    <t>L mm Hmax 50</t>
  </si>
  <si>
    <t>Poilssage_electro</t>
  </si>
  <si>
    <t>Cintrage</t>
  </si>
  <si>
    <t>Pour 1 Rayon</t>
  </si>
  <si>
    <t>Cintrage-rouleuse</t>
  </si>
  <si>
    <t>Pour 1 passage</t>
  </si>
  <si>
    <t>Gueule loup</t>
  </si>
  <si>
    <t xml:space="preserve">Pour 1 gueule </t>
  </si>
  <si>
    <t>Planeuse</t>
  </si>
  <si>
    <t>KST</t>
  </si>
  <si>
    <t>1 coup d'outil</t>
  </si>
  <si>
    <t>KST L&gt;1500</t>
  </si>
  <si>
    <t xml:space="preserve">Grugoire </t>
  </si>
  <si>
    <t>Grugoire L&gt;1500</t>
  </si>
  <si>
    <t>Ebavurage</t>
  </si>
  <si>
    <t>L mm</t>
  </si>
  <si>
    <t>Ebavurage L&gt;1500</t>
  </si>
  <si>
    <t>Sertiss_PEM</t>
  </si>
  <si>
    <t>Nbr d'insert</t>
  </si>
  <si>
    <t>Sertissage PEM&gt;1000</t>
  </si>
  <si>
    <t>Sertissage PEM_2OPS</t>
  </si>
  <si>
    <t>Sertissage pneu.</t>
  </si>
  <si>
    <t>Percage</t>
  </si>
  <si>
    <t>Nbre de trous</t>
  </si>
  <si>
    <t>Alesage</t>
  </si>
  <si>
    <t>Filletage</t>
  </si>
  <si>
    <t>L en mm filletee</t>
  </si>
  <si>
    <t>Nbr de taraudage</t>
  </si>
  <si>
    <t>Fraisurage</t>
  </si>
  <si>
    <t>Nbr de fraisurage</t>
  </si>
  <si>
    <t>Soudure KSM</t>
  </si>
  <si>
    <t>Soudure KSM_2ops</t>
  </si>
  <si>
    <t xml:space="preserve">Roulage Mannuel </t>
  </si>
  <si>
    <t>diam mini 34</t>
  </si>
  <si>
    <t>Roulage Electrique</t>
  </si>
  <si>
    <t>diam mini 79</t>
  </si>
  <si>
    <t>Soudure Point</t>
  </si>
  <si>
    <t>Nbr de point</t>
  </si>
  <si>
    <t>Soudure MIG</t>
  </si>
  <si>
    <t>L soud en mm</t>
  </si>
  <si>
    <t>Soudure MIG&gt;2000</t>
  </si>
  <si>
    <t>Soudure TIG</t>
  </si>
  <si>
    <t>Soudure Alu</t>
  </si>
  <si>
    <t>Ragréage</t>
  </si>
  <si>
    <t>L ragréée mm</t>
  </si>
  <si>
    <t>Montage</t>
  </si>
  <si>
    <t>tps minute</t>
  </si>
  <si>
    <t>Trowal</t>
  </si>
  <si>
    <t xml:space="preserve">tps piece </t>
  </si>
  <si>
    <t>Microbillage_verni</t>
  </si>
  <si>
    <t>m2</t>
  </si>
  <si>
    <t>divers</t>
  </si>
  <si>
    <t>Sablage</t>
  </si>
  <si>
    <t>Etamage</t>
  </si>
  <si>
    <t>Peinture Ht° klute</t>
  </si>
  <si>
    <t>Metre carre</t>
  </si>
  <si>
    <t>Pei Noir Ht° 450</t>
  </si>
  <si>
    <t>px/m2</t>
  </si>
  <si>
    <t>Pei Gris Ht° 650</t>
  </si>
  <si>
    <t>Peinture Liquide</t>
  </si>
  <si>
    <t>Machine</t>
  </si>
  <si>
    <t>Option HighSpeed</t>
  </si>
  <si>
    <t>Epaisseur</t>
  </si>
  <si>
    <t>Vitesse Ext</t>
  </si>
  <si>
    <t>Vitesse Int</t>
  </si>
  <si>
    <t>bystronic3015</t>
  </si>
  <si>
    <t>O2</t>
  </si>
  <si>
    <t>NA</t>
  </si>
  <si>
    <t>amada</t>
  </si>
  <si>
    <t>Ez</t>
  </si>
  <si>
    <t>VAPO</t>
  </si>
  <si>
    <t>Plexi AIR</t>
  </si>
  <si>
    <t>ez</t>
  </si>
  <si>
    <t>galva</t>
  </si>
  <si>
    <t>Sommier B.</t>
  </si>
  <si>
    <t>Index</t>
  </si>
  <si>
    <t>valeur</t>
  </si>
  <si>
    <t>Mat</t>
  </si>
  <si>
    <t>Zone de detection de modification</t>
  </si>
  <si>
    <t>B4:B11</t>
  </si>
  <si>
    <t>Nombre de calcul</t>
  </si>
  <si>
    <t>AA1</t>
  </si>
  <si>
    <t>Zone de Calcul Matiere originale</t>
  </si>
  <si>
    <t>P2:AA47</t>
  </si>
  <si>
    <t>P1:AA65536</t>
  </si>
  <si>
    <t>Mat Ligne Padding Calcul</t>
  </si>
  <si>
    <t>Colonne Format Ideal X</t>
  </si>
  <si>
    <t>W</t>
  </si>
  <si>
    <t>Colonne Format Ideal Y</t>
  </si>
  <si>
    <t>X</t>
  </si>
  <si>
    <t>Colonne Epaisseur</t>
  </si>
  <si>
    <t>T</t>
  </si>
  <si>
    <t>Colonne Poids</t>
  </si>
  <si>
    <t>Colonne M2</t>
  </si>
  <si>
    <t>Somme M2</t>
  </si>
  <si>
    <t>M12</t>
  </si>
  <si>
    <t>Somme Poids</t>
  </si>
  <si>
    <t>N12</t>
  </si>
  <si>
    <t>Nombre de Matiere</t>
  </si>
  <si>
    <t>E1</t>
  </si>
  <si>
    <t>Somme Matiere</t>
  </si>
  <si>
    <t>I12</t>
  </si>
  <si>
    <t>Somme Composant</t>
  </si>
  <si>
    <t>I21</t>
  </si>
  <si>
    <t>Ope</t>
  </si>
  <si>
    <t>B24:B44</t>
  </si>
  <si>
    <t>Colonne Bystronic 3015</t>
  </si>
  <si>
    <t>U</t>
  </si>
  <si>
    <t>Colonne Bystronic 4000</t>
  </si>
  <si>
    <t>Colonne Amada</t>
  </si>
  <si>
    <t>Y</t>
  </si>
  <si>
    <t>ColonneTR500</t>
  </si>
  <si>
    <t>Colonne Temp</t>
  </si>
  <si>
    <t>Colonne Type Machine</t>
  </si>
  <si>
    <t>Colonne Protection Pei</t>
  </si>
  <si>
    <t>N</t>
  </si>
  <si>
    <t>Nombre Operation</t>
  </si>
  <si>
    <t>A1</t>
  </si>
  <si>
    <t>Somme Preparation</t>
  </si>
  <si>
    <t>G45</t>
  </si>
  <si>
    <t>Somme Cout Operation</t>
  </si>
  <si>
    <t>K45</t>
  </si>
  <si>
    <t>Chi</t>
  </si>
  <si>
    <t>Zone de detection Traitement de surface</t>
  </si>
  <si>
    <t>B47:D47</t>
  </si>
  <si>
    <t>Colonne Quantite</t>
  </si>
  <si>
    <t>K</t>
  </si>
  <si>
    <t>Nombre Achat Qte</t>
  </si>
  <si>
    <t>C1</t>
  </si>
  <si>
    <t>Com</t>
  </si>
  <si>
    <t>Nombre de Composants</t>
  </si>
  <si>
    <t>G1</t>
  </si>
  <si>
    <t>Zone de detection Composant</t>
  </si>
  <si>
    <t>B14:B20</t>
  </si>
  <si>
    <t>Par</t>
  </si>
  <si>
    <t>Feuille de chiffrage</t>
  </si>
  <si>
    <t>Separateur</t>
  </si>
  <si>
    <t>Selecteur</t>
  </si>
  <si>
    <t>----&gt;</t>
  </si>
  <si>
    <t>Type Feuille Chiffrage</t>
  </si>
  <si>
    <t>AB1</t>
  </si>
  <si>
    <t>Zone de Traitement de surface</t>
  </si>
  <si>
    <t>P3:S1000</t>
  </si>
  <si>
    <t>Liste Auteur</t>
  </si>
  <si>
    <t>AJ5</t>
  </si>
  <si>
    <t>Client</t>
  </si>
  <si>
    <t>AI5</t>
  </si>
  <si>
    <t>DP</t>
  </si>
  <si>
    <t>B2</t>
  </si>
  <si>
    <t>Auteur</t>
  </si>
  <si>
    <t>B1</t>
  </si>
  <si>
    <t>Zone Densite Matiere</t>
  </si>
  <si>
    <t>A4:A20</t>
  </si>
  <si>
    <t>Laser_LVD</t>
  </si>
  <si>
    <t>-------</t>
  </si>
  <si>
    <t>------&gt;</t>
  </si>
  <si>
    <t>LVD</t>
  </si>
  <si>
    <t>Pcs / L</t>
  </si>
  <si>
    <t>Pcs / l</t>
  </si>
  <si>
    <t>Longueur</t>
  </si>
  <si>
    <t>Devis :</t>
  </si>
  <si>
    <t>Plan :</t>
  </si>
  <si>
    <t>Chiffreur :</t>
  </si>
  <si>
    <t>Désignation :</t>
  </si>
  <si>
    <t>fdbdhb</t>
  </si>
  <si>
    <t>A</t>
  </si>
  <si>
    <t>B</t>
  </si>
  <si>
    <t>C</t>
  </si>
  <si>
    <t>D</t>
  </si>
  <si>
    <t>E</t>
  </si>
  <si>
    <t>F</t>
  </si>
  <si>
    <t>G</t>
  </si>
  <si>
    <t>H</t>
  </si>
  <si>
    <t>Longueur 
mm</t>
  </si>
  <si>
    <t>Largeur
 mm</t>
  </si>
  <si>
    <t>Ep 
mm</t>
  </si>
  <si>
    <t xml:space="preserve">Méthodes </t>
  </si>
  <si>
    <t>Taux 
PREP</t>
  </si>
  <si>
    <t>Taux
 OP</t>
  </si>
  <si>
    <t>Cout
prep</t>
  </si>
  <si>
    <t>Cout
Op</t>
  </si>
  <si>
    <t>1500*3000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</si>
</sst>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mm/dd/yy"/>
    <numFmt numFmtId="165" formatCode="&quot;TRUE&quot;;&quot;TRUE&quot;;&quot;FALSE&quot;"/>
    <numFmt numFmtId="166" formatCode="#,##0.00\ [$€-40C];[Red]\-#,##0.00\ [$€-40C]"/>
    <numFmt numFmtId="167" formatCode="0.00000"/>
    <numFmt numFmtId="168" formatCode="0.0000"/>
    <numFmt numFmtId="169" formatCode="#,###.00"/>
    <numFmt numFmtId="170" formatCode="0.000"/>
    <numFmt numFmtId="171" formatCode="0.0"/>
    <numFmt numFmtId="172" formatCode="#"/>
    <numFmt numFmtId="173" formatCode="#,##0.00&quot; €/kg&quot;"/>
  </numFmts>
  <fonts count="48" x14ac:knownFonts="1">
    <font>
      <sz val="10"/>
      <name val="Arial"/>
      <family val="2"/>
    </font>
    <font>
      <sz val="10"/>
      <name val="Mangal"/>
      <family val="2"/>
    </font>
    <font>
      <sz val="10"/>
      <color indexed="13"/>
      <name val="Mangal"/>
      <family val="2"/>
    </font>
    <font>
      <sz val="10"/>
      <color indexed="9"/>
      <name val="Mangal"/>
      <family val="2"/>
    </font>
    <font>
      <sz val="22"/>
      <name val="Arial"/>
      <family val="2"/>
    </font>
    <font>
      <b/>
      <sz val="22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i/>
      <sz val="14"/>
      <name val="Arial"/>
      <family val="2"/>
    </font>
    <font>
      <b/>
      <sz val="15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3"/>
      <name val="Arial"/>
      <family val="2"/>
    </font>
    <font>
      <sz val="13"/>
      <color indexed="9"/>
      <name val="Arial"/>
      <family val="2"/>
    </font>
    <font>
      <sz val="13"/>
      <color indexed="49"/>
      <name val="Arial"/>
      <family val="2"/>
    </font>
    <font>
      <sz val="13"/>
      <color indexed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i/>
      <u/>
      <sz val="16"/>
      <color indexed="10"/>
      <name val="Arial"/>
      <family val="2"/>
    </font>
    <font>
      <sz val="16"/>
      <name val="Arial"/>
      <family val="2"/>
    </font>
    <font>
      <b/>
      <sz val="13"/>
      <color indexed="9"/>
      <name val="Arial"/>
      <family val="2"/>
    </font>
    <font>
      <sz val="9"/>
      <color indexed="9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color indexed="10"/>
      <name val="Arial"/>
      <family val="2"/>
    </font>
    <font>
      <b/>
      <sz val="22"/>
      <color indexed="12"/>
      <name val="Arial"/>
      <family val="2"/>
    </font>
    <font>
      <b/>
      <sz val="10.5"/>
      <name val="Arial"/>
      <family val="2"/>
    </font>
    <font>
      <b/>
      <sz val="11"/>
      <name val="Times New Roman"/>
      <family val="1"/>
    </font>
    <font>
      <sz val="8"/>
      <color indexed="9"/>
      <name val="Arial"/>
      <family val="2"/>
    </font>
    <font>
      <sz val="8"/>
      <name val="Arial"/>
      <family val="2"/>
    </font>
    <font>
      <b/>
      <i/>
      <u/>
      <sz val="96"/>
      <name val="Segoe Print"/>
    </font>
    <font>
      <b/>
      <i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9"/>
      <color rgb="FFDC2300"/>
      <name val="Arial"/>
      <family val="2"/>
    </font>
    <font>
      <sz val="13"/>
      <color rgb="FF002060"/>
      <name val="Arial"/>
      <family val="2"/>
    </font>
    <font>
      <b/>
      <sz val="13"/>
      <color theme="0" tint="-0.34998626667073579"/>
      <name val="Arial"/>
      <family val="2"/>
    </font>
    <font>
      <sz val="13"/>
      <color theme="0" tint="-0.34998626667073579"/>
      <name val="Arial"/>
      <family val="2"/>
    </font>
    <font>
      <b/>
      <sz val="28"/>
      <name val="Arial"/>
      <family val="2"/>
    </font>
    <font>
      <sz val="8"/>
      <color indexed="10"/>
      <name val="Arial"/>
      <family val="2"/>
    </font>
    <font>
      <b/>
      <sz val="14"/>
      <color rgb="FFFF0000"/>
      <name val="Arial"/>
      <family val="2"/>
    </font>
    <font>
      <sz val="16"/>
      <color theme="5" tint="-0.249977111117893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29"/>
        <bgColor indexed="45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5"/>
        <bgColor indexed="40"/>
      </patternFill>
    </fill>
    <fill>
      <patternFill patternType="solid">
        <fgColor indexed="27"/>
        <bgColor indexed="41"/>
      </patternFill>
    </fill>
    <fill>
      <patternFill patternType="solid">
        <fgColor indexed="11"/>
        <bgColor indexed="35"/>
      </patternFill>
    </fill>
    <fill>
      <patternFill patternType="solid">
        <fgColor indexed="53"/>
        <bgColor indexed="60"/>
      </patternFill>
    </fill>
    <fill>
      <patternFill patternType="solid">
        <fgColor indexed="35"/>
        <bgColor indexed="11"/>
      </patternFill>
    </fill>
    <fill>
      <patternFill patternType="solid">
        <fgColor indexed="57"/>
        <bgColor indexed="49"/>
      </patternFill>
    </fill>
    <fill>
      <patternFill patternType="solid">
        <fgColor indexed="10"/>
        <bgColor indexed="60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0"/>
        <bgColor indexed="41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hair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Alignment="0" applyProtection="0"/>
    <xf numFmtId="0" fontId="3" fillId="0" borderId="1" applyNumberFormat="0" applyAlignment="0" applyProtection="0"/>
    <xf numFmtId="0" fontId="1" fillId="0" borderId="2" applyNumberFormat="0" applyFill="0" applyAlignment="0" applyProtection="0"/>
  </cellStyleXfs>
  <cellXfs count="491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8" fillId="4" borderId="0" xfId="0" applyFont="1" applyFill="1" applyProtection="1">
      <protection locked="0"/>
    </xf>
    <xf numFmtId="0" fontId="8" fillId="4" borderId="0" xfId="0" applyFont="1" applyFill="1" applyProtection="1"/>
    <xf numFmtId="0" fontId="5" fillId="0" borderId="0" xfId="0" applyFont="1" applyProtection="1">
      <protection locked="0"/>
    </xf>
    <xf numFmtId="49" fontId="9" fillId="0" borderId="0" xfId="0" applyNumberFormat="1" applyFont="1" applyFill="1" applyProtection="1">
      <protection locked="0"/>
    </xf>
    <xf numFmtId="0" fontId="11" fillId="0" borderId="0" xfId="0" applyFont="1" applyProtection="1">
      <protection locked="0"/>
    </xf>
    <xf numFmtId="0" fontId="8" fillId="0" borderId="0" xfId="0" applyFont="1" applyProtection="1">
      <protection locked="0"/>
    </xf>
    <xf numFmtId="165" fontId="8" fillId="4" borderId="0" xfId="0" applyNumberFormat="1" applyFont="1" applyFill="1" applyProtection="1"/>
    <xf numFmtId="0" fontId="12" fillId="4" borderId="0" xfId="0" applyFont="1" applyFill="1" applyProtection="1"/>
    <xf numFmtId="0" fontId="0" fillId="0" borderId="4" xfId="0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7" fillId="0" borderId="1" xfId="0" applyFont="1" applyBorder="1" applyAlignment="1" applyProtection="1">
      <alignment vertical="top" wrapText="1"/>
    </xf>
    <xf numFmtId="166" fontId="7" fillId="0" borderId="1" xfId="0" applyNumberFormat="1" applyFont="1" applyBorder="1" applyAlignment="1" applyProtection="1">
      <alignment vertical="top"/>
    </xf>
    <xf numFmtId="0" fontId="13" fillId="0" borderId="1" xfId="0" applyFont="1" applyBorder="1" applyAlignment="1" applyProtection="1">
      <alignment vertical="top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0" fillId="0" borderId="0" xfId="0" applyAlignment="1" applyProtection="1">
      <alignment vertical="top"/>
    </xf>
    <xf numFmtId="0" fontId="8" fillId="4" borderId="0" xfId="0" applyFont="1" applyFill="1" applyAlignment="1" applyProtection="1">
      <alignment vertical="top"/>
    </xf>
    <xf numFmtId="0" fontId="0" fillId="0" borderId="4" xfId="0" applyFont="1" applyBorder="1" applyProtection="1"/>
    <xf numFmtId="0" fontId="15" fillId="2" borderId="1" xfId="0" applyFont="1" applyFill="1" applyBorder="1" applyProtection="1">
      <protection locked="0"/>
    </xf>
    <xf numFmtId="0" fontId="15" fillId="0" borderId="1" xfId="0" applyFont="1" applyBorder="1" applyProtection="1"/>
    <xf numFmtId="166" fontId="15" fillId="0" borderId="1" xfId="0" applyNumberFormat="1" applyFont="1" applyBorder="1" applyProtection="1"/>
    <xf numFmtId="2" fontId="15" fillId="0" borderId="1" xfId="0" applyNumberFormat="1" applyFont="1" applyBorder="1" applyAlignment="1" applyProtection="1">
      <alignment horizontal="right"/>
    </xf>
    <xf numFmtId="2" fontId="15" fillId="0" borderId="1" xfId="0" applyNumberFormat="1" applyFont="1" applyBorder="1" applyProtection="1"/>
    <xf numFmtId="0" fontId="6" fillId="0" borderId="1" xfId="0" applyFont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5" borderId="6" xfId="0" applyFill="1" applyBorder="1"/>
    <xf numFmtId="0" fontId="0" fillId="5" borderId="7" xfId="0" applyFill="1" applyBorder="1"/>
    <xf numFmtId="0" fontId="6" fillId="2" borderId="1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0" fillId="0" borderId="8" xfId="0" applyFont="1" applyBorder="1"/>
    <xf numFmtId="167" fontId="15" fillId="0" borderId="9" xfId="0" applyNumberFormat="1" applyFont="1" applyBorder="1" applyProtection="1">
      <protection locked="0"/>
    </xf>
    <xf numFmtId="0" fontId="0" fillId="6" borderId="10" xfId="0" applyNumberFormat="1" applyFill="1" applyBorder="1"/>
    <xf numFmtId="168" fontId="0" fillId="6" borderId="10" xfId="0" applyNumberFormat="1" applyFill="1" applyBorder="1"/>
    <xf numFmtId="168" fontId="0" fillId="6" borderId="11" xfId="0" applyNumberFormat="1" applyFill="1" applyBorder="1"/>
    <xf numFmtId="0" fontId="14" fillId="0" borderId="0" xfId="0" applyFont="1" applyProtection="1"/>
    <xf numFmtId="0" fontId="15" fillId="0" borderId="1" xfId="0" applyFont="1" applyBorder="1" applyProtection="1">
      <protection locked="0"/>
    </xf>
    <xf numFmtId="0" fontId="17" fillId="0" borderId="0" xfId="0" applyFont="1" applyFill="1" applyProtection="1">
      <protection locked="0"/>
    </xf>
    <xf numFmtId="168" fontId="12" fillId="0" borderId="0" xfId="0" applyNumberFormat="1" applyFont="1" applyProtection="1">
      <protection locked="0"/>
    </xf>
    <xf numFmtId="49" fontId="18" fillId="2" borderId="1" xfId="0" applyNumberFormat="1" applyFont="1" applyFill="1" applyBorder="1" applyProtection="1">
      <protection locked="0"/>
    </xf>
    <xf numFmtId="167" fontId="15" fillId="0" borderId="1" xfId="0" applyNumberFormat="1" applyFont="1" applyBorder="1" applyProtection="1">
      <protection locked="0"/>
    </xf>
    <xf numFmtId="10" fontId="15" fillId="0" borderId="1" xfId="0" applyNumberFormat="1" applyFont="1" applyBorder="1" applyProtection="1">
      <protection locked="0"/>
    </xf>
    <xf numFmtId="2" fontId="21" fillId="0" borderId="1" xfId="0" applyNumberFormat="1" applyFont="1" applyBorder="1" applyAlignment="1" applyProtection="1">
      <alignment horizontal="right"/>
    </xf>
    <xf numFmtId="0" fontId="0" fillId="0" borderId="1" xfId="0" applyBorder="1" applyProtection="1"/>
    <xf numFmtId="0" fontId="7" fillId="0" borderId="1" xfId="0" applyFont="1" applyBorder="1" applyProtection="1"/>
    <xf numFmtId="166" fontId="7" fillId="0" borderId="1" xfId="0" applyNumberFormat="1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13" fillId="0" borderId="0" xfId="0" applyFont="1" applyProtection="1"/>
    <xf numFmtId="0" fontId="0" fillId="0" borderId="0" xfId="0" applyFont="1"/>
    <xf numFmtId="0" fontId="11" fillId="0" borderId="0" xfId="0" applyFont="1"/>
    <xf numFmtId="0" fontId="15" fillId="2" borderId="1" xfId="1" applyFont="1" applyBorder="1" applyProtection="1">
      <protection locked="0"/>
    </xf>
    <xf numFmtId="2" fontId="16" fillId="0" borderId="1" xfId="5" applyNumberFormat="1" applyFont="1" applyAlignment="1" applyProtection="1">
      <alignment horizontal="right"/>
    </xf>
    <xf numFmtId="2" fontId="22" fillId="0" borderId="1" xfId="0" applyNumberFormat="1" applyFont="1" applyBorder="1" applyAlignment="1" applyProtection="1">
      <alignment horizontal="right"/>
    </xf>
    <xf numFmtId="169" fontId="20" fillId="0" borderId="0" xfId="0" applyNumberFormat="1" applyFont="1" applyProtection="1"/>
    <xf numFmtId="2" fontId="21" fillId="0" borderId="3" xfId="0" applyNumberFormat="1" applyFont="1" applyBorder="1" applyAlignment="1" applyProtection="1">
      <alignment horizontal="right"/>
    </xf>
    <xf numFmtId="0" fontId="23" fillId="0" borderId="0" xfId="0" applyFont="1" applyAlignment="1" applyProtection="1"/>
    <xf numFmtId="0" fontId="24" fillId="0" borderId="0" xfId="0" applyFont="1" applyProtection="1"/>
    <xf numFmtId="10" fontId="19" fillId="0" borderId="0" xfId="0" applyNumberFormat="1" applyFont="1" applyProtection="1"/>
    <xf numFmtId="0" fontId="7" fillId="0" borderId="0" xfId="0" applyFont="1" applyProtection="1"/>
    <xf numFmtId="0" fontId="7" fillId="0" borderId="1" xfId="0" applyFont="1" applyBorder="1" applyAlignment="1" applyProtection="1">
      <alignment horizont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Protection="1">
      <protection locked="0"/>
    </xf>
    <xf numFmtId="0" fontId="15" fillId="0" borderId="1" xfId="0" applyFont="1" applyBorder="1" applyAlignment="1" applyProtection="1">
      <alignment horizontal="right"/>
    </xf>
    <xf numFmtId="0" fontId="15" fillId="2" borderId="1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</xf>
    <xf numFmtId="168" fontId="15" fillId="2" borderId="1" xfId="0" applyNumberFormat="1" applyFont="1" applyFill="1" applyBorder="1" applyAlignment="1" applyProtection="1">
      <alignment horizontal="right"/>
      <protection locked="0"/>
    </xf>
    <xf numFmtId="170" fontId="6" fillId="0" borderId="1" xfId="0" applyNumberFormat="1" applyFont="1" applyBorder="1" applyAlignment="1" applyProtection="1">
      <alignment horizontal="center"/>
    </xf>
    <xf numFmtId="2" fontId="15" fillId="0" borderId="1" xfId="0" applyNumberFormat="1" applyFont="1" applyBorder="1" applyAlignment="1" applyProtection="1">
      <alignment horizontal="center"/>
    </xf>
    <xf numFmtId="171" fontId="15" fillId="7" borderId="1" xfId="0" applyNumberFormat="1" applyFont="1" applyFill="1" applyBorder="1" applyAlignment="1" applyProtection="1">
      <alignment horizontal="center"/>
    </xf>
    <xf numFmtId="171" fontId="15" fillId="0" borderId="1" xfId="0" applyNumberFormat="1" applyFont="1" applyBorder="1" applyAlignment="1" applyProtection="1">
      <alignment horizontal="center"/>
    </xf>
    <xf numFmtId="165" fontId="15" fillId="0" borderId="1" xfId="0" applyNumberFormat="1" applyFont="1" applyBorder="1" applyAlignment="1" applyProtection="1">
      <alignment horizontal="center"/>
    </xf>
    <xf numFmtId="0" fontId="16" fillId="4" borderId="0" xfId="0" applyFont="1" applyFill="1" applyProtection="1">
      <protection locked="0"/>
    </xf>
    <xf numFmtId="172" fontId="15" fillId="0" borderId="1" xfId="0" applyNumberFormat="1" applyFont="1" applyBorder="1" applyAlignment="1" applyProtection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7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0" xfId="0" applyFont="1" applyBorder="1" applyProtection="1">
      <protection locked="0"/>
    </xf>
    <xf numFmtId="0" fontId="15" fillId="0" borderId="12" xfId="0" applyFont="1" applyBorder="1" applyProtection="1">
      <protection locked="0"/>
    </xf>
    <xf numFmtId="0" fontId="6" fillId="4" borderId="0" xfId="0" applyFont="1" applyFill="1" applyAlignment="1" applyProtection="1">
      <alignment horizontal="center"/>
      <protection locked="0"/>
    </xf>
    <xf numFmtId="0" fontId="15" fillId="0" borderId="12" xfId="0" applyFont="1" applyBorder="1" applyAlignment="1" applyProtection="1">
      <alignment horizontal="center"/>
      <protection locked="0"/>
    </xf>
    <xf numFmtId="0" fontId="15" fillId="0" borderId="9" xfId="0" applyFont="1" applyBorder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168" fontId="15" fillId="0" borderId="12" xfId="0" applyNumberFormat="1" applyFont="1" applyBorder="1" applyProtection="1">
      <protection locked="0"/>
    </xf>
    <xf numFmtId="168" fontId="15" fillId="0" borderId="9" xfId="0" applyNumberFormat="1" applyFont="1" applyBorder="1" applyProtection="1">
      <protection locked="0"/>
    </xf>
    <xf numFmtId="168" fontId="16" fillId="0" borderId="0" xfId="0" applyNumberFormat="1" applyFont="1" applyProtection="1">
      <protection locked="0"/>
    </xf>
    <xf numFmtId="168" fontId="16" fillId="0" borderId="0" xfId="0" applyNumberFormat="1" applyFont="1" applyBorder="1" applyProtection="1">
      <protection locked="0"/>
    </xf>
    <xf numFmtId="168" fontId="15" fillId="9" borderId="12" xfId="0" applyNumberFormat="1" applyFont="1" applyFill="1" applyBorder="1" applyProtection="1">
      <protection locked="0"/>
    </xf>
    <xf numFmtId="168" fontId="15" fillId="9" borderId="9" xfId="0" applyNumberFormat="1" applyFont="1" applyFill="1" applyBorder="1" applyProtection="1">
      <protection locked="0"/>
    </xf>
    <xf numFmtId="0" fontId="26" fillId="4" borderId="0" xfId="0" applyFont="1" applyFill="1" applyProtection="1">
      <protection locked="0"/>
    </xf>
    <xf numFmtId="0" fontId="15" fillId="0" borderId="8" xfId="0" applyFont="1" applyBorder="1" applyProtection="1">
      <protection locked="0"/>
    </xf>
    <xf numFmtId="0" fontId="15" fillId="0" borderId="10" xfId="0" applyFont="1" applyBorder="1" applyProtection="1">
      <protection locked="0"/>
    </xf>
    <xf numFmtId="0" fontId="6" fillId="0" borderId="10" xfId="0" applyFont="1" applyBorder="1" applyProtection="1">
      <protection locked="0"/>
    </xf>
    <xf numFmtId="170" fontId="6" fillId="2" borderId="8" xfId="0" applyNumberFormat="1" applyFont="1" applyFill="1" applyBorder="1" applyProtection="1">
      <protection locked="0"/>
    </xf>
    <xf numFmtId="168" fontId="15" fillId="0" borderId="11" xfId="0" applyNumberFormat="1" applyFont="1" applyBorder="1" applyProtection="1">
      <protection locked="0"/>
    </xf>
    <xf numFmtId="170" fontId="25" fillId="2" borderId="12" xfId="0" applyNumberFormat="1" applyFont="1" applyFill="1" applyBorder="1" applyProtection="1">
      <protection locked="0"/>
    </xf>
    <xf numFmtId="170" fontId="25" fillId="2" borderId="0" xfId="0" applyNumberFormat="1" applyFont="1" applyFill="1" applyBorder="1" applyProtection="1">
      <protection locked="0"/>
    </xf>
    <xf numFmtId="167" fontId="15" fillId="0" borderId="5" xfId="0" applyNumberFormat="1" applyFont="1" applyBorder="1" applyProtection="1">
      <protection locked="0"/>
    </xf>
    <xf numFmtId="168" fontId="15" fillId="0" borderId="7" xfId="0" applyNumberFormat="1" applyFont="1" applyBorder="1" applyProtection="1">
      <protection locked="0"/>
    </xf>
    <xf numFmtId="167" fontId="15" fillId="0" borderId="12" xfId="0" applyNumberFormat="1" applyFont="1" applyBorder="1" applyProtection="1">
      <protection locked="0"/>
    </xf>
    <xf numFmtId="0" fontId="14" fillId="0" borderId="1" xfId="0" applyFont="1" applyFill="1" applyBorder="1" applyProtection="1"/>
    <xf numFmtId="0" fontId="14" fillId="0" borderId="1" xfId="0" applyFont="1" applyFill="1" applyBorder="1" applyAlignment="1" applyProtection="1">
      <alignment horizontal="right"/>
    </xf>
    <xf numFmtId="0" fontId="14" fillId="0" borderId="1" xfId="0" applyFont="1" applyBorder="1" applyProtection="1"/>
    <xf numFmtId="0" fontId="14" fillId="0" borderId="1" xfId="0" applyFont="1" applyFill="1" applyBorder="1" applyAlignment="1" applyProtection="1">
      <alignment horizontal="center"/>
    </xf>
    <xf numFmtId="2" fontId="6" fillId="0" borderId="3" xfId="0" applyNumberFormat="1" applyFont="1" applyBorder="1" applyAlignment="1" applyProtection="1">
      <alignment horizontal="center"/>
    </xf>
    <xf numFmtId="168" fontId="14" fillId="0" borderId="1" xfId="0" applyNumberFormat="1" applyFont="1" applyBorder="1" applyProtection="1"/>
    <xf numFmtId="170" fontId="14" fillId="0" borderId="1" xfId="0" applyNumberFormat="1" applyFont="1" applyBorder="1" applyAlignment="1" applyProtection="1">
      <alignment horizontal="center"/>
    </xf>
    <xf numFmtId="0" fontId="14" fillId="0" borderId="1" xfId="0" applyFont="1" applyBorder="1" applyAlignment="1" applyProtection="1">
      <alignment horizontal="center"/>
    </xf>
    <xf numFmtId="167" fontId="15" fillId="0" borderId="12" xfId="0" applyNumberFormat="1" applyFont="1" applyFill="1" applyBorder="1" applyProtection="1">
      <protection locked="0"/>
    </xf>
    <xf numFmtId="0" fontId="19" fillId="0" borderId="0" xfId="0" applyFont="1" applyProtection="1"/>
    <xf numFmtId="0" fontId="27" fillId="2" borderId="0" xfId="0" applyFont="1" applyFill="1" applyAlignment="1" applyProtection="1">
      <alignment horizontal="right"/>
      <protection locked="0"/>
    </xf>
    <xf numFmtId="0" fontId="28" fillId="0" borderId="0" xfId="0" applyFont="1" applyProtection="1"/>
    <xf numFmtId="0" fontId="19" fillId="0" borderId="0" xfId="0" applyFont="1" applyAlignment="1" applyProtection="1">
      <alignment horizontal="right"/>
    </xf>
    <xf numFmtId="0" fontId="27" fillId="0" borderId="13" xfId="0" applyFont="1" applyBorder="1" applyProtection="1"/>
    <xf numFmtId="0" fontId="0" fillId="2" borderId="0" xfId="0" applyFill="1" applyProtection="1">
      <protection locked="0"/>
    </xf>
    <xf numFmtId="0" fontId="15" fillId="2" borderId="10" xfId="0" applyFont="1" applyFill="1" applyBorder="1" applyProtection="1">
      <protection locked="0"/>
    </xf>
    <xf numFmtId="1" fontId="15" fillId="0" borderId="11" xfId="0" applyNumberFormat="1" applyFont="1" applyBorder="1" applyProtection="1"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center" wrapText="1"/>
    </xf>
    <xf numFmtId="0" fontId="19" fillId="0" borderId="0" xfId="0" applyFont="1" applyAlignment="1" applyProtection="1">
      <alignment horizontal="center" wrapText="1"/>
    </xf>
    <xf numFmtId="0" fontId="19" fillId="2" borderId="2" xfId="0" applyFont="1" applyFill="1" applyBorder="1" applyAlignment="1" applyProtection="1">
      <alignment horizontal="center"/>
    </xf>
    <xf numFmtId="170" fontId="19" fillId="0" borderId="0" xfId="0" applyNumberFormat="1" applyFont="1" applyAlignment="1" applyProtection="1">
      <alignment horizontal="center"/>
    </xf>
    <xf numFmtId="0" fontId="19" fillId="0" borderId="1" xfId="0" applyFont="1" applyBorder="1" applyAlignment="1" applyProtection="1">
      <alignment horizontal="center" wrapText="1"/>
    </xf>
    <xf numFmtId="0" fontId="0" fillId="0" borderId="14" xfId="0" applyBorder="1" applyProtection="1">
      <protection locked="0"/>
    </xf>
    <xf numFmtId="0" fontId="15" fillId="0" borderId="14" xfId="0" applyFont="1" applyBorder="1" applyProtection="1">
      <protection locked="0"/>
    </xf>
    <xf numFmtId="0" fontId="27" fillId="2" borderId="0" xfId="0" applyFont="1" applyFill="1" applyProtection="1">
      <protection locked="0"/>
    </xf>
    <xf numFmtId="9" fontId="6" fillId="0" borderId="0" xfId="0" applyNumberFormat="1" applyFont="1" applyProtection="1"/>
    <xf numFmtId="171" fontId="6" fillId="0" borderId="0" xfId="0" applyNumberFormat="1" applyFont="1" applyAlignment="1" applyProtection="1">
      <alignment horizontal="center"/>
    </xf>
    <xf numFmtId="171" fontId="6" fillId="0" borderId="0" xfId="0" applyNumberFormat="1" applyFont="1" applyProtection="1"/>
    <xf numFmtId="2" fontId="15" fillId="0" borderId="0" xfId="0" applyNumberFormat="1" applyFont="1" applyProtection="1"/>
    <xf numFmtId="0" fontId="10" fillId="2" borderId="2" xfId="0" applyFont="1" applyFill="1" applyBorder="1" applyAlignment="1" applyProtection="1">
      <alignment horizontal="center"/>
      <protection locked="0"/>
    </xf>
    <xf numFmtId="1" fontId="24" fillId="0" borderId="0" xfId="0" applyNumberFormat="1" applyFont="1" applyAlignment="1" applyProtection="1">
      <alignment horizontal="center"/>
    </xf>
    <xf numFmtId="2" fontId="6" fillId="0" borderId="1" xfId="0" applyNumberFormat="1" applyFont="1" applyFill="1" applyBorder="1" applyProtection="1"/>
    <xf numFmtId="2" fontId="19" fillId="0" borderId="1" xfId="0" applyNumberFormat="1" applyFont="1" applyFill="1" applyBorder="1" applyAlignment="1" applyProtection="1">
      <alignment horizontal="center"/>
    </xf>
    <xf numFmtId="173" fontId="29" fillId="0" borderId="0" xfId="0" applyNumberFormat="1" applyFont="1" applyProtection="1"/>
    <xf numFmtId="0" fontId="11" fillId="0" borderId="1" xfId="0" applyFont="1" applyBorder="1" applyProtection="1">
      <protection locked="0"/>
    </xf>
    <xf numFmtId="0" fontId="0" fillId="0" borderId="7" xfId="0" applyBorder="1"/>
    <xf numFmtId="0" fontId="0" fillId="0" borderId="12" xfId="0" applyBorder="1"/>
    <xf numFmtId="0" fontId="31" fillId="0" borderId="12" xfId="0" applyFont="1" applyBorder="1"/>
    <xf numFmtId="0" fontId="31" fillId="0" borderId="9" xfId="0" applyFont="1" applyBorder="1" applyAlignment="1">
      <alignment horizontal="right"/>
    </xf>
    <xf numFmtId="0" fontId="0" fillId="0" borderId="9" xfId="0" applyBorder="1"/>
    <xf numFmtId="0" fontId="0" fillId="0" borderId="12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0" fillId="0" borderId="11" xfId="0" applyBorder="1" applyProtection="1"/>
    <xf numFmtId="0" fontId="33" fillId="0" borderId="0" xfId="0" applyFont="1" applyAlignment="1" applyProtection="1">
      <alignment horizontal="center" wrapText="1"/>
    </xf>
    <xf numFmtId="0" fontId="34" fillId="0" borderId="0" xfId="0" applyFont="1" applyAlignment="1" applyProtection="1">
      <alignment horizontal="center"/>
    </xf>
    <xf numFmtId="171" fontId="33" fillId="0" borderId="0" xfId="0" applyNumberFormat="1" applyFont="1" applyAlignment="1" applyProtection="1"/>
    <xf numFmtId="171" fontId="34" fillId="0" borderId="0" xfId="0" applyNumberFormat="1" applyFont="1" applyAlignment="1" applyProtection="1"/>
    <xf numFmtId="0" fontId="34" fillId="0" borderId="0" xfId="0" applyFont="1" applyProtection="1"/>
    <xf numFmtId="166" fontId="0" fillId="0" borderId="0" xfId="0" applyNumberFormat="1"/>
    <xf numFmtId="0" fontId="0" fillId="0" borderId="1" xfId="0" applyBorder="1"/>
    <xf numFmtId="0" fontId="36" fillId="0" borderId="1" xfId="0" applyFont="1" applyBorder="1"/>
    <xf numFmtId="0" fontId="37" fillId="0" borderId="1" xfId="0" applyFont="1" applyBorder="1"/>
    <xf numFmtId="166" fontId="37" fillId="0" borderId="1" xfId="0" applyNumberFormat="1" applyFont="1" applyBorder="1"/>
    <xf numFmtId="166" fontId="0" fillId="0" borderId="1" xfId="0" applyNumberFormat="1" applyBorder="1"/>
    <xf numFmtId="2" fontId="0" fillId="0" borderId="1" xfId="0" applyNumberFormat="1" applyBorder="1"/>
    <xf numFmtId="0" fontId="0" fillId="0" borderId="1" xfId="0" applyBorder="1" applyAlignment="1">
      <alignment horizontal="left"/>
    </xf>
    <xf numFmtId="164" fontId="0" fillId="0" borderId="0" xfId="0" applyNumberFormat="1"/>
    <xf numFmtId="164" fontId="0" fillId="0" borderId="1" xfId="0" applyNumberFormat="1" applyBorder="1"/>
    <xf numFmtId="0" fontId="38" fillId="0" borderId="1" xfId="0" applyFont="1" applyBorder="1" applyAlignment="1">
      <alignment horizontal="left"/>
    </xf>
    <xf numFmtId="166" fontId="0" fillId="0" borderId="0" xfId="0" applyNumberFormat="1" applyAlignment="1">
      <alignment horizontal="right"/>
    </xf>
    <xf numFmtId="49" fontId="0" fillId="0" borderId="0" xfId="0" applyNumberFormat="1"/>
    <xf numFmtId="0" fontId="15" fillId="0" borderId="0" xfId="0" applyFont="1"/>
    <xf numFmtId="0" fontId="0" fillId="0" borderId="0" xfId="0" applyFont="1" applyAlignment="1">
      <alignment horizontal="center"/>
    </xf>
    <xf numFmtId="168" fontId="0" fillId="0" borderId="0" xfId="0" applyNumberFormat="1" applyFont="1" applyAlignment="1">
      <alignment horizontal="center"/>
    </xf>
    <xf numFmtId="168" fontId="0" fillId="0" borderId="0" xfId="0" applyNumberFormat="1" applyFont="1"/>
    <xf numFmtId="0" fontId="0" fillId="0" borderId="0" xfId="0" applyFont="1" applyAlignment="1">
      <alignment horizontal="right"/>
    </xf>
    <xf numFmtId="0" fontId="0" fillId="5" borderId="0" xfId="0" applyFill="1"/>
    <xf numFmtId="167" fontId="0" fillId="12" borderId="0" xfId="0" applyNumberFormat="1" applyFill="1" applyAlignment="1">
      <alignment horizontal="center"/>
    </xf>
    <xf numFmtId="0" fontId="0" fillId="5" borderId="0" xfId="0" applyFont="1" applyFill="1"/>
    <xf numFmtId="168" fontId="0" fillId="12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Font="1" applyAlignment="1">
      <alignment horizontal="left"/>
    </xf>
    <xf numFmtId="17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Border="1" applyAlignment="1"/>
    <xf numFmtId="0" fontId="0" fillId="0" borderId="0" xfId="0" applyBorder="1" applyAlignment="1"/>
    <xf numFmtId="0" fontId="15" fillId="0" borderId="0" xfId="0" applyFont="1" applyProtection="1">
      <protection locked="0"/>
    </xf>
    <xf numFmtId="0" fontId="15" fillId="0" borderId="12" xfId="0" applyFont="1" applyBorder="1" applyProtection="1">
      <protection locked="0"/>
    </xf>
    <xf numFmtId="0" fontId="0" fillId="0" borderId="0" xfId="0" applyProtection="1"/>
    <xf numFmtId="0" fontId="15" fillId="0" borderId="0" xfId="0" applyFont="1" applyBorder="1" applyProtection="1">
      <protection locked="0"/>
    </xf>
    <xf numFmtId="0" fontId="6" fillId="2" borderId="15" xfId="0" applyFont="1" applyFill="1" applyBorder="1" applyProtection="1">
      <protection locked="0"/>
    </xf>
    <xf numFmtId="0" fontId="6" fillId="0" borderId="15" xfId="0" applyFont="1" applyBorder="1" applyProtection="1">
      <protection locked="0"/>
    </xf>
    <xf numFmtId="0" fontId="15" fillId="0" borderId="15" xfId="0" applyFont="1" applyBorder="1" applyProtection="1">
      <protection locked="0"/>
    </xf>
    <xf numFmtId="167" fontId="15" fillId="0" borderId="15" xfId="0" applyNumberFormat="1" applyFont="1" applyBorder="1" applyProtection="1">
      <protection locked="0"/>
    </xf>
    <xf numFmtId="10" fontId="15" fillId="0" borderId="15" xfId="0" applyNumberFormat="1" applyFont="1" applyBorder="1" applyProtection="1">
      <protection locked="0"/>
    </xf>
    <xf numFmtId="0" fontId="15" fillId="0" borderId="15" xfId="0" applyFont="1" applyFill="1" applyBorder="1" applyProtection="1">
      <protection locked="0"/>
    </xf>
    <xf numFmtId="0" fontId="11" fillId="0" borderId="15" xfId="0" applyFont="1" applyBorder="1" applyProtection="1">
      <protection locked="0"/>
    </xf>
    <xf numFmtId="0" fontId="6" fillId="0" borderId="15" xfId="0" applyFont="1" applyBorder="1" applyProtection="1">
      <protection locked="0"/>
    </xf>
    <xf numFmtId="0" fontId="6" fillId="4" borderId="19" xfId="0" applyFont="1" applyFill="1" applyBorder="1" applyAlignment="1" applyProtection="1">
      <alignment horizontal="center"/>
      <protection locked="0"/>
    </xf>
    <xf numFmtId="0" fontId="15" fillId="0" borderId="20" xfId="0" applyFont="1" applyBorder="1" applyAlignment="1" applyProtection="1">
      <alignment horizontal="center"/>
      <protection locked="0"/>
    </xf>
    <xf numFmtId="0" fontId="15" fillId="0" borderId="21" xfId="0" applyFont="1" applyBorder="1" applyProtection="1"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6" fillId="2" borderId="21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2" borderId="19" xfId="0" applyFont="1" applyFill="1" applyBorder="1" applyAlignment="1" applyProtection="1">
      <alignment horizontal="center"/>
      <protection locked="0"/>
    </xf>
    <xf numFmtId="168" fontId="15" fillId="0" borderId="20" xfId="0" applyNumberFormat="1" applyFont="1" applyBorder="1" applyProtection="1">
      <protection locked="0"/>
    </xf>
    <xf numFmtId="168" fontId="15" fillId="0" borderId="21" xfId="0" applyNumberFormat="1" applyFont="1" applyBorder="1" applyProtection="1">
      <protection locked="0"/>
    </xf>
    <xf numFmtId="0" fontId="6" fillId="2" borderId="23" xfId="0" applyFont="1" applyFill="1" applyBorder="1" applyAlignment="1" applyProtection="1">
      <alignment horizontal="center"/>
      <protection locked="0"/>
    </xf>
    <xf numFmtId="168" fontId="15" fillId="0" borderId="25" xfId="0" applyNumberFormat="1" applyFont="1" applyBorder="1" applyProtection="1">
      <protection locked="0"/>
    </xf>
    <xf numFmtId="168" fontId="15" fillId="0" borderId="24" xfId="0" applyNumberFormat="1" applyFont="1" applyBorder="1" applyProtection="1">
      <protection locked="0"/>
    </xf>
    <xf numFmtId="168" fontId="15" fillId="9" borderId="20" xfId="0" applyNumberFormat="1" applyFont="1" applyFill="1" applyBorder="1" applyProtection="1">
      <protection locked="0"/>
    </xf>
    <xf numFmtId="168" fontId="15" fillId="9" borderId="21" xfId="0" applyNumberFormat="1" applyFont="1" applyFill="1" applyBorder="1" applyProtection="1">
      <protection locked="0"/>
    </xf>
    <xf numFmtId="0" fontId="8" fillId="4" borderId="0" xfId="0" quotePrefix="1" applyFont="1" applyFill="1" applyProtection="1"/>
    <xf numFmtId="49" fontId="12" fillId="4" borderId="0" xfId="0" applyNumberFormat="1" applyFont="1" applyFill="1" applyProtection="1"/>
    <xf numFmtId="0" fontId="0" fillId="0" borderId="0" xfId="0" applyBorder="1"/>
    <xf numFmtId="0" fontId="0" fillId="0" borderId="15" xfId="0" applyBorder="1"/>
    <xf numFmtId="0" fontId="0" fillId="6" borderId="26" xfId="0" applyNumberFormat="1" applyFill="1" applyBorder="1"/>
    <xf numFmtId="0" fontId="0" fillId="0" borderId="22" xfId="0" applyBorder="1"/>
    <xf numFmtId="0" fontId="0" fillId="5" borderId="23" xfId="0" applyFill="1" applyBorder="1"/>
    <xf numFmtId="0" fontId="0" fillId="5" borderId="24" xfId="0" applyFill="1" applyBorder="1"/>
    <xf numFmtId="168" fontId="0" fillId="6" borderId="26" xfId="0" applyNumberFormat="1" applyFill="1" applyBorder="1"/>
    <xf numFmtId="0" fontId="0" fillId="0" borderId="18" xfId="0" applyFont="1" applyBorder="1"/>
    <xf numFmtId="167" fontId="15" fillId="0" borderId="21" xfId="0" applyNumberFormat="1" applyFont="1" applyBorder="1" applyProtection="1">
      <protection locked="0"/>
    </xf>
    <xf numFmtId="168" fontId="0" fillId="6" borderId="28" xfId="0" applyNumberFormat="1" applyFill="1" applyBorder="1"/>
    <xf numFmtId="165" fontId="8" fillId="4" borderId="29" xfId="0" applyNumberFormat="1" applyFont="1" applyFill="1" applyBorder="1" applyAlignment="1" applyProtection="1">
      <alignment horizontal="center" vertical="center"/>
    </xf>
    <xf numFmtId="0" fontId="8" fillId="4" borderId="26" xfId="0" applyFont="1" applyFill="1" applyBorder="1" applyAlignment="1" applyProtection="1">
      <alignment horizontal="center" vertical="center"/>
    </xf>
    <xf numFmtId="0" fontId="0" fillId="0" borderId="15" xfId="0" applyFont="1" applyBorder="1"/>
    <xf numFmtId="0" fontId="11" fillId="0" borderId="15" xfId="0" applyFont="1" applyBorder="1"/>
    <xf numFmtId="0" fontId="11" fillId="0" borderId="15" xfId="0" applyFont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170" fontId="15" fillId="0" borderId="15" xfId="0" applyNumberFormat="1" applyFont="1" applyBorder="1" applyAlignment="1" applyProtection="1">
      <alignment horizontal="center" vertical="center"/>
      <protection locked="0"/>
    </xf>
    <xf numFmtId="2" fontId="15" fillId="0" borderId="15" xfId="0" applyNumberFormat="1" applyFont="1" applyBorder="1" applyProtection="1">
      <protection locked="0"/>
    </xf>
    <xf numFmtId="0" fontId="42" fillId="0" borderId="17" xfId="0" applyFont="1" applyBorder="1" applyAlignment="1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4" borderId="0" xfId="0" applyFont="1" applyFill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2" fontId="41" fillId="0" borderId="0" xfId="0" applyNumberFormat="1" applyFont="1" applyFill="1" applyAlignment="1" applyProtection="1">
      <alignment horizontal="center" vertical="center"/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168" fontId="16" fillId="0" borderId="0" xfId="0" applyNumberFormat="1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41" fillId="0" borderId="15" xfId="0" applyFont="1" applyFill="1" applyBorder="1" applyAlignment="1" applyProtection="1">
      <alignment horizontal="center" vertical="center"/>
      <protection locked="0"/>
    </xf>
    <xf numFmtId="2" fontId="41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15" fillId="0" borderId="15" xfId="0" applyFont="1" applyFill="1" applyBorder="1" applyAlignment="1" applyProtection="1">
      <alignment horizontal="center" vertical="center"/>
      <protection locked="0"/>
    </xf>
    <xf numFmtId="1" fontId="15" fillId="0" borderId="0" xfId="0" applyNumberFormat="1" applyFont="1" applyBorder="1" applyAlignment="1" applyProtection="1">
      <alignment horizontal="center" vertical="center"/>
      <protection locked="0"/>
    </xf>
    <xf numFmtId="1" fontId="15" fillId="0" borderId="15" xfId="0" applyNumberFormat="1" applyFont="1" applyBorder="1" applyAlignment="1" applyProtection="1">
      <alignment horizontal="center" vertical="center"/>
    </xf>
    <xf numFmtId="3" fontId="15" fillId="0" borderId="15" xfId="0" applyNumberFormat="1" applyFont="1" applyBorder="1" applyAlignment="1" applyProtection="1">
      <alignment horizontal="center" vertical="center"/>
      <protection locked="0"/>
    </xf>
    <xf numFmtId="0" fontId="43" fillId="4" borderId="0" xfId="0" applyFont="1" applyFill="1" applyProtection="1">
      <protection locked="0"/>
    </xf>
    <xf numFmtId="2" fontId="15" fillId="0" borderId="15" xfId="0" applyNumberFormat="1" applyFont="1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/>
      <protection locked="0"/>
    </xf>
    <xf numFmtId="0" fontId="15" fillId="0" borderId="15" xfId="0" applyFont="1" applyFill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/>
    </xf>
    <xf numFmtId="0" fontId="43" fillId="4" borderId="0" xfId="0" applyFont="1" applyFill="1" applyAlignment="1" applyProtection="1">
      <alignment vertical="center"/>
      <protection locked="0"/>
    </xf>
    <xf numFmtId="49" fontId="18" fillId="2" borderId="15" xfId="0" applyNumberFormat="1" applyFont="1" applyFill="1" applyBorder="1" applyAlignment="1" applyProtection="1">
      <alignment horizontal="center" vertical="center"/>
      <protection locked="0"/>
    </xf>
    <xf numFmtId="167" fontId="15" fillId="0" borderId="15" xfId="0" applyNumberFormat="1" applyFont="1" applyBorder="1" applyAlignment="1" applyProtection="1">
      <alignment horizontal="center" vertical="center"/>
      <protection locked="0"/>
    </xf>
    <xf numFmtId="10" fontId="15" fillId="0" borderId="15" xfId="0" applyNumberFormat="1" applyFont="1" applyBorder="1" applyAlignment="1" applyProtection="1">
      <alignment horizontal="center" vertical="center"/>
      <protection locked="0"/>
    </xf>
    <xf numFmtId="0" fontId="15" fillId="0" borderId="29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10" fontId="15" fillId="0" borderId="0" xfId="0" applyNumberFormat="1" applyFont="1" applyBorder="1" applyAlignment="1" applyProtection="1">
      <alignment horizontal="center" vertical="center"/>
      <protection locked="0"/>
    </xf>
    <xf numFmtId="49" fontId="18" fillId="2" borderId="26" xfId="0" applyNumberFormat="1" applyFont="1" applyFill="1" applyBorder="1" applyAlignment="1" applyProtection="1">
      <alignment horizontal="center" vertical="center"/>
      <protection locked="0"/>
    </xf>
    <xf numFmtId="167" fontId="15" fillId="0" borderId="26" xfId="0" applyNumberFormat="1" applyFont="1" applyBorder="1" applyAlignment="1" applyProtection="1">
      <alignment horizontal="center" vertical="center"/>
      <protection locked="0"/>
    </xf>
    <xf numFmtId="10" fontId="15" fillId="0" borderId="26" xfId="0" applyNumberFormat="1" applyFont="1" applyBorder="1" applyAlignment="1" applyProtection="1">
      <alignment horizontal="center" vertical="center"/>
      <protection locked="0"/>
    </xf>
    <xf numFmtId="0" fontId="15" fillId="2" borderId="15" xfId="0" applyFont="1" applyFill="1" applyBorder="1" applyAlignment="1" applyProtection="1">
      <alignment horizontal="center" vertical="center"/>
      <protection locked="0"/>
    </xf>
    <xf numFmtId="49" fontId="18" fillId="2" borderId="15" xfId="0" applyNumberFormat="1" applyFont="1" applyFill="1" applyBorder="1" applyAlignment="1" applyProtection="1">
      <alignment horizontal="center"/>
      <protection locked="0"/>
    </xf>
    <xf numFmtId="167" fontId="15" fillId="0" borderId="15" xfId="0" applyNumberFormat="1" applyFont="1" applyBorder="1" applyAlignment="1" applyProtection="1">
      <alignment horizontal="center"/>
      <protection locked="0"/>
    </xf>
    <xf numFmtId="10" fontId="15" fillId="0" borderId="15" xfId="0" applyNumberFormat="1" applyFont="1" applyBorder="1" applyAlignment="1" applyProtection="1">
      <alignment horizontal="center"/>
      <protection locked="0"/>
    </xf>
    <xf numFmtId="10" fontId="15" fillId="0" borderId="0" xfId="0" applyNumberFormat="1" applyFont="1" applyBorder="1" applyAlignment="1" applyProtection="1">
      <alignment horizontal="center"/>
      <protection locked="0"/>
    </xf>
    <xf numFmtId="0" fontId="15" fillId="2" borderId="15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</xf>
    <xf numFmtId="2" fontId="15" fillId="0" borderId="0" xfId="0" applyNumberFormat="1" applyFont="1" applyBorder="1" applyAlignment="1" applyProtection="1">
      <alignment horizontal="center" vertical="center"/>
      <protection locked="0"/>
    </xf>
    <xf numFmtId="3" fontId="15" fillId="0" borderId="0" xfId="0" applyNumberFormat="1" applyFont="1" applyAlignment="1" applyProtection="1">
      <alignment horizontal="center" vertical="center"/>
      <protection locked="0"/>
    </xf>
    <xf numFmtId="3" fontId="15" fillId="0" borderId="0" xfId="0" applyNumberFormat="1" applyFont="1" applyAlignment="1" applyProtection="1">
      <alignment horizontal="center" vertical="center"/>
    </xf>
    <xf numFmtId="49" fontId="43" fillId="2" borderId="15" xfId="0" applyNumberFormat="1" applyFont="1" applyFill="1" applyBorder="1" applyAlignment="1" applyProtection="1">
      <alignment horizontal="center" vertical="center"/>
      <protection locked="0"/>
    </xf>
    <xf numFmtId="49" fontId="43" fillId="2" borderId="15" xfId="0" applyNumberFormat="1" applyFont="1" applyFill="1" applyBorder="1" applyAlignment="1" applyProtection="1">
      <alignment horizontal="center"/>
      <protection locked="0"/>
    </xf>
    <xf numFmtId="2" fontId="15" fillId="0" borderId="15" xfId="0" applyNumberFormat="1" applyFont="1" applyBorder="1" applyAlignment="1" applyProtection="1">
      <alignment horizontal="center" vertical="center"/>
    </xf>
    <xf numFmtId="166" fontId="15" fillId="0" borderId="15" xfId="0" applyNumberFormat="1" applyFont="1" applyBorder="1" applyAlignment="1" applyProtection="1">
      <alignment horizontal="center" vertical="center"/>
    </xf>
    <xf numFmtId="0" fontId="0" fillId="0" borderId="41" xfId="0" applyBorder="1" applyProtection="1"/>
    <xf numFmtId="169" fontId="20" fillId="0" borderId="0" xfId="0" applyNumberFormat="1" applyFont="1" applyBorder="1" applyProtection="1"/>
    <xf numFmtId="0" fontId="23" fillId="0" borderId="0" xfId="0" applyFont="1" applyBorder="1" applyAlignment="1" applyProtection="1"/>
    <xf numFmtId="0" fontId="24" fillId="0" borderId="0" xfId="0" applyFont="1" applyBorder="1" applyProtection="1"/>
    <xf numFmtId="10" fontId="19" fillId="0" borderId="0" xfId="0" applyNumberFormat="1" applyFont="1" applyBorder="1" applyProtection="1"/>
    <xf numFmtId="0" fontId="8" fillId="4" borderId="41" xfId="0" applyFont="1" applyFill="1" applyBorder="1" applyProtection="1"/>
    <xf numFmtId="0" fontId="0" fillId="0" borderId="34" xfId="0" applyBorder="1" applyProtection="1"/>
    <xf numFmtId="0" fontId="31" fillId="0" borderId="0" xfId="0" applyFont="1" applyBorder="1"/>
    <xf numFmtId="0" fontId="22" fillId="0" borderId="0" xfId="0" applyFont="1" applyBorder="1" applyAlignment="1" applyProtection="1"/>
    <xf numFmtId="170" fontId="14" fillId="0" borderId="18" xfId="0" applyNumberFormat="1" applyFont="1" applyBorder="1" applyAlignment="1" applyProtection="1">
      <alignment horizontal="center" vertical="center"/>
    </xf>
    <xf numFmtId="2" fontId="15" fillId="0" borderId="29" xfId="0" applyNumberFormat="1" applyFont="1" applyBorder="1" applyAlignment="1" applyProtection="1">
      <alignment horizontal="center" vertical="center"/>
    </xf>
    <xf numFmtId="2" fontId="15" fillId="0" borderId="16" xfId="0" applyNumberFormat="1" applyFont="1" applyBorder="1" applyProtection="1"/>
    <xf numFmtId="0" fontId="0" fillId="0" borderId="4" xfId="0" applyBorder="1" applyProtection="1"/>
    <xf numFmtId="0" fontId="0" fillId="0" borderId="41" xfId="0" applyBorder="1" applyAlignment="1" applyProtection="1">
      <alignment horizontal="right" vertical="center"/>
    </xf>
    <xf numFmtId="0" fontId="5" fillId="13" borderId="35" xfId="0" applyFont="1" applyFill="1" applyBorder="1" applyAlignment="1" applyProtection="1">
      <alignment vertical="center"/>
      <protection locked="0"/>
    </xf>
    <xf numFmtId="0" fontId="7" fillId="17" borderId="26" xfId="0" applyFont="1" applyFill="1" applyBorder="1" applyAlignment="1" applyProtection="1">
      <alignment horizontal="center" vertical="center" wrapText="1"/>
    </xf>
    <xf numFmtId="166" fontId="7" fillId="17" borderId="26" xfId="0" applyNumberFormat="1" applyFont="1" applyFill="1" applyBorder="1" applyAlignment="1" applyProtection="1">
      <alignment horizontal="center" vertical="center"/>
    </xf>
    <xf numFmtId="0" fontId="6" fillId="17" borderId="49" xfId="0" applyFont="1" applyFill="1" applyBorder="1" applyAlignment="1" applyProtection="1">
      <alignment horizontal="center" vertical="center"/>
    </xf>
    <xf numFmtId="0" fontId="6" fillId="17" borderId="26" xfId="0" applyFont="1" applyFill="1" applyBorder="1" applyAlignment="1" applyProtection="1">
      <alignment horizontal="center" vertical="center" wrapText="1"/>
    </xf>
    <xf numFmtId="0" fontId="6" fillId="17" borderId="26" xfId="0" applyFont="1" applyFill="1" applyBorder="1" applyAlignment="1" applyProtection="1">
      <alignment horizontal="center" vertical="center"/>
    </xf>
    <xf numFmtId="166" fontId="6" fillId="17" borderId="26" xfId="0" applyNumberFormat="1" applyFont="1" applyFill="1" applyBorder="1" applyAlignment="1" applyProtection="1">
      <alignment horizontal="center" vertical="center"/>
    </xf>
    <xf numFmtId="2" fontId="21" fillId="16" borderId="30" xfId="0" applyNumberFormat="1" applyFont="1" applyFill="1" applyBorder="1" applyAlignment="1" applyProtection="1">
      <alignment horizontal="right"/>
    </xf>
    <xf numFmtId="2" fontId="15" fillId="19" borderId="15" xfId="0" applyNumberFormat="1" applyFont="1" applyFill="1" applyBorder="1" applyAlignment="1" applyProtection="1">
      <alignment horizontal="center" vertical="center"/>
      <protection locked="0"/>
    </xf>
    <xf numFmtId="0" fontId="15" fillId="19" borderId="15" xfId="0" applyFont="1" applyFill="1" applyBorder="1" applyAlignment="1" applyProtection="1">
      <alignment horizontal="center" vertical="center"/>
      <protection locked="0"/>
    </xf>
    <xf numFmtId="2" fontId="6" fillId="16" borderId="30" xfId="0" applyNumberFormat="1" applyFont="1" applyFill="1" applyBorder="1" applyAlignment="1" applyProtection="1">
      <alignment horizontal="center" vertical="center"/>
    </xf>
    <xf numFmtId="171" fontId="6" fillId="0" borderId="26" xfId="0" applyNumberFormat="1" applyFont="1" applyBorder="1" applyAlignment="1" applyProtection="1">
      <alignment horizontal="center" vertical="center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71" fontId="6" fillId="0" borderId="15" xfId="0" applyNumberFormat="1" applyFont="1" applyBorder="1" applyAlignment="1" applyProtection="1">
      <alignment horizontal="center" vertical="center"/>
    </xf>
    <xf numFmtId="0" fontId="10" fillId="2" borderId="15" xfId="0" applyFont="1" applyFill="1" applyBorder="1" applyAlignment="1" applyProtection="1">
      <alignment horizontal="center" vertical="center"/>
      <protection locked="0"/>
    </xf>
    <xf numFmtId="171" fontId="6" fillId="0" borderId="29" xfId="0" applyNumberFormat="1" applyFont="1" applyBorder="1" applyAlignment="1" applyProtection="1">
      <alignment horizontal="center" vertical="center"/>
    </xf>
    <xf numFmtId="0" fontId="10" fillId="2" borderId="29" xfId="0" applyFont="1" applyFill="1" applyBorder="1" applyAlignment="1" applyProtection="1">
      <alignment horizontal="center" vertical="center"/>
      <protection locked="0"/>
    </xf>
    <xf numFmtId="0" fontId="8" fillId="4" borderId="41" xfId="0" applyFont="1" applyFill="1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27" fillId="2" borderId="50" xfId="0" applyFont="1" applyFill="1" applyBorder="1" applyAlignment="1" applyProtection="1">
      <alignment horizontal="center" vertical="center"/>
      <protection locked="0"/>
    </xf>
    <xf numFmtId="0" fontId="27" fillId="2" borderId="15" xfId="0" applyFont="1" applyFill="1" applyBorder="1" applyAlignment="1" applyProtection="1">
      <alignment horizontal="center" vertical="center"/>
      <protection locked="0"/>
    </xf>
    <xf numFmtId="9" fontId="6" fillId="0" borderId="26" xfId="0" applyNumberFormat="1" applyFont="1" applyBorder="1" applyAlignment="1" applyProtection="1">
      <alignment horizontal="center" vertical="center"/>
    </xf>
    <xf numFmtId="2" fontId="15" fillId="0" borderId="26" xfId="0" applyNumberFormat="1" applyFont="1" applyBorder="1" applyAlignment="1" applyProtection="1">
      <alignment horizontal="center" vertical="center"/>
    </xf>
    <xf numFmtId="9" fontId="6" fillId="0" borderId="15" xfId="0" applyNumberFormat="1" applyFont="1" applyBorder="1" applyAlignment="1" applyProtection="1">
      <alignment horizontal="center" vertical="center"/>
    </xf>
    <xf numFmtId="9" fontId="6" fillId="0" borderId="29" xfId="0" applyNumberFormat="1" applyFont="1" applyBorder="1" applyAlignment="1" applyProtection="1">
      <alignment horizontal="center" vertical="center"/>
    </xf>
    <xf numFmtId="0" fontId="15" fillId="14" borderId="50" xfId="0" applyFont="1" applyFill="1" applyBorder="1" applyAlignment="1" applyProtection="1">
      <alignment horizontal="center" vertical="center"/>
      <protection locked="0"/>
    </xf>
    <xf numFmtId="1" fontId="15" fillId="14" borderId="15" xfId="1" applyNumberFormat="1" applyFont="1" applyFill="1" applyBorder="1" applyAlignment="1" applyProtection="1">
      <alignment horizontal="center" vertical="center"/>
      <protection locked="0"/>
    </xf>
    <xf numFmtId="0" fontId="15" fillId="21" borderId="15" xfId="0" applyFont="1" applyFill="1" applyBorder="1" applyAlignment="1" applyProtection="1">
      <alignment horizontal="center" vertical="center"/>
      <protection locked="0"/>
    </xf>
    <xf numFmtId="171" fontId="15" fillId="22" borderId="18" xfId="0" applyNumberFormat="1" applyFont="1" applyFill="1" applyBorder="1" applyAlignment="1" applyProtection="1">
      <alignment horizontal="center" vertical="center"/>
    </xf>
    <xf numFmtId="0" fontId="15" fillId="20" borderId="15" xfId="0" applyFont="1" applyFill="1" applyBorder="1" applyAlignment="1" applyProtection="1">
      <alignment horizontal="center" vertical="center"/>
    </xf>
    <xf numFmtId="2" fontId="15" fillId="20" borderId="15" xfId="0" applyNumberFormat="1" applyFont="1" applyFill="1" applyBorder="1" applyAlignment="1" applyProtection="1">
      <alignment horizontal="center" vertical="center"/>
    </xf>
    <xf numFmtId="168" fontId="15" fillId="19" borderId="15" xfId="0" applyNumberFormat="1" applyFont="1" applyFill="1" applyBorder="1" applyAlignment="1" applyProtection="1">
      <alignment horizontal="center" vertical="center"/>
      <protection locked="0"/>
    </xf>
    <xf numFmtId="171" fontId="15" fillId="20" borderId="15" xfId="0" applyNumberFormat="1" applyFont="1" applyFill="1" applyBorder="1" applyAlignment="1" applyProtection="1">
      <alignment horizontal="center" vertical="center"/>
    </xf>
    <xf numFmtId="2" fontId="15" fillId="23" borderId="15" xfId="0" applyNumberFormat="1" applyFont="1" applyFill="1" applyBorder="1" applyAlignment="1" applyProtection="1">
      <alignment horizontal="center" vertical="center"/>
    </xf>
    <xf numFmtId="2" fontId="15" fillId="23" borderId="29" xfId="0" applyNumberFormat="1" applyFont="1" applyFill="1" applyBorder="1" applyAlignment="1" applyProtection="1">
      <alignment horizontal="center" vertical="center"/>
    </xf>
    <xf numFmtId="165" fontId="15" fillId="20" borderId="15" xfId="0" applyNumberFormat="1" applyFont="1" applyFill="1" applyBorder="1" applyAlignment="1" applyProtection="1">
      <alignment horizontal="center" vertical="center"/>
    </xf>
    <xf numFmtId="172" fontId="15" fillId="20" borderId="15" xfId="0" applyNumberFormat="1" applyFont="1" applyFill="1" applyBorder="1" applyAlignment="1" applyProtection="1">
      <alignment horizontal="center" vertical="center"/>
    </xf>
    <xf numFmtId="171" fontId="15" fillId="22" borderId="15" xfId="0" applyNumberFormat="1" applyFont="1" applyFill="1" applyBorder="1" applyAlignment="1" applyProtection="1">
      <alignment horizontal="center" vertical="center"/>
    </xf>
    <xf numFmtId="170" fontId="6" fillId="23" borderId="15" xfId="0" applyNumberFormat="1" applyFont="1" applyFill="1" applyBorder="1" applyAlignment="1" applyProtection="1">
      <alignment horizontal="center" vertical="center"/>
    </xf>
    <xf numFmtId="2" fontId="16" fillId="23" borderId="15" xfId="5" applyNumberFormat="1" applyFont="1" applyFill="1" applyBorder="1" applyAlignment="1" applyProtection="1">
      <alignment horizontal="center" vertical="center"/>
    </xf>
    <xf numFmtId="2" fontId="22" fillId="23" borderId="29" xfId="0" applyNumberFormat="1" applyFont="1" applyFill="1" applyBorder="1" applyAlignment="1" applyProtection="1">
      <alignment horizontal="right"/>
    </xf>
    <xf numFmtId="0" fontId="7" fillId="17" borderId="50" xfId="0" applyFont="1" applyFill="1" applyBorder="1" applyAlignment="1" applyProtection="1">
      <alignment horizontal="center" vertical="center"/>
    </xf>
    <xf numFmtId="0" fontId="7" fillId="17" borderId="15" xfId="0" applyFont="1" applyFill="1" applyBorder="1" applyAlignment="1" applyProtection="1">
      <alignment horizontal="center" vertical="center"/>
    </xf>
    <xf numFmtId="0" fontId="7" fillId="17" borderId="15" xfId="0" applyFont="1" applyFill="1" applyBorder="1" applyAlignment="1" applyProtection="1">
      <alignment horizontal="center" vertical="center" wrapText="1"/>
    </xf>
    <xf numFmtId="0" fontId="7" fillId="17" borderId="18" xfId="0" applyFont="1" applyFill="1" applyBorder="1" applyAlignment="1" applyProtection="1">
      <alignment horizontal="center" vertical="center" wrapText="1"/>
    </xf>
    <xf numFmtId="0" fontId="7" fillId="17" borderId="29" xfId="0" applyFont="1" applyFill="1" applyBorder="1" applyAlignment="1" applyProtection="1">
      <alignment horizontal="center" vertical="center" wrapText="1"/>
    </xf>
    <xf numFmtId="0" fontId="7" fillId="17" borderId="24" xfId="0" applyFont="1" applyFill="1" applyBorder="1" applyAlignment="1" applyProtection="1">
      <alignment horizontal="center" vertical="center" wrapText="1"/>
    </xf>
    <xf numFmtId="0" fontId="19" fillId="17" borderId="15" xfId="0" applyFont="1" applyFill="1" applyBorder="1" applyAlignment="1" applyProtection="1">
      <alignment horizontal="center" vertical="center" wrapText="1"/>
      <protection locked="0"/>
    </xf>
    <xf numFmtId="0" fontId="19" fillId="17" borderId="15" xfId="0" applyFont="1" applyFill="1" applyBorder="1" applyAlignment="1" applyProtection="1">
      <alignment horizontal="center" vertical="center"/>
      <protection locked="0"/>
    </xf>
    <xf numFmtId="0" fontId="11" fillId="17" borderId="15" xfId="0" applyFont="1" applyFill="1" applyBorder="1" applyAlignment="1" applyProtection="1">
      <alignment horizontal="center" vertical="center" wrapText="1"/>
    </xf>
    <xf numFmtId="0" fontId="19" fillId="17" borderId="15" xfId="0" applyFont="1" applyFill="1" applyBorder="1" applyAlignment="1" applyProtection="1">
      <alignment horizontal="center" vertical="center" wrapText="1"/>
    </xf>
    <xf numFmtId="0" fontId="19" fillId="18" borderId="15" xfId="0" applyFont="1" applyFill="1" applyBorder="1" applyAlignment="1" applyProtection="1">
      <alignment horizontal="center" vertical="center"/>
    </xf>
    <xf numFmtId="0" fontId="19" fillId="17" borderId="15" xfId="0" applyFont="1" applyFill="1" applyBorder="1" applyAlignment="1" applyProtection="1">
      <alignment horizontal="center" vertical="center"/>
    </xf>
    <xf numFmtId="0" fontId="27" fillId="2" borderId="52" xfId="0" applyFont="1" applyFill="1" applyBorder="1" applyAlignment="1" applyProtection="1">
      <alignment horizontal="center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166" fontId="15" fillId="20" borderId="15" xfId="0" applyNumberFormat="1" applyFont="1" applyFill="1" applyBorder="1" applyAlignment="1" applyProtection="1">
      <alignment horizontal="center" vertical="center"/>
    </xf>
    <xf numFmtId="0" fontId="15" fillId="14" borderId="50" xfId="0" applyFont="1" applyFill="1" applyBorder="1" applyAlignment="1" applyProtection="1">
      <alignment horizontal="left" vertical="center"/>
      <protection locked="0"/>
    </xf>
    <xf numFmtId="0" fontId="0" fillId="0" borderId="43" xfId="0" applyBorder="1"/>
    <xf numFmtId="0" fontId="0" fillId="0" borderId="44" xfId="0" applyBorder="1"/>
    <xf numFmtId="173" fontId="45" fillId="0" borderId="45" xfId="0" applyNumberFormat="1" applyFont="1" applyBorder="1" applyAlignment="1" applyProtection="1">
      <alignment horizontal="center" vertical="center"/>
    </xf>
    <xf numFmtId="1" fontId="47" fillId="0" borderId="26" xfId="0" applyNumberFormat="1" applyFont="1" applyBorder="1" applyAlignment="1" applyProtection="1">
      <alignment horizontal="center" vertical="center"/>
    </xf>
    <xf numFmtId="1" fontId="47" fillId="0" borderId="15" xfId="0" applyNumberFormat="1" applyFont="1" applyBorder="1" applyAlignment="1" applyProtection="1">
      <alignment horizontal="center" vertical="center"/>
    </xf>
    <xf numFmtId="1" fontId="47" fillId="0" borderId="29" xfId="0" applyNumberFormat="1" applyFont="1" applyBorder="1" applyAlignment="1" applyProtection="1">
      <alignment horizontal="center" vertical="center"/>
    </xf>
    <xf numFmtId="0" fontId="15" fillId="20" borderId="29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vertical="center"/>
    </xf>
    <xf numFmtId="168" fontId="15" fillId="19" borderId="29" xfId="0" applyNumberFormat="1" applyFont="1" applyFill="1" applyBorder="1" applyAlignment="1" applyProtection="1">
      <alignment horizontal="center" vertical="center"/>
      <protection locked="0"/>
    </xf>
    <xf numFmtId="168" fontId="14" fillId="0" borderId="0" xfId="0" applyNumberFormat="1" applyFont="1" applyBorder="1" applyAlignment="1" applyProtection="1">
      <alignment vertical="center"/>
    </xf>
    <xf numFmtId="0" fontId="14" fillId="0" borderId="0" xfId="0" applyFont="1" applyBorder="1" applyAlignment="1" applyProtection="1">
      <alignment horizontal="center" vertical="center"/>
    </xf>
    <xf numFmtId="0" fontId="0" fillId="19" borderId="15" xfId="0" applyFont="1" applyFill="1" applyBorder="1" applyAlignment="1" applyProtection="1">
      <alignment horizontal="center" vertical="center"/>
      <protection locked="0"/>
    </xf>
    <xf numFmtId="0" fontId="28" fillId="23" borderId="15" xfId="0" applyFont="1" applyFill="1" applyBorder="1" applyAlignment="1" applyProtection="1">
      <alignment horizontal="center" vertical="center"/>
    </xf>
    <xf numFmtId="0" fontId="19" fillId="2" borderId="15" xfId="0" applyFont="1" applyFill="1" applyBorder="1" applyAlignment="1" applyProtection="1">
      <alignment horizontal="center" vertical="center"/>
      <protection locked="0"/>
    </xf>
    <xf numFmtId="0" fontId="19" fillId="17" borderId="15" xfId="0" applyFont="1" applyFill="1" applyBorder="1" applyAlignment="1" applyProtection="1">
      <alignment horizontal="right" vertical="center"/>
    </xf>
    <xf numFmtId="0" fontId="19" fillId="2" borderId="29" xfId="0" applyFont="1" applyFill="1" applyBorder="1" applyAlignment="1" applyProtection="1">
      <alignment horizontal="center" vertical="center"/>
      <protection locked="0"/>
    </xf>
    <xf numFmtId="2" fontId="15" fillId="23" borderId="22" xfId="0" applyNumberFormat="1" applyFont="1" applyFill="1" applyBorder="1" applyAlignment="1" applyProtection="1">
      <alignment horizontal="center" vertical="center"/>
    </xf>
    <xf numFmtId="170" fontId="6" fillId="23" borderId="24" xfId="0" applyNumberFormat="1" applyFont="1" applyFill="1" applyBorder="1" applyAlignment="1" applyProtection="1">
      <alignment horizontal="center" vertical="center"/>
    </xf>
    <xf numFmtId="0" fontId="27" fillId="17" borderId="26" xfId="0" applyFont="1" applyFill="1" applyBorder="1" applyAlignment="1" applyProtection="1">
      <alignment horizontal="center" vertical="center"/>
    </xf>
    <xf numFmtId="0" fontId="14" fillId="0" borderId="40" xfId="0" applyFont="1" applyFill="1" applyBorder="1" applyAlignment="1" applyProtection="1">
      <alignment vertical="center"/>
    </xf>
    <xf numFmtId="0" fontId="19" fillId="17" borderId="50" xfId="0" applyFont="1" applyFill="1" applyBorder="1" applyAlignment="1" applyProtection="1">
      <alignment horizontal="center" vertical="center"/>
    </xf>
    <xf numFmtId="0" fontId="14" fillId="0" borderId="45" xfId="0" applyFont="1" applyFill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/>
    </xf>
    <xf numFmtId="0" fontId="19" fillId="0" borderId="0" xfId="0" applyFont="1" applyAlignment="1">
      <alignment horizontal="center"/>
    </xf>
    <xf numFmtId="0" fontId="0" fillId="0" borderId="31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44" fillId="0" borderId="42" xfId="0" applyFont="1" applyBorder="1" applyAlignment="1" applyProtection="1">
      <alignment horizontal="right" vertical="center"/>
    </xf>
    <xf numFmtId="0" fontId="44" fillId="0" borderId="43" xfId="0" applyFont="1" applyBorder="1" applyAlignment="1" applyProtection="1">
      <alignment horizontal="right" vertical="center"/>
    </xf>
    <xf numFmtId="0" fontId="44" fillId="0" borderId="42" xfId="0" applyFont="1" applyBorder="1" applyAlignment="1" applyProtection="1">
      <alignment horizontal="left" vertical="center"/>
    </xf>
    <xf numFmtId="0" fontId="44" fillId="0" borderId="32" xfId="0" applyFont="1" applyBorder="1" applyAlignment="1" applyProtection="1">
      <alignment horizontal="left" vertical="center"/>
    </xf>
    <xf numFmtId="0" fontId="44" fillId="0" borderId="43" xfId="0" applyFont="1" applyBorder="1" applyAlignment="1" applyProtection="1">
      <alignment horizontal="left" vertical="center"/>
    </xf>
    <xf numFmtId="0" fontId="44" fillId="0" borderId="34" xfId="0" applyFont="1" applyBorder="1" applyAlignment="1" applyProtection="1">
      <alignment horizontal="left" vertical="center"/>
    </xf>
    <xf numFmtId="0" fontId="5" fillId="13" borderId="36" xfId="0" applyFont="1" applyFill="1" applyBorder="1" applyAlignment="1" applyProtection="1">
      <alignment horizontal="right" vertical="center"/>
      <protection locked="0"/>
    </xf>
    <xf numFmtId="0" fontId="5" fillId="13" borderId="36" xfId="0" applyFont="1" applyFill="1" applyBorder="1" applyAlignment="1" applyProtection="1">
      <alignment horizontal="left" vertical="center"/>
      <protection locked="0"/>
    </xf>
    <xf numFmtId="0" fontId="5" fillId="13" borderId="38" xfId="0" applyFont="1" applyFill="1" applyBorder="1" applyAlignment="1" applyProtection="1">
      <alignment horizontal="left" vertical="center"/>
      <protection locked="0"/>
    </xf>
    <xf numFmtId="49" fontId="21" fillId="13" borderId="35" xfId="0" applyNumberFormat="1" applyFont="1" applyFill="1" applyBorder="1" applyAlignment="1" applyProtection="1">
      <alignment horizontal="center" vertical="center"/>
      <protection locked="0"/>
    </xf>
    <xf numFmtId="49" fontId="21" fillId="13" borderId="36" xfId="0" applyNumberFormat="1" applyFont="1" applyFill="1" applyBorder="1" applyAlignment="1" applyProtection="1">
      <alignment horizontal="center" vertical="center"/>
      <protection locked="0"/>
    </xf>
    <xf numFmtId="49" fontId="5" fillId="13" borderId="36" xfId="0" applyNumberFormat="1" applyFont="1" applyFill="1" applyBorder="1" applyAlignment="1" applyProtection="1">
      <alignment horizontal="left" vertical="center"/>
      <protection locked="0"/>
    </xf>
    <xf numFmtId="0" fontId="5" fillId="15" borderId="31" xfId="0" applyFont="1" applyFill="1" applyBorder="1" applyAlignment="1" applyProtection="1">
      <alignment horizontal="center" vertical="center"/>
      <protection locked="0"/>
    </xf>
    <xf numFmtId="0" fontId="5" fillId="15" borderId="32" xfId="0" applyFont="1" applyFill="1" applyBorder="1" applyAlignment="1" applyProtection="1">
      <alignment horizontal="center" vertical="center"/>
      <protection locked="0"/>
    </xf>
    <xf numFmtId="0" fontId="5" fillId="15" borderId="33" xfId="0" applyFont="1" applyFill="1" applyBorder="1" applyAlignment="1" applyProtection="1">
      <alignment horizontal="center" vertical="center"/>
      <protection locked="0"/>
    </xf>
    <xf numFmtId="0" fontId="5" fillId="15" borderId="34" xfId="0" applyFont="1" applyFill="1" applyBorder="1" applyAlignment="1" applyProtection="1">
      <alignment horizontal="center" vertical="center"/>
      <protection locked="0"/>
    </xf>
    <xf numFmtId="0" fontId="7" fillId="17" borderId="15" xfId="0" applyFont="1" applyFill="1" applyBorder="1" applyAlignment="1" applyProtection="1">
      <alignment horizontal="center" vertical="center"/>
    </xf>
    <xf numFmtId="0" fontId="7" fillId="17" borderId="45" xfId="0" applyFont="1" applyFill="1" applyBorder="1" applyAlignment="1" applyProtection="1">
      <alignment horizontal="center" vertical="center"/>
    </xf>
    <xf numFmtId="0" fontId="15" fillId="0" borderId="15" xfId="0" applyFont="1" applyBorder="1" applyAlignment="1" applyProtection="1">
      <alignment horizontal="center" vertical="center"/>
    </xf>
    <xf numFmtId="0" fontId="15" fillId="0" borderId="45" xfId="0" applyFont="1" applyBorder="1" applyAlignment="1" applyProtection="1">
      <alignment horizontal="center" vertical="center"/>
    </xf>
    <xf numFmtId="0" fontId="7" fillId="13" borderId="39" xfId="0" applyFont="1" applyFill="1" applyBorder="1" applyAlignment="1" applyProtection="1">
      <alignment horizontal="right" vertical="center"/>
      <protection locked="0"/>
    </xf>
    <xf numFmtId="0" fontId="7" fillId="13" borderId="36" xfId="0" applyFont="1" applyFill="1" applyBorder="1" applyAlignment="1" applyProtection="1">
      <alignment horizontal="right" vertical="center"/>
      <protection locked="0"/>
    </xf>
    <xf numFmtId="0" fontId="7" fillId="13" borderId="36" xfId="0" applyFont="1" applyFill="1" applyBorder="1" applyAlignment="1" applyProtection="1">
      <alignment horizontal="left" vertical="center"/>
      <protection locked="0"/>
    </xf>
    <xf numFmtId="0" fontId="7" fillId="13" borderId="37" xfId="0" applyFont="1" applyFill="1" applyBorder="1" applyAlignment="1" applyProtection="1">
      <alignment horizontal="left" vertical="center"/>
      <protection locked="0"/>
    </xf>
    <xf numFmtId="14" fontId="10" fillId="13" borderId="36" xfId="0" applyNumberFormat="1" applyFont="1" applyFill="1" applyBorder="1" applyAlignment="1" applyProtection="1">
      <alignment horizontal="center" vertical="center"/>
      <protection locked="0"/>
    </xf>
    <xf numFmtId="14" fontId="10" fillId="13" borderId="37" xfId="0" applyNumberFormat="1" applyFont="1" applyFill="1" applyBorder="1" applyAlignment="1" applyProtection="1">
      <alignment horizontal="center" vertical="center"/>
      <protection locked="0"/>
    </xf>
    <xf numFmtId="0" fontId="20" fillId="0" borderId="51" xfId="0" applyFont="1" applyBorder="1" applyAlignment="1" applyProtection="1">
      <alignment horizontal="right"/>
    </xf>
    <xf numFmtId="0" fontId="20" fillId="0" borderId="16" xfId="0" applyFont="1" applyBorder="1" applyAlignment="1" applyProtection="1">
      <alignment horizontal="right"/>
    </xf>
    <xf numFmtId="0" fontId="20" fillId="0" borderId="46" xfId="0" applyFont="1" applyBorder="1" applyAlignment="1" applyProtection="1">
      <alignment horizontal="right"/>
    </xf>
    <xf numFmtId="0" fontId="6" fillId="0" borderId="15" xfId="0" applyFont="1" applyBorder="1" applyProtection="1"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15" fillId="0" borderId="18" xfId="0" applyFont="1" applyBorder="1" applyProtection="1">
      <protection locked="0"/>
    </xf>
    <xf numFmtId="0" fontId="15" fillId="0" borderId="19" xfId="0" applyFont="1" applyBorder="1" applyProtection="1">
      <protection locked="0"/>
    </xf>
    <xf numFmtId="0" fontId="15" fillId="0" borderId="22" xfId="0" applyFont="1" applyBorder="1" applyAlignment="1" applyProtection="1">
      <alignment horizontal="justify"/>
      <protection locked="0"/>
    </xf>
    <xf numFmtId="0" fontId="15" fillId="0" borderId="23" xfId="0" applyFont="1" applyBorder="1" applyAlignment="1" applyProtection="1">
      <alignment horizontal="justify"/>
      <protection locked="0"/>
    </xf>
    <xf numFmtId="0" fontId="15" fillId="0" borderId="22" xfId="0" applyFont="1" applyBorder="1" applyProtection="1">
      <protection locked="0"/>
    </xf>
    <xf numFmtId="0" fontId="15" fillId="0" borderId="23" xfId="0" applyFont="1" applyBorder="1" applyProtection="1">
      <protection locked="0"/>
    </xf>
    <xf numFmtId="0" fontId="11" fillId="0" borderId="0" xfId="0" applyFont="1" applyAlignment="1">
      <alignment horizontal="center"/>
    </xf>
    <xf numFmtId="0" fontId="32" fillId="10" borderId="0" xfId="0" applyFont="1" applyFill="1" applyAlignment="1">
      <alignment horizontal="center"/>
    </xf>
    <xf numFmtId="0" fontId="15" fillId="0" borderId="0" xfId="0" applyFont="1" applyAlignment="1" applyProtection="1">
      <alignment horizontal="justify"/>
      <protection locked="0"/>
    </xf>
    <xf numFmtId="0" fontId="15" fillId="0" borderId="0" xfId="0" applyFont="1" applyProtection="1">
      <protection locked="0"/>
    </xf>
    <xf numFmtId="0" fontId="15" fillId="0" borderId="12" xfId="0" applyFont="1" applyBorder="1" applyProtection="1">
      <protection locked="0"/>
    </xf>
    <xf numFmtId="0" fontId="6" fillId="8" borderId="3" xfId="0" applyFont="1" applyFill="1" applyBorder="1" applyProtection="1">
      <protection locked="0"/>
    </xf>
    <xf numFmtId="0" fontId="15" fillId="0" borderId="12" xfId="0" applyFont="1" applyBorder="1" applyAlignment="1" applyProtection="1">
      <alignment horizontal="left"/>
      <protection locked="0"/>
    </xf>
    <xf numFmtId="0" fontId="15" fillId="0" borderId="15" xfId="0" applyFont="1" applyBorder="1" applyProtection="1">
      <protection locked="0"/>
    </xf>
    <xf numFmtId="0" fontId="42" fillId="0" borderId="3" xfId="0" applyFont="1" applyBorder="1" applyProtection="1">
      <protection locked="0"/>
    </xf>
    <xf numFmtId="0" fontId="25" fillId="0" borderId="12" xfId="0" applyFont="1" applyBorder="1" applyProtection="1">
      <protection locked="0"/>
    </xf>
    <xf numFmtId="0" fontId="25" fillId="0" borderId="0" xfId="0" applyFont="1" applyBorder="1" applyProtection="1">
      <protection locked="0"/>
    </xf>
    <xf numFmtId="0" fontId="6" fillId="17" borderId="26" xfId="0" applyFont="1" applyFill="1" applyBorder="1" applyAlignment="1" applyProtection="1">
      <alignment horizontal="center" vertical="center"/>
    </xf>
    <xf numFmtId="0" fontId="0" fillId="0" borderId="16" xfId="0" applyBorder="1" applyProtection="1"/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19" xfId="0" applyFont="1" applyBorder="1" applyAlignment="1" applyProtection="1">
      <alignment horizontal="center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6" fillId="8" borderId="17" xfId="0" applyFont="1" applyFill="1" applyBorder="1" applyProtection="1">
      <protection locked="0"/>
    </xf>
    <xf numFmtId="0" fontId="6" fillId="8" borderId="5" xfId="0" applyFont="1" applyFill="1" applyBorder="1" applyProtection="1">
      <protection locked="0"/>
    </xf>
    <xf numFmtId="166" fontId="15" fillId="20" borderId="15" xfId="0" applyNumberFormat="1" applyFont="1" applyFill="1" applyBorder="1" applyAlignment="1" applyProtection="1">
      <alignment horizontal="center" vertical="center"/>
    </xf>
    <xf numFmtId="10" fontId="20" fillId="0" borderId="0" xfId="0" applyNumberFormat="1" applyFont="1" applyBorder="1" applyProtection="1"/>
    <xf numFmtId="166" fontId="11" fillId="0" borderId="40" xfId="0" applyNumberFormat="1" applyFont="1" applyBorder="1" applyAlignment="1" applyProtection="1">
      <alignment horizontal="right"/>
    </xf>
    <xf numFmtId="166" fontId="11" fillId="0" borderId="0" xfId="0" applyNumberFormat="1" applyFont="1" applyBorder="1" applyAlignment="1" applyProtection="1">
      <alignment horizontal="right"/>
    </xf>
    <xf numFmtId="166" fontId="0" fillId="0" borderId="27" xfId="0" applyNumberForma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center"/>
    </xf>
    <xf numFmtId="166" fontId="0" fillId="0" borderId="41" xfId="0" applyNumberFormat="1" applyBorder="1" applyAlignment="1" applyProtection="1">
      <alignment horizontal="center"/>
    </xf>
    <xf numFmtId="0" fontId="20" fillId="0" borderId="47" xfId="0" applyFont="1" applyBorder="1" applyAlignment="1" applyProtection="1">
      <alignment horizontal="right"/>
    </xf>
    <xf numFmtId="0" fontId="20" fillId="0" borderId="48" xfId="0" applyFont="1" applyBorder="1" applyAlignment="1" applyProtection="1">
      <alignment horizontal="right"/>
    </xf>
    <xf numFmtId="0" fontId="15" fillId="0" borderId="15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22" fillId="0" borderId="31" xfId="0" applyFont="1" applyBorder="1" applyAlignment="1" applyProtection="1">
      <alignment horizontal="center"/>
    </xf>
    <xf numFmtId="0" fontId="22" fillId="0" borderId="42" xfId="0" applyFont="1" applyBorder="1" applyAlignment="1" applyProtection="1">
      <alignment horizontal="center"/>
    </xf>
    <xf numFmtId="0" fontId="22" fillId="0" borderId="32" xfId="0" applyFont="1" applyBorder="1" applyAlignment="1" applyProtection="1">
      <alignment horizontal="center"/>
    </xf>
    <xf numFmtId="0" fontId="30" fillId="0" borderId="4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19" fillId="17" borderId="15" xfId="0" applyFont="1" applyFill="1" applyBorder="1" applyAlignment="1" applyProtection="1">
      <alignment horizontal="center" vertical="center" wrapText="1"/>
    </xf>
    <xf numFmtId="2" fontId="46" fillId="0" borderId="18" xfId="0" applyNumberFormat="1" applyFont="1" applyFill="1" applyBorder="1" applyAlignment="1" applyProtection="1">
      <alignment horizontal="center" vertical="center"/>
    </xf>
    <xf numFmtId="2" fontId="46" fillId="0" borderId="21" xfId="0" applyNumberFormat="1" applyFont="1" applyFill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  <protection locked="0"/>
    </xf>
    <xf numFmtId="0" fontId="35" fillId="11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top"/>
    </xf>
    <xf numFmtId="0" fontId="15" fillId="0" borderId="1" xfId="0" applyFont="1" applyBorder="1" applyProtection="1"/>
    <xf numFmtId="0" fontId="6" fillId="0" borderId="1" xfId="0" applyFont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Alignment="1" applyProtection="1">
      <alignment horizontal="center"/>
      <protection locked="0"/>
    </xf>
    <xf numFmtId="49" fontId="5" fillId="2" borderId="0" xfId="0" applyNumberFormat="1" applyFont="1" applyFill="1" applyAlignment="1" applyProtection="1">
      <alignment horizontal="center"/>
      <protection locked="0"/>
    </xf>
    <xf numFmtId="164" fontId="10" fillId="2" borderId="0" xfId="0" applyNumberFormat="1" applyFont="1" applyFill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right"/>
    </xf>
    <xf numFmtId="0" fontId="0" fillId="0" borderId="1" xfId="0" applyBorder="1" applyProtection="1"/>
    <xf numFmtId="0" fontId="15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  <protection locked="0"/>
    </xf>
    <xf numFmtId="166" fontId="15" fillId="0" borderId="1" xfId="0" applyNumberFormat="1" applyFont="1" applyBorder="1" applyAlignment="1" applyProtection="1">
      <alignment horizontal="left"/>
    </xf>
    <xf numFmtId="0" fontId="20" fillId="0" borderId="0" xfId="0" applyFont="1" applyAlignment="1" applyProtection="1">
      <alignment horizontal="right"/>
    </xf>
    <xf numFmtId="10" fontId="20" fillId="0" borderId="0" xfId="0" applyNumberFormat="1" applyFont="1" applyProtection="1"/>
    <xf numFmtId="0" fontId="6" fillId="0" borderId="3" xfId="0" applyFont="1" applyBorder="1" applyProtection="1">
      <protection locked="0"/>
    </xf>
    <xf numFmtId="166" fontId="11" fillId="0" borderId="1" xfId="0" applyNumberFormat="1" applyFont="1" applyBorder="1" applyAlignment="1" applyProtection="1">
      <alignment horizontal="right"/>
    </xf>
    <xf numFmtId="166" fontId="0" fillId="0" borderId="1" xfId="0" applyNumberFormat="1" applyBorder="1" applyProtection="1"/>
    <xf numFmtId="0" fontId="5" fillId="0" borderId="3" xfId="0" applyFont="1" applyBorder="1" applyAlignment="1">
      <alignment horizontal="left" vertical="center" wrapText="1" indent="2"/>
    </xf>
    <xf numFmtId="0" fontId="0" fillId="0" borderId="0" xfId="0" applyProtection="1"/>
    <xf numFmtId="0" fontId="22" fillId="0" borderId="0" xfId="0" applyFont="1" applyAlignment="1" applyProtection="1">
      <alignment horizontal="center"/>
    </xf>
    <xf numFmtId="0" fontId="36" fillId="0" borderId="1" xfId="0" applyFont="1" applyBorder="1" applyAlignment="1">
      <alignment horizontal="center"/>
    </xf>
  </cellXfs>
  <cellStyles count="7">
    <cellStyle name="Invisible" xfId="4"/>
    <cellStyle name="InvisibleEncadrer" xfId="5"/>
    <cellStyle name="InvisibleSaisie" xfId="2"/>
    <cellStyle name="Normal" xfId="0" builtinId="0"/>
    <cellStyle name="Standard Encarder" xfId="6"/>
    <cellStyle name="SurlignerInfo" xfId="3"/>
    <cellStyle name="VisibleSaisie" xfId="1"/>
  </cellStyles>
  <dxfs count="32"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13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13"/>
      </font>
      <fill>
        <patternFill patternType="solid">
          <fgColor indexed="9"/>
          <bgColor indexed="26"/>
        </patternFill>
      </fill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13"/>
      </font>
      <fill>
        <patternFill patternType="solid">
          <fgColor indexed="9"/>
          <bgColor indexed="26"/>
        </patternFill>
      </fill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condense val="0"/>
        <extend val="0"/>
        <color indexed="9"/>
      </font>
      <fill>
        <patternFill patternType="solid">
          <fgColor indexed="26"/>
          <bgColor indexed="9"/>
        </patternFill>
      </fill>
      <border>
        <left/>
        <right/>
        <top/>
        <bottom/>
      </border>
    </dxf>
    <dxf>
      <fill>
        <patternFill patternType="solid">
          <fgColor indexed="45"/>
          <bgColor indexed="29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C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23FF23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23B8DC"/>
      <rgbColor rgb="0099CC00"/>
      <rgbColor rgb="00FFCC00"/>
      <rgbColor rgb="00FF9900"/>
      <rgbColor rgb="00FF3366"/>
      <rgbColor rgb="00666699"/>
      <rgbColor rgb="00969696"/>
      <rgbColor rgb="00003366"/>
      <rgbColor rgb="0033CC66"/>
      <rgbColor rgb="00003300"/>
      <rgbColor rgb="00333300"/>
      <rgbColor rgb="00DC2300"/>
      <rgbColor rgb="00993366"/>
      <rgbColor rgb="00333399"/>
      <rgbColor rgb="00333333"/>
    </indexed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142875</xdr:colOff>
          <xdr:row>2</xdr:row>
          <xdr:rowOff>0</xdr:rowOff>
        </xdr:from>
        <xdr:to>
          <xdr:col>35</xdr:col>
          <xdr:colOff>200025</xdr:colOff>
          <xdr:row>2</xdr:row>
          <xdr:rowOff>219075</xdr:rowOff>
        </xdr:to>
        <xdr:sp macro="" textlink="">
          <xdr:nvSpPr>
            <xdr:cNvPr id="1029" name="Push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Activer Evenements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142875</xdr:colOff>
          <xdr:row>0</xdr:row>
          <xdr:rowOff>0</xdr:rowOff>
        </xdr:from>
        <xdr:to>
          <xdr:col>36</xdr:col>
          <xdr:colOff>200025</xdr:colOff>
          <xdr:row>0</xdr:row>
          <xdr:rowOff>219075</xdr:rowOff>
        </xdr:to>
        <xdr:sp macro="" textlink="">
          <xdr:nvSpPr>
            <xdr:cNvPr id="3074" name="PushButton3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Activer Evenements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790575</xdr:colOff>
          <xdr:row>2</xdr:row>
          <xdr:rowOff>200025</xdr:rowOff>
        </xdr:from>
        <xdr:to>
          <xdr:col>15</xdr:col>
          <xdr:colOff>390525</xdr:colOff>
          <xdr:row>3</xdr:row>
          <xdr:rowOff>133350</xdr:rowOff>
        </xdr:to>
        <xdr:sp macro="" textlink="">
          <xdr:nvSpPr>
            <xdr:cNvPr id="3075" name="Bouton 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DC2300"/>
                  </a:solidFill>
                  <a:latin typeface="Arial"/>
                  <a:cs typeface="Arial"/>
                </a:rPr>
                <a:t>Ajouter une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790575</xdr:colOff>
          <xdr:row>3</xdr:row>
          <xdr:rowOff>219075</xdr:rowOff>
        </xdr:from>
        <xdr:to>
          <xdr:col>15</xdr:col>
          <xdr:colOff>390525</xdr:colOff>
          <xdr:row>5</xdr:row>
          <xdr:rowOff>142875</xdr:rowOff>
        </xdr:to>
        <xdr:sp macro="" textlink="">
          <xdr:nvSpPr>
            <xdr:cNvPr id="3076" name="Bouton 2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DC2300"/>
                  </a:solidFill>
                  <a:latin typeface="Arial"/>
                  <a:cs typeface="Arial"/>
                </a:rPr>
                <a:t>Ajouter un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752475</xdr:colOff>
          <xdr:row>11</xdr:row>
          <xdr:rowOff>66675</xdr:rowOff>
        </xdr:from>
        <xdr:to>
          <xdr:col>15</xdr:col>
          <xdr:colOff>342900</xdr:colOff>
          <xdr:row>12</xdr:row>
          <xdr:rowOff>19050</xdr:rowOff>
        </xdr:to>
        <xdr:sp macro="" textlink="">
          <xdr:nvSpPr>
            <xdr:cNvPr id="3077" name="Bouton 3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DC2300"/>
                  </a:solidFill>
                  <a:latin typeface="Arial"/>
                  <a:cs typeface="Arial"/>
                </a:rPr>
                <a:t>Copier la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342900</xdr:rowOff>
    </xdr:from>
    <xdr:to>
      <xdr:col>0</xdr:col>
      <xdr:colOff>2057400</xdr:colOff>
      <xdr:row>21</xdr:row>
      <xdr:rowOff>0</xdr:rowOff>
    </xdr:to>
    <xdr:sp macro="" textlink="" fLocksText="0">
      <xdr:nvSpPr>
        <xdr:cNvPr id="3078" name="Rectangle 6"/>
        <xdr:cNvSpPr>
          <a:spLocks noChangeArrowheads="1"/>
        </xdr:cNvSpPr>
      </xdr:nvSpPr>
      <xdr:spPr bwMode="auto">
        <a:xfrm>
          <a:off x="0" y="342900"/>
          <a:ext cx="2057400" cy="5667375"/>
        </a:xfrm>
        <a:prstGeom prst="rect">
          <a:avLst/>
        </a:prstGeom>
        <a:solidFill>
          <a:srgbClr val="CFE7F5"/>
        </a:solidFill>
        <a:ln w="9525" cap="flat">
          <a:solidFill>
            <a:srgbClr val="80808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nos"/>
            </a:rPr>
            <a:t>NE PAS UTILISER</a:t>
          </a:r>
        </a:p>
      </xdr:txBody>
    </xdr:sp>
    <xdr:clientData/>
  </xdr:twoCellAnchor>
  <xdr:twoCellAnchor>
    <xdr:from>
      <xdr:col>0</xdr:col>
      <xdr:colOff>47625</xdr:colOff>
      <xdr:row>1</xdr:row>
      <xdr:rowOff>0</xdr:rowOff>
    </xdr:from>
    <xdr:to>
      <xdr:col>0</xdr:col>
      <xdr:colOff>2057400</xdr:colOff>
      <xdr:row>20</xdr:row>
      <xdr:rowOff>190500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 flipV="1">
          <a:off x="47625" y="352425"/>
          <a:ext cx="2009775" cy="5638800"/>
        </a:xfrm>
        <a:prstGeom prst="line">
          <a:avLst/>
        </a:prstGeom>
        <a:noFill/>
        <a:ln w="9525" cap="flat">
          <a:solidFill>
            <a:srgbClr val="80808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7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370"/>
  <sheetViews>
    <sheetView tabSelected="1" view="pageBreakPreview" zoomScale="85" zoomScaleNormal="70" zoomScaleSheetLayoutView="85" zoomScalePageLayoutView="70" workbookViewId="0">
      <selection activeCell="J7" sqref="J7:K7"/>
    </sheetView>
  </sheetViews>
  <sheetFormatPr baseColWidth="10" defaultColWidth="11.5703125" defaultRowHeight="12.75" x14ac:dyDescent="0.2"/>
  <cols>
    <col min="1" max="1" width="19.28515625" style="1" customWidth="1"/>
    <col min="2" max="2" width="13.5703125" style="1" customWidth="1"/>
    <col min="3" max="7" width="11.7109375" style="1" bestFit="1" customWidth="1"/>
    <col min="8" max="8" width="18.5703125" style="1" bestFit="1" customWidth="1"/>
    <col min="9" max="9" width="13.42578125" style="1" bestFit="1" customWidth="1"/>
    <col min="10" max="10" width="15.7109375" style="1" customWidth="1"/>
    <col min="11" max="11" width="9.28515625" style="1" customWidth="1"/>
    <col min="12" max="12" width="10.7109375" style="1" customWidth="1"/>
    <col min="13" max="13" width="12.5703125" style="1" customWidth="1"/>
    <col min="14" max="14" width="9" style="1" customWidth="1"/>
    <col min="15" max="15" width="11.7109375" style="2" bestFit="1" customWidth="1"/>
    <col min="16" max="16" width="11.5703125" style="2"/>
    <col min="17" max="17" width="12.7109375" style="2" customWidth="1"/>
    <col min="18" max="19" width="11.7109375" style="2" bestFit="1" customWidth="1"/>
    <col min="20" max="20" width="16.7109375" style="2" bestFit="1" customWidth="1"/>
    <col min="21" max="21" width="11.28515625" style="2" customWidth="1"/>
    <col min="22" max="22" width="12.28515625" style="2" customWidth="1"/>
    <col min="23" max="23" width="12" style="2" customWidth="1"/>
    <col min="24" max="24" width="18.28515625" style="2" customWidth="1"/>
    <col min="25" max="25" width="17.85546875" style="239" customWidth="1"/>
    <col min="26" max="26" width="11.7109375" style="2" bestFit="1" customWidth="1"/>
    <col min="27" max="27" width="11.5703125" style="1"/>
    <col min="28" max="28" width="13.28515625" style="1" customWidth="1"/>
    <col min="29" max="29" width="11.85546875" style="1" customWidth="1"/>
    <col min="30" max="30" width="14.5703125" style="1" customWidth="1"/>
    <col min="31" max="16384" width="11.5703125" style="1"/>
  </cols>
  <sheetData>
    <row r="1" spans="1:44" s="188" customFormat="1" ht="29.25" customHeight="1" x14ac:dyDescent="0.2">
      <c r="A1" s="382"/>
      <c r="B1" s="383"/>
      <c r="C1" s="386" t="s">
        <v>425</v>
      </c>
      <c r="D1" s="386"/>
      <c r="E1" s="386"/>
      <c r="F1" s="386"/>
      <c r="G1" s="386"/>
      <c r="H1" s="388"/>
      <c r="I1" s="388"/>
      <c r="J1" s="388"/>
      <c r="K1" s="388"/>
      <c r="L1" s="388"/>
      <c r="M1" s="388"/>
      <c r="N1" s="389"/>
      <c r="O1" s="2"/>
      <c r="P1" s="2"/>
      <c r="Q1" s="2"/>
      <c r="R1" s="2"/>
      <c r="S1" s="2"/>
      <c r="T1" s="2"/>
      <c r="U1" s="2"/>
      <c r="V1" s="2"/>
      <c r="W1" s="2"/>
      <c r="X1" s="2"/>
      <c r="Y1" s="239"/>
      <c r="Z1" s="2"/>
    </row>
    <row r="2" spans="1:44" s="188" customFormat="1" ht="29.25" customHeight="1" thickBot="1" x14ac:dyDescent="0.25">
      <c r="A2" s="384"/>
      <c r="B2" s="385"/>
      <c r="C2" s="387"/>
      <c r="D2" s="387"/>
      <c r="E2" s="387"/>
      <c r="F2" s="387"/>
      <c r="G2" s="387"/>
      <c r="H2" s="390"/>
      <c r="I2" s="390"/>
      <c r="J2" s="390"/>
      <c r="K2" s="390"/>
      <c r="L2" s="390"/>
      <c r="M2" s="390"/>
      <c r="N2" s="391"/>
      <c r="O2" s="2"/>
      <c r="P2" s="2"/>
      <c r="Q2" s="2"/>
      <c r="R2" s="2"/>
      <c r="S2" s="2"/>
      <c r="T2" s="2"/>
      <c r="U2" s="2"/>
      <c r="V2" s="2"/>
      <c r="W2" s="2"/>
      <c r="X2" s="2"/>
      <c r="Y2" s="239"/>
      <c r="Z2" s="2"/>
    </row>
    <row r="3" spans="1:44" ht="28.5" thickBot="1" x14ac:dyDescent="0.25">
      <c r="A3" s="398"/>
      <c r="B3" s="399"/>
      <c r="C3" s="299" t="s">
        <v>426</v>
      </c>
      <c r="D3" s="392"/>
      <c r="E3" s="392"/>
      <c r="F3" s="392"/>
      <c r="G3" s="392"/>
      <c r="H3" s="393"/>
      <c r="I3" s="393"/>
      <c r="J3" s="394"/>
      <c r="K3" s="406" t="s">
        <v>427</v>
      </c>
      <c r="L3" s="407"/>
      <c r="M3" s="408"/>
      <c r="N3" s="409"/>
      <c r="O3" s="5">
        <v>1</v>
      </c>
      <c r="U3" s="2">
        <v>1000000</v>
      </c>
      <c r="Z3" s="5">
        <f>COUNTA(Z4:Z10002)</f>
        <v>96</v>
      </c>
      <c r="AA3" s="6" t="s">
        <v>1</v>
      </c>
      <c r="AB3" s="6"/>
      <c r="AD3" s="6" t="s">
        <v>2</v>
      </c>
      <c r="AE3" s="213" t="s">
        <v>419</v>
      </c>
    </row>
    <row r="4" spans="1:44" ht="28.5" thickBot="1" x14ac:dyDescent="0.25">
      <c r="A4" s="400"/>
      <c r="B4" s="401"/>
      <c r="C4" s="395" t="s">
        <v>428</v>
      </c>
      <c r="D4" s="396"/>
      <c r="E4" s="397"/>
      <c r="F4" s="397"/>
      <c r="G4" s="397"/>
      <c r="H4" s="397"/>
      <c r="I4" s="397"/>
      <c r="J4" s="397"/>
      <c r="K4" s="397"/>
      <c r="L4" s="397"/>
      <c r="M4" s="410"/>
      <c r="N4" s="411"/>
      <c r="O4" s="9" t="str">
        <f>CHAR(64+INT(ROW()/45)+1)</f>
        <v>A</v>
      </c>
      <c r="Q4" s="229" t="s">
        <v>5</v>
      </c>
      <c r="R4" s="229" t="s">
        <v>6</v>
      </c>
      <c r="S4" s="229" t="s">
        <v>7</v>
      </c>
      <c r="T4" s="229" t="s">
        <v>8</v>
      </c>
      <c r="U4" s="10"/>
      <c r="V4" s="232" t="s">
        <v>9</v>
      </c>
      <c r="W4" s="232" t="s">
        <v>10</v>
      </c>
      <c r="Z4" s="5">
        <v>1</v>
      </c>
      <c r="AA4" s="225" t="s">
        <v>11</v>
      </c>
      <c r="AB4" s="225" t="s">
        <v>12</v>
      </c>
      <c r="AD4" s="6" t="s">
        <v>13</v>
      </c>
      <c r="AE4" s="214" t="s">
        <v>420</v>
      </c>
    </row>
    <row r="5" spans="1:44" ht="33" x14ac:dyDescent="0.25">
      <c r="A5" s="302" t="s">
        <v>8</v>
      </c>
      <c r="B5" s="303" t="s">
        <v>438</v>
      </c>
      <c r="C5" s="303" t="s">
        <v>439</v>
      </c>
      <c r="D5" s="303" t="s">
        <v>440</v>
      </c>
      <c r="E5" s="304" t="s">
        <v>17</v>
      </c>
      <c r="F5" s="303" t="s">
        <v>18</v>
      </c>
      <c r="G5" s="303" t="s">
        <v>19</v>
      </c>
      <c r="H5" s="305" t="s">
        <v>20</v>
      </c>
      <c r="I5" s="303" t="s">
        <v>21</v>
      </c>
      <c r="J5" s="434" t="s">
        <v>70</v>
      </c>
      <c r="K5" s="434"/>
      <c r="L5" s="304" t="s">
        <v>10</v>
      </c>
      <c r="M5" s="304" t="s">
        <v>9</v>
      </c>
      <c r="N5" s="285"/>
      <c r="O5" s="18"/>
      <c r="P5" s="19"/>
      <c r="Q5" s="230">
        <v>138.94999999999999</v>
      </c>
      <c r="R5" s="230">
        <v>114.3</v>
      </c>
      <c r="S5" s="230">
        <v>1</v>
      </c>
      <c r="T5" s="230" t="s">
        <v>23</v>
      </c>
      <c r="U5" s="20">
        <f>VLOOKUP(T5,DensiteMatiere,2,0)</f>
        <v>7.8</v>
      </c>
      <c r="V5" s="234">
        <f>(Q5*R5*S5*U5)/1000000</f>
        <v>0.123879483</v>
      </c>
      <c r="W5" s="233">
        <f>Q5*R5*2/1000000</f>
        <v>3.1763969999999996E-2</v>
      </c>
      <c r="X5" s="19"/>
      <c r="Y5" s="240"/>
      <c r="AA5" s="226">
        <f>V5+V97+V143+V189+V235+V281+V51</f>
        <v>1.878879483</v>
      </c>
      <c r="AB5" s="226">
        <f>W5+W51+W97+W143+W189+W235+W281</f>
        <v>7.6763969999999987E-2</v>
      </c>
    </row>
    <row r="6" spans="1:44" ht="19.899999999999999" customHeight="1" x14ac:dyDescent="0.25">
      <c r="A6" s="324" t="s">
        <v>24</v>
      </c>
      <c r="B6" s="307">
        <f>V16</f>
        <v>146.20533604103568</v>
      </c>
      <c r="C6" s="307">
        <f>W16</f>
        <v>116.72020337714896</v>
      </c>
      <c r="D6" s="308">
        <f>S5</f>
        <v>1</v>
      </c>
      <c r="E6" s="326">
        <v>1</v>
      </c>
      <c r="F6" s="329">
        <f>B6*C6*D6*U5/$U$3</f>
        <v>0.13310790914876594</v>
      </c>
      <c r="G6" s="354">
        <f>IF(F6="","",F6*I6)</f>
        <v>8.6520140946697868E-2</v>
      </c>
      <c r="H6" s="332">
        <f>IF(G6="","",G6*E6)</f>
        <v>8.6520140946697868E-2</v>
      </c>
      <c r="I6" s="284">
        <f t="shared" ref="I6:I13" si="0">IF(ISERROR(VLOOKUP(A6,DesignationDensiteMatiere,2,0)),"",VLOOKUP(A6,DesignationDensiteMatiere,2,0))</f>
        <v>0.65</v>
      </c>
      <c r="J6" s="404" t="s">
        <v>446</v>
      </c>
      <c r="K6" s="404"/>
      <c r="L6" s="283">
        <f>W5*E6</f>
        <v>3.1763969999999996E-2</v>
      </c>
      <c r="M6" s="283">
        <f>V5*E6</f>
        <v>0.123879483</v>
      </c>
      <c r="N6" s="298" t="s">
        <v>430</v>
      </c>
      <c r="O6" s="18"/>
      <c r="P6" s="19"/>
      <c r="Q6" s="19"/>
      <c r="R6" s="19"/>
      <c r="S6" s="19"/>
      <c r="T6" s="19"/>
      <c r="U6" s="19"/>
      <c r="V6" s="19"/>
      <c r="W6" s="19"/>
      <c r="X6" s="19"/>
      <c r="Y6" s="240"/>
    </row>
    <row r="7" spans="1:44" ht="19.899999999999999" customHeight="1" x14ac:dyDescent="0.25">
      <c r="A7" s="324"/>
      <c r="B7" s="307"/>
      <c r="C7" s="307"/>
      <c r="D7" s="308"/>
      <c r="E7" s="326"/>
      <c r="F7" s="329"/>
      <c r="G7" s="354"/>
      <c r="H7" s="332" t="str">
        <f>IF(G7="","",G7*E7)</f>
        <v/>
      </c>
      <c r="I7" s="284" t="str">
        <f t="shared" ref="I7" si="1">IF(ISERROR(VLOOKUP(A7,DesignationDensiteMatiere,2,0)),"",VLOOKUP(A7,DesignationDensiteMatiere,2,0))</f>
        <v/>
      </c>
      <c r="J7" s="404"/>
      <c r="K7" s="404"/>
      <c r="L7" s="283"/>
      <c r="M7" s="283"/>
      <c r="N7" s="298" t="s">
        <v>431</v>
      </c>
      <c r="O7" s="18"/>
      <c r="P7" s="19"/>
      <c r="Q7" s="416" t="s">
        <v>25</v>
      </c>
      <c r="R7" s="416"/>
      <c r="S7" s="19"/>
      <c r="T7" s="191" t="s">
        <v>26</v>
      </c>
      <c r="U7" s="19"/>
      <c r="V7" s="19"/>
      <c r="W7" s="19"/>
      <c r="X7" s="19"/>
      <c r="Y7" s="240"/>
      <c r="AA7" s="188"/>
      <c r="AB7" s="188"/>
      <c r="AC7" s="188"/>
      <c r="AD7" s="188"/>
      <c r="AE7" s="188"/>
      <c r="AF7" s="188"/>
    </row>
    <row r="8" spans="1:44" ht="19.899999999999999" customHeight="1" x14ac:dyDescent="0.25">
      <c r="A8" s="324"/>
      <c r="B8" s="307"/>
      <c r="C8" s="307"/>
      <c r="D8" s="308"/>
      <c r="E8" s="326"/>
      <c r="F8" s="329"/>
      <c r="G8" s="354"/>
      <c r="H8" s="332" t="str">
        <f t="shared" ref="H8:H13" si="2">IF(G8="","",G8*E8)</f>
        <v/>
      </c>
      <c r="I8" s="284" t="str">
        <f t="shared" si="0"/>
        <v/>
      </c>
      <c r="J8" s="404"/>
      <c r="K8" s="404"/>
      <c r="L8" s="283"/>
      <c r="M8" s="283"/>
      <c r="N8" s="298" t="s">
        <v>432</v>
      </c>
      <c r="O8" s="18"/>
      <c r="P8" s="19"/>
      <c r="Q8" s="190">
        <v>5</v>
      </c>
      <c r="R8" s="190">
        <v>5</v>
      </c>
      <c r="S8" s="35"/>
      <c r="T8" s="190">
        <v>0</v>
      </c>
      <c r="U8" s="19"/>
      <c r="V8" s="19"/>
      <c r="W8" s="19"/>
      <c r="X8" s="19"/>
      <c r="Y8" s="240"/>
      <c r="AA8" s="188"/>
      <c r="AB8" s="188"/>
      <c r="AC8" s="188"/>
      <c r="AD8" s="188"/>
      <c r="AE8" s="215"/>
      <c r="AF8" s="215"/>
      <c r="AG8" s="218" t="s">
        <v>27</v>
      </c>
      <c r="AH8" s="219">
        <v>60</v>
      </c>
      <c r="AI8" s="218" t="s">
        <v>28</v>
      </c>
      <c r="AJ8" s="220">
        <f>60*5</f>
        <v>300</v>
      </c>
      <c r="AK8" s="41" t="s">
        <v>30</v>
      </c>
      <c r="AL8" s="41"/>
      <c r="AM8" s="41" t="s">
        <v>31</v>
      </c>
      <c r="AN8" s="41"/>
      <c r="AO8" s="41" t="s">
        <v>32</v>
      </c>
      <c r="AP8" s="41" t="s">
        <v>3</v>
      </c>
      <c r="AQ8" s="41" t="str">
        <f>CONCATENATE(AM8,CHAR(13),CHAR(13),AK8,CHAR(13),CHAR(13),AO8)</f>
        <v>Difficulte_x000D__x000D_Delai_x000D__x000D_Traitement</v>
      </c>
      <c r="AR8" s="41"/>
    </row>
    <row r="9" spans="1:44" ht="19.899999999999999" customHeight="1" x14ac:dyDescent="0.25">
      <c r="A9" s="324"/>
      <c r="B9" s="307"/>
      <c r="C9" s="307"/>
      <c r="D9" s="308"/>
      <c r="E9" s="326"/>
      <c r="F9" s="329"/>
      <c r="G9" s="354"/>
      <c r="H9" s="332" t="str">
        <f t="shared" si="2"/>
        <v/>
      </c>
      <c r="I9" s="284" t="str">
        <f t="shared" si="0"/>
        <v/>
      </c>
      <c r="J9" s="404"/>
      <c r="K9" s="404"/>
      <c r="L9" s="283"/>
      <c r="M9" s="283"/>
      <c r="N9" s="298" t="s">
        <v>433</v>
      </c>
      <c r="P9" s="19"/>
      <c r="Q9" s="19"/>
      <c r="R9" s="19"/>
      <c r="S9" s="19"/>
      <c r="T9" s="19"/>
      <c r="U9" s="19"/>
      <c r="V9" s="19"/>
      <c r="W9" s="19"/>
      <c r="X9" s="19"/>
      <c r="Y9" s="240"/>
      <c r="AA9" s="188"/>
      <c r="AB9" s="188"/>
      <c r="AC9" s="188"/>
      <c r="AD9" s="188"/>
      <c r="AE9" s="222" t="s">
        <v>29</v>
      </c>
      <c r="AF9" s="223">
        <v>0.08</v>
      </c>
      <c r="AG9" s="217">
        <f>AF9*60</f>
        <v>4.8</v>
      </c>
      <c r="AH9" s="224">
        <f>(AH8*60)/3600</f>
        <v>1</v>
      </c>
      <c r="AI9" s="221">
        <f>AF9*3600</f>
        <v>288</v>
      </c>
      <c r="AJ9" s="221">
        <f>AJ8/3600</f>
        <v>8.3333333333333329E-2</v>
      </c>
      <c r="AK9" s="41" t="s">
        <v>33</v>
      </c>
      <c r="AL9" s="41"/>
      <c r="AM9" s="41" t="s">
        <v>34</v>
      </c>
      <c r="AN9" s="41"/>
      <c r="AO9" s="41" t="s">
        <v>35</v>
      </c>
      <c r="AP9" s="41" t="s">
        <v>36</v>
      </c>
      <c r="AQ9" s="41"/>
      <c r="AR9" s="41"/>
    </row>
    <row r="10" spans="1:44" ht="19.899999999999999" customHeight="1" x14ac:dyDescent="0.25">
      <c r="A10" s="324"/>
      <c r="B10" s="307"/>
      <c r="C10" s="307"/>
      <c r="D10" s="308"/>
      <c r="E10" s="326"/>
      <c r="F10" s="329"/>
      <c r="G10" s="354"/>
      <c r="H10" s="332" t="str">
        <f t="shared" si="2"/>
        <v/>
      </c>
      <c r="I10" s="284" t="str">
        <f t="shared" si="0"/>
        <v/>
      </c>
      <c r="J10" s="404"/>
      <c r="K10" s="404"/>
      <c r="L10" s="283"/>
      <c r="M10" s="283"/>
      <c r="N10" s="298" t="s">
        <v>434</v>
      </c>
      <c r="P10" s="416" t="s">
        <v>37</v>
      </c>
      <c r="Q10" s="416"/>
      <c r="R10" s="416"/>
      <c r="S10" s="19"/>
      <c r="T10" s="19"/>
      <c r="U10" s="19"/>
      <c r="V10" s="436" t="s">
        <v>38</v>
      </c>
      <c r="W10" s="437"/>
      <c r="X10" s="438"/>
      <c r="Y10" s="246"/>
      <c r="Z10" s="239"/>
      <c r="AA10" s="277"/>
      <c r="AB10" s="188"/>
      <c r="AC10" s="188"/>
      <c r="AD10" s="188"/>
      <c r="AE10" s="188"/>
      <c r="AF10" s="188"/>
      <c r="AG10" s="188"/>
      <c r="AH10" s="188"/>
      <c r="AI10" s="188"/>
      <c r="AJ10" s="188"/>
      <c r="AK10" s="1" t="s">
        <v>40</v>
      </c>
      <c r="AM10" s="1" t="s">
        <v>41</v>
      </c>
      <c r="AO10" s="1" t="s">
        <v>42</v>
      </c>
      <c r="AP10" s="1" t="s">
        <v>43</v>
      </c>
    </row>
    <row r="11" spans="1:44" ht="19.899999999999999" customHeight="1" x14ac:dyDescent="0.2">
      <c r="A11" s="324"/>
      <c r="B11" s="307"/>
      <c r="C11" s="307"/>
      <c r="D11" s="308"/>
      <c r="E11" s="326"/>
      <c r="F11" s="329"/>
      <c r="G11" s="354"/>
      <c r="H11" s="332" t="str">
        <f t="shared" si="2"/>
        <v/>
      </c>
      <c r="I11" s="284" t="str">
        <f t="shared" si="0"/>
        <v/>
      </c>
      <c r="J11" s="404"/>
      <c r="K11" s="404"/>
      <c r="L11" s="283"/>
      <c r="M11" s="283"/>
      <c r="N11" s="298" t="s">
        <v>435</v>
      </c>
      <c r="O11" s="44">
        <f>MIN(T15,T16,T18,T19,T21,T22)</f>
        <v>0.1404</v>
      </c>
      <c r="P11" s="249" t="s">
        <v>44</v>
      </c>
      <c r="Q11" s="259" t="s">
        <v>424</v>
      </c>
      <c r="R11" s="249" t="s">
        <v>46</v>
      </c>
      <c r="S11" s="249" t="s">
        <v>47</v>
      </c>
      <c r="T11" s="249" t="s">
        <v>48</v>
      </c>
      <c r="U11" s="249" t="s">
        <v>49</v>
      </c>
      <c r="V11" s="233" t="s">
        <v>50</v>
      </c>
      <c r="W11" s="233" t="s">
        <v>46</v>
      </c>
      <c r="X11" s="233" t="s">
        <v>9</v>
      </c>
      <c r="Y11" s="247" t="s">
        <v>39</v>
      </c>
      <c r="Z11" s="251" t="s">
        <v>422</v>
      </c>
      <c r="AA11" s="251" t="s">
        <v>423</v>
      </c>
      <c r="AB11" s="188"/>
      <c r="AC11" s="188"/>
      <c r="AD11" s="188"/>
      <c r="AE11" s="188"/>
      <c r="AF11" s="188"/>
      <c r="AG11" s="188"/>
      <c r="AH11" s="188"/>
      <c r="AI11" s="188"/>
      <c r="AJ11" s="188"/>
      <c r="AK11" s="1" t="s">
        <v>51</v>
      </c>
      <c r="AM11" s="1" t="s">
        <v>52</v>
      </c>
      <c r="AO11" s="1" t="s">
        <v>53</v>
      </c>
      <c r="AP11" s="1" t="s">
        <v>54</v>
      </c>
    </row>
    <row r="12" spans="1:44" ht="19.899999999999999" customHeight="1" x14ac:dyDescent="0.2">
      <c r="A12" s="324"/>
      <c r="B12" s="307"/>
      <c r="C12" s="307"/>
      <c r="D12" s="308"/>
      <c r="E12" s="326"/>
      <c r="F12" s="329"/>
      <c r="G12" s="354"/>
      <c r="H12" s="332" t="str">
        <f t="shared" si="2"/>
        <v/>
      </c>
      <c r="I12" s="284" t="str">
        <f t="shared" si="0"/>
        <v/>
      </c>
      <c r="J12" s="404"/>
      <c r="K12" s="404"/>
      <c r="L12" s="283"/>
      <c r="M12" s="283"/>
      <c r="N12" s="298" t="s">
        <v>436</v>
      </c>
      <c r="O12" s="18"/>
      <c r="P12" s="281" t="s">
        <v>71</v>
      </c>
      <c r="Q12" s="233">
        <v>4000</v>
      </c>
      <c r="R12" s="233">
        <v>2000</v>
      </c>
      <c r="S12" s="233">
        <f>IF(P12="","",(INT((Q12/($Q5+$Q8)))*INT(((R12-$T8)/($R5+$R8)))))</f>
        <v>432</v>
      </c>
      <c r="T12" s="263">
        <f>(Q12*R12*$S$5*$U$5)/S12/1000000</f>
        <v>0.14444444444444443</v>
      </c>
      <c r="U12" s="264">
        <f>IF(P12="","",(($Q12*$R12)-(Q5*R5*$S12))/($Q12*$R12))</f>
        <v>0.14237281000000004</v>
      </c>
      <c r="V12" s="253">
        <f>(Q12-Q8*Z12)/Z12</f>
        <v>141.58766173840542</v>
      </c>
      <c r="W12" s="253">
        <f>(R12-R8*AA12)/AA12</f>
        <v>117.96750586234441</v>
      </c>
      <c r="X12" s="256">
        <f>V12*W12*S5*U5/$U$3</f>
        <v>0.13028139786605561</v>
      </c>
      <c r="Y12" s="248">
        <f>Q12*R12*S5*U5/1000000</f>
        <v>62.4</v>
      </c>
      <c r="Z12" s="254">
        <f>(Q12/(Q8+Q5))-0.5</f>
        <v>27.287426189649185</v>
      </c>
      <c r="AA12" s="254">
        <f>(R12/(R5+R8))-0.5</f>
        <v>16.264459346186086</v>
      </c>
      <c r="AB12" s="188"/>
      <c r="AC12" s="188"/>
      <c r="AD12" s="188"/>
      <c r="AE12" s="188"/>
      <c r="AF12" s="188"/>
      <c r="AG12" s="188"/>
      <c r="AH12" s="188"/>
      <c r="AI12" s="188"/>
      <c r="AJ12" s="188"/>
      <c r="AK12" s="41" t="s">
        <v>55</v>
      </c>
      <c r="AL12" s="41"/>
      <c r="AM12" s="41"/>
      <c r="AN12" s="41"/>
      <c r="AO12" s="41" t="s">
        <v>56</v>
      </c>
      <c r="AP12" s="41"/>
      <c r="AQ12" s="41"/>
      <c r="AR12" s="41"/>
    </row>
    <row r="13" spans="1:44" ht="19.899999999999999" customHeight="1" thickBot="1" x14ac:dyDescent="0.25">
      <c r="A13" s="324"/>
      <c r="B13" s="307"/>
      <c r="C13" s="307"/>
      <c r="D13" s="308"/>
      <c r="E13" s="326"/>
      <c r="F13" s="329"/>
      <c r="G13" s="354"/>
      <c r="H13" s="333" t="str">
        <f t="shared" si="2"/>
        <v/>
      </c>
      <c r="I13" s="284" t="str">
        <f t="shared" si="0"/>
        <v/>
      </c>
      <c r="J13" s="404"/>
      <c r="K13" s="404"/>
      <c r="L13" s="283"/>
      <c r="M13" s="283"/>
      <c r="N13" s="298" t="s">
        <v>437</v>
      </c>
      <c r="O13" s="18"/>
      <c r="P13" s="281" t="s">
        <v>71</v>
      </c>
      <c r="Q13" s="233">
        <v>2000</v>
      </c>
      <c r="R13" s="233">
        <v>4000</v>
      </c>
      <c r="S13" s="265">
        <f>IF(P13="","",(INT((Q13/($Q5+$Q8)))*INT(((R13-$T8)/($R5+$R8)))))</f>
        <v>429</v>
      </c>
      <c r="T13" s="263">
        <f>(Q13*R13*$S$5*$U$5)/S13/1000000</f>
        <v>0.14545454545454545</v>
      </c>
      <c r="U13" s="264">
        <f>IF(P13="","",(($Q13*$R13)-(Q5*R5*$S13))/($Q13*$R13))</f>
        <v>0.14832855437500006</v>
      </c>
      <c r="V13" s="253">
        <f>(Q13-Q8*Z13)/Z13</f>
        <v>144.32378988861657</v>
      </c>
      <c r="W13" s="253">
        <f>(R13-R8*AA13)/AA13</f>
        <v>116.10599312243835</v>
      </c>
      <c r="X13" s="256">
        <f>V13*W13*S5*U5/$U$3</f>
        <v>0.13070348425845321</v>
      </c>
      <c r="Y13" s="248">
        <f>Q13*R13*S5*U5/1000000</f>
        <v>62.4</v>
      </c>
      <c r="Z13" s="254">
        <f>Q13/(Q5+Q8)-0.5</f>
        <v>13.393713094824593</v>
      </c>
      <c r="AA13" s="254">
        <f>(R13/(R5+R8))-0.5</f>
        <v>33.028918692372173</v>
      </c>
      <c r="AB13" s="188"/>
      <c r="AC13" s="188"/>
      <c r="AD13" s="188"/>
      <c r="AE13" s="188"/>
      <c r="AF13" s="188"/>
      <c r="AG13" s="188"/>
      <c r="AH13" s="188"/>
      <c r="AI13" s="188"/>
      <c r="AJ13" s="188"/>
      <c r="AK13" s="41" t="s">
        <v>58</v>
      </c>
      <c r="AL13" s="41"/>
      <c r="AM13" s="41"/>
      <c r="AN13" s="41"/>
      <c r="AO13" s="41" t="s">
        <v>59</v>
      </c>
      <c r="AP13" s="41"/>
      <c r="AQ13" s="41"/>
      <c r="AR13" s="41"/>
    </row>
    <row r="14" spans="1:44" ht="36" customHeight="1" thickBot="1" x14ac:dyDescent="0.4">
      <c r="A14" s="412" t="s">
        <v>60</v>
      </c>
      <c r="B14" s="413"/>
      <c r="C14" s="413"/>
      <c r="D14" s="413"/>
      <c r="E14" s="413"/>
      <c r="F14" s="413"/>
      <c r="G14" s="414"/>
      <c r="H14" s="306">
        <f>SUM(H6:H13)</f>
        <v>8.6520140946697868E-2</v>
      </c>
      <c r="I14" s="297"/>
      <c r="J14" s="435"/>
      <c r="K14" s="435"/>
      <c r="L14" s="296">
        <f>SUM(L6:L13)</f>
        <v>3.1763969999999996E-2</v>
      </c>
      <c r="M14" s="296">
        <f>SUM(M6:M13)</f>
        <v>0.123879483</v>
      </c>
      <c r="N14" s="285"/>
      <c r="O14" s="18"/>
      <c r="P14" s="266"/>
      <c r="Q14" s="266"/>
      <c r="R14" s="266"/>
      <c r="S14" s="266"/>
      <c r="T14" s="266"/>
      <c r="U14" s="267"/>
      <c r="V14" s="252"/>
      <c r="W14" s="252"/>
      <c r="X14" s="278"/>
      <c r="Y14" s="241"/>
      <c r="Z14" s="279"/>
      <c r="AA14" s="280"/>
      <c r="AB14" s="188"/>
      <c r="AC14" s="188"/>
      <c r="AD14" s="188"/>
      <c r="AE14" s="380" t="s">
        <v>57</v>
      </c>
      <c r="AF14" s="380"/>
      <c r="AG14" s="380"/>
      <c r="AH14" s="380"/>
      <c r="AI14" s="380"/>
      <c r="AJ14" s="188"/>
      <c r="AK14" s="41" t="s">
        <v>66</v>
      </c>
      <c r="AL14" s="41"/>
      <c r="AM14" s="41"/>
      <c r="AN14" s="41"/>
      <c r="AO14" s="41" t="s">
        <v>67</v>
      </c>
      <c r="AP14" s="41"/>
      <c r="AQ14" s="41"/>
      <c r="AR14" s="41"/>
    </row>
    <row r="15" spans="1:44" ht="18" x14ac:dyDescent="0.2">
      <c r="A15" s="340" t="s">
        <v>68</v>
      </c>
      <c r="B15" s="341" t="s">
        <v>17</v>
      </c>
      <c r="C15" s="402" t="s">
        <v>69</v>
      </c>
      <c r="D15" s="402"/>
      <c r="E15" s="402"/>
      <c r="F15" s="402"/>
      <c r="G15" s="402"/>
      <c r="H15" s="301" t="s">
        <v>20</v>
      </c>
      <c r="I15" s="402" t="s">
        <v>70</v>
      </c>
      <c r="J15" s="402"/>
      <c r="K15" s="402"/>
      <c r="L15" s="402"/>
      <c r="M15" s="402"/>
      <c r="N15" s="403"/>
      <c r="O15" s="18" t="str">
        <f>IF(T15=$O11,$AE$4,"")</f>
        <v/>
      </c>
      <c r="P15" s="262" t="s">
        <v>71</v>
      </c>
      <c r="Q15" s="233">
        <v>3000</v>
      </c>
      <c r="R15" s="233">
        <v>1500</v>
      </c>
      <c r="S15" s="233">
        <f>IF(P15="","",(INT((Q15/($Q5:Q5+$Q8)))*INT(((R15-$T8)/($R5+$R8)))))</f>
        <v>240</v>
      </c>
      <c r="T15" s="263">
        <f>(Q15*R15*$S$5*$U$5)/S15/1000000</f>
        <v>0.14624999999999999</v>
      </c>
      <c r="U15" s="264">
        <f>IF(P15="","",(($Q15:Q15*$R15)-(Q5*R5*$S15))/($Q15*$R15))</f>
        <v>0.15296080000000001</v>
      </c>
      <c r="V15" s="253">
        <f>(Q15-Q8*Z15)/Z15</f>
        <v>142.48849480451838</v>
      </c>
      <c r="W15" s="253">
        <f>(R15-R8*AA15)/AA15</f>
        <v>119.24063595653833</v>
      </c>
      <c r="X15" s="256">
        <f>V15*W15*S5*U5/$U$3</f>
        <v>0.13252526614844931</v>
      </c>
      <c r="Y15" s="248">
        <f>Q15*R15*S5*U5/1000000</f>
        <v>35.1</v>
      </c>
      <c r="Z15" s="254">
        <f>(Q15/(Q5+Q8))-0.5</f>
        <v>20.34056964223689</v>
      </c>
      <c r="AA15" s="254">
        <f>(R15/(R5+R8))-0.5</f>
        <v>12.073344509639565</v>
      </c>
      <c r="AB15" s="188"/>
      <c r="AC15" s="188"/>
      <c r="AD15" s="188"/>
      <c r="AE15" s="216" t="s">
        <v>61</v>
      </c>
      <c r="AF15" s="216" t="s">
        <v>62</v>
      </c>
      <c r="AG15" s="216" t="s">
        <v>63</v>
      </c>
      <c r="AH15" s="216" t="s">
        <v>64</v>
      </c>
      <c r="AI15" s="216" t="s">
        <v>65</v>
      </c>
      <c r="AJ15"/>
      <c r="AK15" s="41" t="s">
        <v>73</v>
      </c>
      <c r="AL15" s="41"/>
      <c r="AM15" s="41"/>
      <c r="AN15" s="41"/>
      <c r="AO15" s="41" t="s">
        <v>74</v>
      </c>
      <c r="AP15" s="41"/>
      <c r="AQ15" s="41"/>
      <c r="AR15" s="41"/>
    </row>
    <row r="16" spans="1:44" ht="19.899999999999999" customHeight="1" x14ac:dyDescent="0.2">
      <c r="A16" s="324"/>
      <c r="B16" s="325"/>
      <c r="C16" s="441" t="str">
        <f t="shared" ref="C16:C22" si="3">IF(A16&lt;&gt;"",VLOOKUP(A16,PrixComposant,2,0),"")</f>
        <v/>
      </c>
      <c r="D16" s="441"/>
      <c r="E16" s="441"/>
      <c r="F16" s="441"/>
      <c r="G16" s="441"/>
      <c r="H16" s="332" t="str">
        <f t="shared" ref="H16:H22" si="4">IF(OR(B16="",B16=0),"",B16*C16)</f>
        <v/>
      </c>
      <c r="I16" s="404"/>
      <c r="J16" s="404"/>
      <c r="K16" s="404"/>
      <c r="L16" s="404"/>
      <c r="M16" s="404"/>
      <c r="N16" s="405"/>
      <c r="O16" s="18" t="str">
        <f>IF(T16=$O11,$AE$4,"")</f>
        <v>------&gt;</v>
      </c>
      <c r="P16" s="268" t="s">
        <v>71</v>
      </c>
      <c r="Q16" s="231">
        <v>1500</v>
      </c>
      <c r="R16" s="231">
        <v>3000</v>
      </c>
      <c r="S16" s="231">
        <f>IF(P16="","",(INT((Q16/($Q5+$Q8)))*INT(((R16-$T8)/($R5+$R8)))))</f>
        <v>250</v>
      </c>
      <c r="T16" s="269">
        <f>(Q16*R16*$S$5*$U$5)/S16/1000000</f>
        <v>0.1404</v>
      </c>
      <c r="U16" s="270">
        <f>IF(P16="","",(($Q16*$R16)-(Q5*R5*$S16))/($Q16*$R16))</f>
        <v>0.11766750000000011</v>
      </c>
      <c r="V16" s="253">
        <f>(Q16-Q8*Z16)/Z16</f>
        <v>146.20533604103568</v>
      </c>
      <c r="W16" s="253">
        <f>(R16-R8*AA16)/AA16</f>
        <v>116.72020337714896</v>
      </c>
      <c r="X16" s="256">
        <f>V16*W16*S5*U5/$U$3</f>
        <v>0.13310790914876594</v>
      </c>
      <c r="Y16" s="248">
        <f>Q16*R16*S5*U5/1000000</f>
        <v>35.1</v>
      </c>
      <c r="Z16" s="254">
        <f>Q16/(Q5+Q8)-0.5</f>
        <v>9.9202848211184449</v>
      </c>
      <c r="AA16" s="254">
        <f>(R16/(R5+R8))-0.5</f>
        <v>24.64668901927913</v>
      </c>
      <c r="AB16" s="188"/>
      <c r="AC16" s="188"/>
      <c r="AD16" s="188"/>
      <c r="AE16" s="227" t="s">
        <v>23</v>
      </c>
      <c r="AF16" s="216">
        <v>40</v>
      </c>
      <c r="AG16" s="216">
        <v>15</v>
      </c>
      <c r="AH16" s="216">
        <v>1</v>
      </c>
      <c r="AI16" s="228">
        <f>(AF16*AG16*VLOOKUP(AE16,DensiteMatiere,2,0)/1000)-IF(AH16&gt;0,((AF16-2*AH16)*(AG16-2*AH16)*VLOOKUP(AE16,DensiteMatiere,2,0)/1000),0)</f>
        <v>0.82679999999999998</v>
      </c>
      <c r="AJ16"/>
      <c r="AK16" s="41" t="s">
        <v>76</v>
      </c>
      <c r="AO16" s="1" t="s">
        <v>77</v>
      </c>
    </row>
    <row r="17" spans="1:41" ht="19.899999999999999" customHeight="1" x14ac:dyDescent="0.25">
      <c r="A17" s="324"/>
      <c r="B17" s="325"/>
      <c r="C17" s="441" t="str">
        <f t="shared" si="3"/>
        <v/>
      </c>
      <c r="D17" s="441"/>
      <c r="E17" s="441"/>
      <c r="F17" s="441"/>
      <c r="G17" s="441"/>
      <c r="H17" s="332" t="str">
        <f t="shared" si="4"/>
        <v/>
      </c>
      <c r="I17" s="404"/>
      <c r="J17" s="404"/>
      <c r="K17" s="404"/>
      <c r="L17" s="404"/>
      <c r="M17" s="404"/>
      <c r="N17" s="405"/>
      <c r="O17" s="18"/>
      <c r="P17" s="266"/>
      <c r="Q17" s="266"/>
      <c r="R17" s="266"/>
      <c r="S17" s="266"/>
      <c r="T17" s="266"/>
      <c r="U17" s="267"/>
      <c r="V17" s="252"/>
      <c r="W17" s="252"/>
      <c r="X17" s="278"/>
      <c r="Y17" s="241"/>
      <c r="Z17" s="279"/>
      <c r="AA17" s="280"/>
      <c r="AB17" s="188"/>
      <c r="AC17" s="188"/>
      <c r="AD17" s="188"/>
      <c r="AE17" s="381" t="s">
        <v>75</v>
      </c>
      <c r="AF17" s="381"/>
      <c r="AG17" s="381"/>
      <c r="AH17" s="381"/>
      <c r="AI17" s="381"/>
      <c r="AJ17"/>
      <c r="AK17" s="41" t="s">
        <v>79</v>
      </c>
      <c r="AO17" s="1" t="s">
        <v>80</v>
      </c>
    </row>
    <row r="18" spans="1:41" ht="19.899999999999999" customHeight="1" x14ac:dyDescent="0.2">
      <c r="A18" s="324"/>
      <c r="B18" s="325"/>
      <c r="C18" s="441" t="str">
        <f t="shared" si="3"/>
        <v/>
      </c>
      <c r="D18" s="441"/>
      <c r="E18" s="441"/>
      <c r="F18" s="441"/>
      <c r="G18" s="441"/>
      <c r="H18" s="332" t="str">
        <f t="shared" si="4"/>
        <v/>
      </c>
      <c r="I18" s="404"/>
      <c r="J18" s="404"/>
      <c r="K18" s="404"/>
      <c r="L18" s="404"/>
      <c r="M18" s="404"/>
      <c r="N18" s="405"/>
      <c r="O18" s="18" t="str">
        <f>IF(T18=$O11,$AE$4,"")</f>
        <v/>
      </c>
      <c r="P18" s="262" t="s">
        <v>71</v>
      </c>
      <c r="Q18" s="233">
        <v>2500</v>
      </c>
      <c r="R18" s="233">
        <v>1250</v>
      </c>
      <c r="S18" s="233">
        <f>IF(P18="","",(INT((Q18/($Q5+$Q8)))*INT(((R18-$T8)/($R5+$R8)))))</f>
        <v>170</v>
      </c>
      <c r="T18" s="263">
        <f>(Q18*R18*$S$5*$U$5)/S18/1000000</f>
        <v>0.14338235294117649</v>
      </c>
      <c r="U18" s="264">
        <f>IF(P18="","",(($Q18*$R18)-(Q5*R5*$S18))/($Q18*$R18))</f>
        <v>0.13602001600000008</v>
      </c>
      <c r="V18" s="253">
        <f>(Q18-Q8*Z18)/Z18</f>
        <v>143.21717239320023</v>
      </c>
      <c r="W18" s="253">
        <f>(R18-R8*AA18)/AA18</f>
        <v>120.27827949762676</v>
      </c>
      <c r="X18" s="256">
        <f>V18*W18*S5*U5/$U$3</f>
        <v>0.1343621377017592</v>
      </c>
      <c r="Y18" s="248">
        <f>Q18*R18*S5*U5/1000000</f>
        <v>24.375</v>
      </c>
      <c r="Z18" s="254">
        <f>(Q18/(Q5+Q8))-0.5</f>
        <v>16.867141368530742</v>
      </c>
      <c r="AA18" s="254">
        <f>(R18/(R5+$R$8))-0.5</f>
        <v>9.977787091366304</v>
      </c>
      <c r="AB18" s="188"/>
      <c r="AC18" s="188"/>
      <c r="AD18" s="188"/>
      <c r="AE18" s="216" t="s">
        <v>61</v>
      </c>
      <c r="AF18" s="216" t="s">
        <v>78</v>
      </c>
      <c r="AG18" s="216"/>
      <c r="AH18" s="216" t="s">
        <v>64</v>
      </c>
      <c r="AI18" s="216" t="s">
        <v>65</v>
      </c>
      <c r="AJ18"/>
      <c r="AK18" s="41" t="s">
        <v>81</v>
      </c>
    </row>
    <row r="19" spans="1:41" ht="19.899999999999999" customHeight="1" x14ac:dyDescent="0.2">
      <c r="A19" s="324"/>
      <c r="B19" s="325"/>
      <c r="C19" s="441" t="str">
        <f t="shared" si="3"/>
        <v/>
      </c>
      <c r="D19" s="441"/>
      <c r="E19" s="441"/>
      <c r="F19" s="441"/>
      <c r="G19" s="441"/>
      <c r="H19" s="332" t="str">
        <f t="shared" si="4"/>
        <v/>
      </c>
      <c r="I19" s="404"/>
      <c r="J19" s="404"/>
      <c r="K19" s="404"/>
      <c r="L19" s="404"/>
      <c r="M19" s="404"/>
      <c r="N19" s="405"/>
      <c r="O19" s="18" t="str">
        <f>IF(T19=$O11,$AE$4,"")</f>
        <v/>
      </c>
      <c r="P19" s="262" t="s">
        <v>71</v>
      </c>
      <c r="Q19" s="233">
        <v>1250</v>
      </c>
      <c r="R19" s="233">
        <v>2500</v>
      </c>
      <c r="S19" s="233">
        <f>IF(P19="","",(INT((Q19/($Q5+$Q8)))*INT(((R19-$T8)/($R5+$R8)))))</f>
        <v>160</v>
      </c>
      <c r="T19" s="263">
        <f>(Q19*R19*$S$5*$U$5)/S19/1000000</f>
        <v>0.15234375</v>
      </c>
      <c r="U19" s="264">
        <f>IF(P19="","",(($Q19*$R19)-(Q5*R5*$S19))/($Q19*$R19))</f>
        <v>0.18684236800000012</v>
      </c>
      <c r="V19" s="253">
        <f>(Q19-Q8*Z19)/Z19</f>
        <v>147.74506058869719</v>
      </c>
      <c r="W19" s="253">
        <f>(R19-R8*AA19)/AA19</f>
        <v>117.21607556293155</v>
      </c>
      <c r="X19" s="256">
        <f>V19*W19*S5*U5/$U$3</f>
        <v>0.13508115025091413</v>
      </c>
      <c r="Y19" s="248">
        <f>Q19*R19*S5*U5/1000000</f>
        <v>24.375</v>
      </c>
      <c r="Z19" s="254">
        <f>Q19/(Q5+Q8)-0.5</f>
        <v>8.183570684265371</v>
      </c>
      <c r="AA19" s="254">
        <f>(R19/(R5+R8))-0.5</f>
        <v>20.455574182732608</v>
      </c>
      <c r="AE19" s="227" t="s">
        <v>72</v>
      </c>
      <c r="AF19" s="216">
        <v>10</v>
      </c>
      <c r="AG19" s="216"/>
      <c r="AH19" s="216">
        <v>1</v>
      </c>
      <c r="AI19" s="228">
        <f>((PI()*POWER((AF19/2),2)*VLOOKUP(AE19,DensiteMatiere,2,0)/1000)-IF(AH19&gt;0,(PI()*POWER(((AF19-2*AH19)/2),2)*VLOOKUP(AE19,DensiteMatiere,2,0)/1000),0))*1.04</f>
        <v>8.2334860265281307E-2</v>
      </c>
      <c r="AJ19"/>
      <c r="AK19" s="41" t="s">
        <v>82</v>
      </c>
    </row>
    <row r="20" spans="1:41" ht="19.899999999999999" customHeight="1" x14ac:dyDescent="0.2">
      <c r="A20" s="324"/>
      <c r="B20" s="325"/>
      <c r="C20" s="441" t="str">
        <f t="shared" si="3"/>
        <v/>
      </c>
      <c r="D20" s="441"/>
      <c r="E20" s="441"/>
      <c r="F20" s="441"/>
      <c r="G20" s="441"/>
      <c r="H20" s="332" t="str">
        <f t="shared" si="4"/>
        <v/>
      </c>
      <c r="I20" s="404"/>
      <c r="J20" s="404"/>
      <c r="K20" s="404"/>
      <c r="L20" s="404"/>
      <c r="M20" s="404"/>
      <c r="N20" s="405"/>
      <c r="O20" s="18"/>
      <c r="P20" s="266"/>
      <c r="Q20" s="266"/>
      <c r="R20" s="266"/>
      <c r="S20" s="266"/>
      <c r="T20" s="266"/>
      <c r="U20" s="267"/>
      <c r="V20" s="252"/>
      <c r="W20" s="252"/>
      <c r="X20" s="278"/>
      <c r="Y20" s="241"/>
      <c r="Z20" s="279"/>
      <c r="AA20" s="280"/>
    </row>
    <row r="21" spans="1:41" ht="19.899999999999999" customHeight="1" x14ac:dyDescent="0.2">
      <c r="A21" s="324"/>
      <c r="B21" s="325"/>
      <c r="C21" s="441" t="str">
        <f t="shared" si="3"/>
        <v/>
      </c>
      <c r="D21" s="441"/>
      <c r="E21" s="441"/>
      <c r="F21" s="441"/>
      <c r="G21" s="441"/>
      <c r="H21" s="332" t="str">
        <f t="shared" si="4"/>
        <v/>
      </c>
      <c r="I21" s="404"/>
      <c r="J21" s="404"/>
      <c r="K21" s="404"/>
      <c r="L21" s="404"/>
      <c r="M21" s="404"/>
      <c r="N21" s="405"/>
      <c r="O21" s="18" t="str">
        <f>IF(T21=$O11,$AE$4,"")</f>
        <v/>
      </c>
      <c r="P21" s="262" t="s">
        <v>71</v>
      </c>
      <c r="Q21" s="233">
        <v>2000</v>
      </c>
      <c r="R21" s="233">
        <v>1000</v>
      </c>
      <c r="S21" s="233">
        <f>IF(P21="","",(INT((Q21/($Q5+$Q8)))*INT(((R21-$T8)/($R5+$R8)))))</f>
        <v>104</v>
      </c>
      <c r="T21" s="263">
        <f>(Q21*R21*$S$5*$U$5)/S21/1000000</f>
        <v>0.15</v>
      </c>
      <c r="U21" s="264">
        <f>IF(P21="","",(($Q21*$R21)-(Q5*R5*$S21))/($Q21*$R21))</f>
        <v>0.17413678000000002</v>
      </c>
      <c r="V21" s="253">
        <f>(Q21-Q8*Z21)/Z21</f>
        <v>144.32378988861657</v>
      </c>
      <c r="W21" s="253">
        <f>(R21-R8*AA21)/AA21</f>
        <v>121.86765566012654</v>
      </c>
      <c r="X21" s="256">
        <f>V21*W21*S5*U5/$U$3</f>
        <v>0.13718953505174095</v>
      </c>
      <c r="Y21" s="248">
        <f>Q21*R21*S5*U5/1000000</f>
        <v>15.6</v>
      </c>
      <c r="Z21" s="254">
        <f>(Q21/(Q5+Q8))-0.5</f>
        <v>13.393713094824593</v>
      </c>
      <c r="AA21" s="254">
        <f>(R21/(R5+R8))-0.5</f>
        <v>7.8822296730930432</v>
      </c>
    </row>
    <row r="22" spans="1:41" ht="19.899999999999999" customHeight="1" x14ac:dyDescent="0.2">
      <c r="A22" s="324"/>
      <c r="B22" s="325"/>
      <c r="C22" s="441" t="str">
        <f t="shared" si="3"/>
        <v/>
      </c>
      <c r="D22" s="441"/>
      <c r="E22" s="441"/>
      <c r="F22" s="441"/>
      <c r="G22" s="441"/>
      <c r="H22" s="338" t="str">
        <f t="shared" si="4"/>
        <v/>
      </c>
      <c r="I22" s="404"/>
      <c r="J22" s="404"/>
      <c r="K22" s="404"/>
      <c r="L22" s="404"/>
      <c r="M22" s="404"/>
      <c r="N22" s="405"/>
      <c r="O22" s="18" t="str">
        <f>IF(T22=$O11,$AE$4,"")</f>
        <v/>
      </c>
      <c r="P22" s="262" t="s">
        <v>71</v>
      </c>
      <c r="Q22" s="233">
        <v>1000</v>
      </c>
      <c r="R22" s="233">
        <v>2000</v>
      </c>
      <c r="S22" s="233">
        <f>IF(P22="","",(INT((Q22/($Q5+$Q8)))*INT(((R22-$T8)/($R5+$R8)))))</f>
        <v>96</v>
      </c>
      <c r="T22" s="263">
        <f>(Q22*R22*$S$5*$U$5)/S22/1000000</f>
        <v>0.16250000000000001</v>
      </c>
      <c r="U22" s="264">
        <f>IF(P22="","",(($Q22*$R22)-(Q5*R5*$S22))/($Q22*$R22))</f>
        <v>0.23766472000000008</v>
      </c>
      <c r="V22" s="253">
        <f>(Q22-Q8*Z22)/Z22</f>
        <v>150.11435575550226</v>
      </c>
      <c r="W22" s="253">
        <f>(R22-R8*AA22)/AA22</f>
        <v>117.96750586234441</v>
      </c>
      <c r="X22" s="256">
        <f>V22*W22*S5*U5/$U$3</f>
        <v>0.13812720591235228</v>
      </c>
      <c r="Y22" s="248">
        <f>Q22*R22*S5*U5/1000000</f>
        <v>15.6</v>
      </c>
      <c r="Z22" s="254">
        <f>Q22/(Q5+Q8)-0.5</f>
        <v>6.4468565474122963</v>
      </c>
      <c r="AA22" s="254">
        <f>(R22/(R5+R8))-0.5</f>
        <v>16.264459346186086</v>
      </c>
    </row>
    <row r="23" spans="1:41" ht="17.25" thickBot="1" x14ac:dyDescent="0.3">
      <c r="A23" s="443" t="s">
        <v>83</v>
      </c>
      <c r="B23" s="444"/>
      <c r="C23" s="444"/>
      <c r="D23" s="444"/>
      <c r="E23" s="444"/>
      <c r="F23" s="444"/>
      <c r="G23" s="444"/>
      <c r="H23" s="339">
        <f>SUM(H16:H22)</f>
        <v>0</v>
      </c>
      <c r="I23" s="445"/>
      <c r="J23" s="446"/>
      <c r="K23" s="446"/>
      <c r="L23" s="446"/>
      <c r="M23" s="446"/>
      <c r="N23" s="447"/>
      <c r="O23" s="18"/>
      <c r="P23" s="266"/>
      <c r="Q23" s="266"/>
      <c r="R23" s="266"/>
      <c r="S23" s="266"/>
      <c r="T23" s="266"/>
      <c r="U23" s="267"/>
      <c r="V23" s="252"/>
      <c r="W23" s="252"/>
      <c r="X23" s="278"/>
      <c r="Y23" s="241"/>
      <c r="Z23" s="279"/>
      <c r="AA23" s="280"/>
      <c r="AF23" s="188"/>
      <c r="AG23" s="188"/>
      <c r="AH23" s="188"/>
      <c r="AI23" s="188"/>
      <c r="AJ23" s="188"/>
      <c r="AK23" s="188"/>
    </row>
    <row r="24" spans="1:41" ht="38.1" customHeight="1" thickBot="1" x14ac:dyDescent="0.4">
      <c r="A24" s="448" t="s">
        <v>84</v>
      </c>
      <c r="B24" s="449"/>
      <c r="C24" s="449"/>
      <c r="D24" s="449"/>
      <c r="E24" s="449"/>
      <c r="F24" s="449"/>
      <c r="G24" s="286">
        <f>1+K24</f>
        <v>1.25</v>
      </c>
      <c r="H24" s="306">
        <f>SUM(H23,H14)*G24</f>
        <v>0.10815017618337233</v>
      </c>
      <c r="I24" s="287" t="str">
        <f>IF(H14=0,"PAS DE MATIERE","")</f>
        <v/>
      </c>
      <c r="J24" s="288"/>
      <c r="K24" s="442">
        <v>0.25</v>
      </c>
      <c r="L24" s="442"/>
      <c r="M24" s="289"/>
      <c r="N24" s="285"/>
      <c r="O24" s="18"/>
      <c r="P24" s="281" t="s">
        <v>71</v>
      </c>
      <c r="Q24" s="271">
        <v>500</v>
      </c>
      <c r="R24" s="271">
        <v>200</v>
      </c>
      <c r="S24" s="233">
        <f>IF(P24="","",(INT((Q24/($Q5+$Q8)))*INT(((R24-$T8)/($R5+$R8)))))</f>
        <v>3</v>
      </c>
      <c r="T24" s="263">
        <f>(Q24*R24*$S$5*$U$5)/S24/1000000</f>
        <v>0.26</v>
      </c>
      <c r="U24" s="264">
        <f>IF(P24="","",(($Q24*$R24)-(Q5*R5*$S24))/($Q24*$R24))</f>
        <v>0.52354045000000005</v>
      </c>
      <c r="V24" s="253">
        <f>(Q24-Q8*Z24)/Z24</f>
        <v>163.15606565037089</v>
      </c>
      <c r="W24" s="253">
        <f>(R24-R8*AA24)/AA24</f>
        <v>165.00356252226575</v>
      </c>
      <c r="X24" s="256">
        <f>V24*W24*S5*U5/$U$3</f>
        <v>0.20998639021953736</v>
      </c>
      <c r="Y24" s="248">
        <f>Q24*R24*S5*U5/1000000</f>
        <v>0.78</v>
      </c>
      <c r="Z24" s="254">
        <f>(Q24/(Q5+Q8))-0.5</f>
        <v>2.9734282737061482</v>
      </c>
      <c r="AA24" s="254">
        <f>(R24/(R5+R8))-0.5</f>
        <v>1.1764459346186087</v>
      </c>
      <c r="AF24" s="188"/>
      <c r="AG24" s="188"/>
      <c r="AH24" s="188"/>
      <c r="AI24" s="188"/>
      <c r="AJ24" s="188"/>
      <c r="AK24" s="188"/>
    </row>
    <row r="25" spans="1:41" ht="36" x14ac:dyDescent="0.2">
      <c r="A25" s="340" t="s">
        <v>86</v>
      </c>
      <c r="B25" s="341" t="s">
        <v>87</v>
      </c>
      <c r="C25" s="342" t="s">
        <v>88</v>
      </c>
      <c r="D25" s="342" t="s">
        <v>442</v>
      </c>
      <c r="E25" s="342" t="s">
        <v>90</v>
      </c>
      <c r="F25" s="342" t="s">
        <v>444</v>
      </c>
      <c r="G25" s="342" t="s">
        <v>443</v>
      </c>
      <c r="H25" s="300" t="s">
        <v>93</v>
      </c>
      <c r="I25" s="342" t="s">
        <v>94</v>
      </c>
      <c r="J25" s="342" t="s">
        <v>445</v>
      </c>
      <c r="K25" s="343" t="s">
        <v>96</v>
      </c>
      <c r="L25" s="344" t="s">
        <v>97</v>
      </c>
      <c r="M25" s="345" t="s">
        <v>98</v>
      </c>
      <c r="N25" s="285"/>
      <c r="O25" s="18"/>
      <c r="P25" s="281" t="s">
        <v>71</v>
      </c>
      <c r="Q25" s="251">
        <f>R24</f>
        <v>200</v>
      </c>
      <c r="R25" s="251">
        <f>Q24</f>
        <v>500</v>
      </c>
      <c r="S25" s="233">
        <f>IF(P25="","",(INT((Q25/($Q5+$Q8)))*INT(((R25-$T8)/($R5+$R8)))))</f>
        <v>4</v>
      </c>
      <c r="T25" s="263">
        <f>(Q25*R25*$S$5*$U$5)/S25/1000000</f>
        <v>0.19500000000000001</v>
      </c>
      <c r="U25" s="264">
        <f>IF(P25="","",(($Q25*$R25)-(Q5*R5*$S25))/($Q25*$R25))</f>
        <v>0.36472060000000006</v>
      </c>
      <c r="V25" s="253">
        <f>(Q25-Q8*Z25)/Z25</f>
        <v>219.87795352470218</v>
      </c>
      <c r="W25" s="253">
        <f>(R25-R8*AA25)/AA25</f>
        <v>130.46042920404221</v>
      </c>
      <c r="X25" s="256">
        <f>V25*W25*S5*U5/$U$3</f>
        <v>0.22374590307684494</v>
      </c>
      <c r="Y25" s="248">
        <f>Q25*R25*S5*U5/1000000</f>
        <v>0.78</v>
      </c>
      <c r="Z25" s="254">
        <f>Q25/(Q5+Q8)-0.5</f>
        <v>0.88937130948245935</v>
      </c>
      <c r="AA25" s="254">
        <f>(R25/(R5+R8))-0.5</f>
        <v>3.6911148365465216</v>
      </c>
      <c r="AF25" s="188"/>
      <c r="AG25" s="188"/>
      <c r="AH25" s="188"/>
      <c r="AI25" s="188"/>
      <c r="AJ25" s="188"/>
      <c r="AK25" s="188"/>
      <c r="AL25" s="188"/>
      <c r="AM25" s="188"/>
    </row>
    <row r="26" spans="1:41" ht="19.899999999999999" customHeight="1" thickBot="1" x14ac:dyDescent="0.25">
      <c r="A26" s="355" t="s">
        <v>418</v>
      </c>
      <c r="B26" s="328" t="str">
        <f t="shared" ref="B26:B46" si="5">IF(A26="","",VLOOKUP(A26,ListeOperation,5,FALSE))</f>
        <v>Voir aide calcul</v>
      </c>
      <c r="C26" s="326">
        <v>1</v>
      </c>
      <c r="D26" s="328">
        <f t="shared" ref="D26:D46" si="6">IF(OR(A26="",LEFT(A26,1)="_"),"", VLOOKUP(A26,ListeOperation,2,FALSE))</f>
        <v>70</v>
      </c>
      <c r="E26" s="326">
        <f t="shared" ref="E26:E46" si="7">IF(OR(A26="",LEFT(A26,1)="_"),"",VLOOKUP(A26,ListeOperation,4,FALSE))</f>
        <v>0.30000000000000004</v>
      </c>
      <c r="F26" s="332">
        <f t="shared" ref="F26:F46" si="8">IF(A26="","",IF(LEFT(A26,1)="_",VLOOKUP(A26,ListeOperation,2,0),IF(E26="",0,PRODUCT(E26,D26))))</f>
        <v>21.000000000000004</v>
      </c>
      <c r="G26" s="328">
        <v>90</v>
      </c>
      <c r="H26" s="330">
        <f>T38</f>
        <v>2.565821243453011E-3</v>
      </c>
      <c r="I26" s="337">
        <f>IF(OR(A26="",LEFT(A26,1)="_"),"",PRODUCT(C26,H26))</f>
        <v>2.565821243453011E-3</v>
      </c>
      <c r="J26" s="332">
        <f t="shared" ref="J26:J46" si="9">IF(OR(C26="",C26=0,A26=""),"",IF(LEFT(A26,1)="_",VLOOKUP(A26,ListeOperation,3,0)*C26,PRODUCT(H26,G26,C26)))</f>
        <v>0.230923911910771</v>
      </c>
      <c r="K26" s="327">
        <f>IF(H26*C26=0,"",60/L26)</f>
        <v>389.73876397337318</v>
      </c>
      <c r="L26" s="336">
        <f>IF(I26="","",I26*60)/IF(UPPER(LEFT(A26,3))="PEI",120,1)</f>
        <v>0.15394927460718066</v>
      </c>
      <c r="M26" s="334"/>
      <c r="N26" s="290">
        <f>IF(ISERROR(SEARCH("laser",A26)),0,1)+IF(ISERROR(SEARCH("t500",A26)),0,1)</f>
        <v>1</v>
      </c>
      <c r="O26" s="5"/>
      <c r="P26" s="237"/>
      <c r="Q26" s="237"/>
      <c r="R26" s="237"/>
      <c r="S26" s="238" t="str">
        <f>IF(UPPER(S30)="OXYGENE","O2","NA")</f>
        <v>O2</v>
      </c>
      <c r="T26" s="261" t="str">
        <f>CONCATENATE(LOWER(T27),"-",S31,"-",T5,"-",S29,"-",S26)</f>
        <v>bystronic3015-0-acier-1-O2</v>
      </c>
      <c r="U26" s="261"/>
      <c r="V26" s="238"/>
      <c r="W26" s="238"/>
      <c r="X26" s="238"/>
      <c r="Y26" s="238"/>
      <c r="Z26" s="237"/>
      <c r="AA26" s="260"/>
      <c r="AF26" s="188"/>
      <c r="AG26" s="188"/>
      <c r="AH26" s="188"/>
      <c r="AI26" s="188"/>
      <c r="AJ26" s="188"/>
      <c r="AK26" s="188"/>
      <c r="AL26" s="188"/>
      <c r="AM26" s="188"/>
    </row>
    <row r="27" spans="1:41" ht="19.899999999999999" customHeight="1" thickBot="1" x14ac:dyDescent="0.3">
      <c r="A27" s="355"/>
      <c r="B27" s="328" t="str">
        <f t="shared" si="5"/>
        <v/>
      </c>
      <c r="C27" s="326" t="str">
        <f>IF(A27&lt;&gt;"",1,"")</f>
        <v/>
      </c>
      <c r="D27" s="328" t="str">
        <f t="shared" si="6"/>
        <v/>
      </c>
      <c r="E27" s="326" t="str">
        <f t="shared" si="7"/>
        <v/>
      </c>
      <c r="F27" s="332" t="str">
        <f t="shared" si="8"/>
        <v/>
      </c>
      <c r="G27" s="328" t="str">
        <f>IF(OR(A27="",LEFT(A27,1)="_"),"",VLOOKUP(A27,ListeOperation,3,FALSE))</f>
        <v/>
      </c>
      <c r="H27" s="330" t="str">
        <f>IF(A27="","",VLOOKUP(A27,ListeOperation,7,FALSE))</f>
        <v/>
      </c>
      <c r="I27" s="337" t="str">
        <f t="shared" ref="I27:I46" si="10">IF(OR(A27="",LEFT(A27,1)="_"),"",PRODUCT(C27,H27))</f>
        <v/>
      </c>
      <c r="J27" s="332" t="str">
        <f t="shared" si="9"/>
        <v/>
      </c>
      <c r="K27" s="327"/>
      <c r="L27" s="336"/>
      <c r="M27" s="335"/>
      <c r="N27" s="290">
        <f t="shared" ref="N27:N46" si="11">IF(ISERROR(SEARCH("laser",A27)),0,1)+IF(ISERROR(SEARCH("t500",A27)),0,1)+N26</f>
        <v>1</v>
      </c>
      <c r="O27" s="5"/>
      <c r="P27" s="19"/>
      <c r="Q27" s="19"/>
      <c r="R27" s="19"/>
      <c r="S27" s="19"/>
      <c r="T27" s="236" t="s">
        <v>99</v>
      </c>
      <c r="U27" s="236" t="s">
        <v>421</v>
      </c>
      <c r="V27" s="432"/>
      <c r="W27" s="432"/>
      <c r="X27" s="433"/>
      <c r="Y27" s="433"/>
      <c r="AF27" s="188"/>
      <c r="AG27" s="188"/>
      <c r="AH27" s="188"/>
      <c r="AI27" s="188"/>
      <c r="AJ27" s="188"/>
      <c r="AK27" s="188"/>
      <c r="AL27" s="188"/>
      <c r="AM27" s="188"/>
    </row>
    <row r="28" spans="1:41" ht="19.899999999999999" customHeight="1" thickBot="1" x14ac:dyDescent="0.3">
      <c r="A28" s="355" t="s">
        <v>102</v>
      </c>
      <c r="B28" s="328" t="str">
        <f t="shared" si="5"/>
        <v>Nbr de Plis</v>
      </c>
      <c r="C28" s="326">
        <v>2</v>
      </c>
      <c r="D28" s="328">
        <f t="shared" si="6"/>
        <v>70</v>
      </c>
      <c r="E28" s="326">
        <f t="shared" si="7"/>
        <v>0.30000000000000004</v>
      </c>
      <c r="F28" s="332">
        <f t="shared" si="8"/>
        <v>21.000000000000004</v>
      </c>
      <c r="G28" s="328">
        <v>50</v>
      </c>
      <c r="H28" s="330">
        <f>IF(A28="","",VLOOKUP(A28,ListeOperation,7,FALSE))</f>
        <v>4.0000000000000001E-3</v>
      </c>
      <c r="I28" s="337">
        <f t="shared" si="10"/>
        <v>8.0000000000000002E-3</v>
      </c>
      <c r="J28" s="332">
        <f t="shared" si="9"/>
        <v>0.4</v>
      </c>
      <c r="K28" s="327">
        <f t="shared" ref="K28:K30" si="12">IF(H28*C28=0,"",60/L28)</f>
        <v>125</v>
      </c>
      <c r="L28" s="336">
        <f t="shared" ref="L28:L30" si="13">IF(I28="","",I28*60)/IF(UPPER(LEFT(A28,3))="PEI",120,1)</f>
        <v>0.48</v>
      </c>
      <c r="M28" s="335">
        <v>0</v>
      </c>
      <c r="N28" s="290">
        <f t="shared" si="11"/>
        <v>1</v>
      </c>
      <c r="O28" s="5"/>
      <c r="P28" s="428" t="s">
        <v>103</v>
      </c>
      <c r="Q28" s="439"/>
      <c r="R28" s="439"/>
      <c r="S28" s="440"/>
      <c r="T28" s="201">
        <f>IF(ISERROR(VLOOKUP(T26,TempsLaser,2,0)),"ERREUR",VLOOKUP(T26,TempsLaser,2,0))</f>
        <v>8649.9999999999982</v>
      </c>
      <c r="U28" s="200" t="s">
        <v>104</v>
      </c>
      <c r="V28" s="81"/>
      <c r="W28" s="82"/>
      <c r="X28" s="81"/>
      <c r="Y28" s="243"/>
      <c r="AF28" s="188"/>
      <c r="AG28" s="188"/>
      <c r="AH28" s="188"/>
      <c r="AI28" s="188"/>
      <c r="AJ28" s="188"/>
      <c r="AK28" s="188"/>
      <c r="AL28" s="188"/>
      <c r="AM28" s="188"/>
    </row>
    <row r="29" spans="1:41" ht="19.899999999999999" customHeight="1" x14ac:dyDescent="0.25">
      <c r="A29" s="355"/>
      <c r="B29" s="328" t="str">
        <f t="shared" si="5"/>
        <v/>
      </c>
      <c r="C29" s="326" t="str">
        <f>IF(A29&lt;&gt;"",1,"")</f>
        <v/>
      </c>
      <c r="D29" s="328" t="str">
        <f t="shared" si="6"/>
        <v/>
      </c>
      <c r="E29" s="326" t="str">
        <f t="shared" si="7"/>
        <v/>
      </c>
      <c r="F29" s="332" t="str">
        <f t="shared" si="8"/>
        <v/>
      </c>
      <c r="G29" s="328" t="str">
        <f>IF(OR(A29="",LEFT(A29,1)="_"),"",VLOOKUP(A29,ListeOperation,3,FALSE))</f>
        <v/>
      </c>
      <c r="H29" s="330" t="str">
        <f>IF(A29="","",VLOOKUP(A29,ListeOperation,7,FALSE))</f>
        <v/>
      </c>
      <c r="I29" s="337" t="str">
        <f t="shared" si="10"/>
        <v/>
      </c>
      <c r="J29" s="332" t="str">
        <f t="shared" si="9"/>
        <v/>
      </c>
      <c r="K29" s="327"/>
      <c r="L29" s="336"/>
      <c r="M29" s="335"/>
      <c r="N29" s="290">
        <f t="shared" si="11"/>
        <v>1</v>
      </c>
      <c r="O29" s="5"/>
      <c r="P29" s="83"/>
      <c r="Q29" s="417" t="s">
        <v>105</v>
      </c>
      <c r="R29" s="418"/>
      <c r="S29" s="198">
        <f>IF(S5&lt;1,1,IF(S5-INT(S5)=0,S5, IF(S5-INT(S5)&lt;=0.5,0.5+INT(S5),1+INT(S5))))</f>
        <v>1</v>
      </c>
      <c r="T29" s="199">
        <f>IF(ISERROR(VLOOKUP(T26,TempsLaser,3,0)),"ERREUR",VLOOKUP(T26,TempsLaser,3,0))</f>
        <v>7100</v>
      </c>
      <c r="U29" s="200" t="s">
        <v>106</v>
      </c>
      <c r="V29" s="87"/>
      <c r="W29" s="82"/>
      <c r="X29" s="87"/>
      <c r="Y29" s="243"/>
      <c r="AF29" s="188"/>
      <c r="AG29" s="188"/>
      <c r="AH29" s="188"/>
      <c r="AI29" s="188"/>
      <c r="AJ29" s="188"/>
      <c r="AK29" s="188"/>
      <c r="AL29" s="188"/>
      <c r="AM29" s="188"/>
    </row>
    <row r="30" spans="1:41" ht="19.899999999999999" customHeight="1" x14ac:dyDescent="0.25">
      <c r="A30" s="355" t="s">
        <v>107</v>
      </c>
      <c r="B30" s="328" t="str">
        <f t="shared" si="5"/>
        <v>Nbr de taraudage</v>
      </c>
      <c r="C30" s="326">
        <v>2</v>
      </c>
      <c r="D30" s="328">
        <f t="shared" si="6"/>
        <v>70</v>
      </c>
      <c r="E30" s="326">
        <f t="shared" si="7"/>
        <v>0.2</v>
      </c>
      <c r="F30" s="332">
        <f t="shared" si="8"/>
        <v>14</v>
      </c>
      <c r="G30" s="328">
        <v>50</v>
      </c>
      <c r="H30" s="330">
        <f>IF(A30="","",VLOOKUP(A30,ListeOperation,7,FALSE)*1)</f>
        <v>1.5E-3</v>
      </c>
      <c r="I30" s="337">
        <f t="shared" si="10"/>
        <v>3.0000000000000001E-3</v>
      </c>
      <c r="J30" s="332">
        <f t="shared" si="9"/>
        <v>0.15</v>
      </c>
      <c r="K30" s="327">
        <f t="shared" si="12"/>
        <v>333.33333333333337</v>
      </c>
      <c r="L30" s="336">
        <f t="shared" si="13"/>
        <v>0.18</v>
      </c>
      <c r="M30" s="335">
        <v>0</v>
      </c>
      <c r="N30" s="290">
        <f t="shared" si="11"/>
        <v>1</v>
      </c>
      <c r="O30" s="5"/>
      <c r="P30" s="83"/>
      <c r="Q30" s="417" t="s">
        <v>108</v>
      </c>
      <c r="R30" s="418"/>
      <c r="S30" s="203" t="s">
        <v>109</v>
      </c>
      <c r="T30" s="202"/>
      <c r="U30" s="86"/>
      <c r="V30" s="87"/>
      <c r="W30" s="82"/>
      <c r="X30" s="87"/>
      <c r="Y30" s="243"/>
      <c r="AF30" s="188"/>
      <c r="AG30" s="188"/>
      <c r="AH30" s="188"/>
      <c r="AI30" s="188"/>
      <c r="AJ30" s="188"/>
      <c r="AK30" s="188"/>
      <c r="AL30" s="188"/>
      <c r="AM30" s="188"/>
    </row>
    <row r="31" spans="1:41" ht="19.899999999999999" customHeight="1" x14ac:dyDescent="0.25">
      <c r="A31" s="355"/>
      <c r="B31" s="328" t="str">
        <f t="shared" si="5"/>
        <v/>
      </c>
      <c r="C31" s="326" t="str">
        <f t="shared" ref="C31:C46" si="14">IF(A31&lt;&gt;"",1,"")</f>
        <v/>
      </c>
      <c r="D31" s="328" t="str">
        <f t="shared" si="6"/>
        <v/>
      </c>
      <c r="E31" s="326" t="str">
        <f t="shared" si="7"/>
        <v/>
      </c>
      <c r="F31" s="332" t="str">
        <f t="shared" si="8"/>
        <v/>
      </c>
      <c r="G31" s="328" t="str">
        <f t="shared" ref="G31:G46" si="15">IF(OR(A31="",LEFT(A31,1)="_"),"",VLOOKUP(A31,ListeOperation,3,FALSE))</f>
        <v/>
      </c>
      <c r="H31" s="330" t="str">
        <f t="shared" ref="H31:H46" si="16">IF(A31="","",VLOOKUP(A31,ListeOperation,7,FALSE))</f>
        <v/>
      </c>
      <c r="I31" s="337" t="str">
        <f t="shared" si="10"/>
        <v/>
      </c>
      <c r="J31" s="332" t="str">
        <f t="shared" si="9"/>
        <v/>
      </c>
      <c r="K31" s="327"/>
      <c r="L31" s="336"/>
      <c r="M31" s="335"/>
      <c r="N31" s="290">
        <f t="shared" si="11"/>
        <v>1</v>
      </c>
      <c r="O31" s="5"/>
      <c r="P31" s="83"/>
      <c r="Q31" s="419" t="s">
        <v>110</v>
      </c>
      <c r="R31" s="420"/>
      <c r="S31" s="204">
        <v>0</v>
      </c>
      <c r="T31" s="202"/>
      <c r="U31" s="86"/>
      <c r="V31" s="87"/>
      <c r="W31" s="82"/>
      <c r="X31" s="87"/>
      <c r="Y31" s="243"/>
      <c r="AA31"/>
      <c r="AF31" s="188"/>
      <c r="AG31" s="188"/>
      <c r="AH31" s="188"/>
      <c r="AI31" s="188"/>
      <c r="AJ31" s="188"/>
      <c r="AK31" s="188"/>
      <c r="AL31" s="188"/>
      <c r="AM31" s="188"/>
    </row>
    <row r="32" spans="1:41" ht="19.899999999999999" customHeight="1" x14ac:dyDescent="0.25">
      <c r="A32" s="355"/>
      <c r="B32" s="328" t="str">
        <f t="shared" si="5"/>
        <v/>
      </c>
      <c r="C32" s="326" t="str">
        <f t="shared" si="14"/>
        <v/>
      </c>
      <c r="D32" s="328" t="str">
        <f t="shared" si="6"/>
        <v/>
      </c>
      <c r="E32" s="326" t="str">
        <f t="shared" si="7"/>
        <v/>
      </c>
      <c r="F32" s="332" t="str">
        <f t="shared" si="8"/>
        <v/>
      </c>
      <c r="G32" s="328" t="str">
        <f t="shared" si="15"/>
        <v/>
      </c>
      <c r="H32" s="330" t="str">
        <f t="shared" si="16"/>
        <v/>
      </c>
      <c r="I32" s="337" t="str">
        <f t="shared" si="10"/>
        <v/>
      </c>
      <c r="J32" s="332" t="str">
        <f t="shared" si="9"/>
        <v/>
      </c>
      <c r="K32" s="327"/>
      <c r="L32" s="336"/>
      <c r="M32" s="335"/>
      <c r="N32" s="290">
        <f t="shared" si="11"/>
        <v>1</v>
      </c>
      <c r="O32" s="5"/>
      <c r="P32" s="83"/>
      <c r="Q32" s="421" t="s">
        <v>111</v>
      </c>
      <c r="R32" s="422"/>
      <c r="S32" s="208">
        <f>(Q5+R5)*2</f>
        <v>506.5</v>
      </c>
      <c r="T32" s="209">
        <f>(S32/T28)/60</f>
        <v>9.7591522157996168E-4</v>
      </c>
      <c r="U32" s="210"/>
      <c r="V32" s="92"/>
      <c r="W32" s="93"/>
      <c r="X32" s="92"/>
      <c r="Y32" s="244"/>
      <c r="AF32" s="188"/>
      <c r="AG32" s="188"/>
      <c r="AH32" s="188"/>
      <c r="AI32" s="188"/>
      <c r="AJ32" s="188"/>
      <c r="AK32" s="188"/>
      <c r="AL32"/>
      <c r="AM32" s="188"/>
    </row>
    <row r="33" spans="1:39" ht="19.899999999999999" customHeight="1" x14ac:dyDescent="0.25">
      <c r="A33" s="355"/>
      <c r="B33" s="328" t="str">
        <f t="shared" si="5"/>
        <v/>
      </c>
      <c r="C33" s="326" t="str">
        <f t="shared" si="14"/>
        <v/>
      </c>
      <c r="D33" s="328" t="str">
        <f t="shared" si="6"/>
        <v/>
      </c>
      <c r="E33" s="326" t="str">
        <f t="shared" si="7"/>
        <v/>
      </c>
      <c r="F33" s="332" t="str">
        <f t="shared" si="8"/>
        <v/>
      </c>
      <c r="G33" s="328" t="str">
        <f t="shared" si="15"/>
        <v/>
      </c>
      <c r="H33" s="330" t="str">
        <f t="shared" si="16"/>
        <v/>
      </c>
      <c r="I33" s="337" t="str">
        <f t="shared" si="10"/>
        <v/>
      </c>
      <c r="J33" s="332" t="str">
        <f t="shared" si="9"/>
        <v/>
      </c>
      <c r="K33" s="327"/>
      <c r="L33" s="336"/>
      <c r="M33" s="335"/>
      <c r="N33" s="290">
        <f t="shared" si="11"/>
        <v>1</v>
      </c>
      <c r="O33" s="5"/>
      <c r="P33" s="83"/>
      <c r="Q33" s="417" t="s">
        <v>112</v>
      </c>
      <c r="R33" s="418"/>
      <c r="S33" s="205">
        <v>2</v>
      </c>
      <c r="T33" s="206">
        <f>((S33*40)/T29)/60</f>
        <v>1.8779342723004695E-4</v>
      </c>
      <c r="U33" s="207"/>
      <c r="V33" s="92"/>
      <c r="W33" s="93"/>
      <c r="X33" s="92"/>
      <c r="Y33" s="244"/>
      <c r="AF33" s="188"/>
      <c r="AG33" s="188"/>
      <c r="AH33" s="188"/>
      <c r="AI33" s="188"/>
      <c r="AJ33" s="188"/>
      <c r="AK33" s="188"/>
      <c r="AL33"/>
      <c r="AM33" s="188"/>
    </row>
    <row r="34" spans="1:39" ht="19.899999999999999" customHeight="1" x14ac:dyDescent="0.25">
      <c r="A34" s="355"/>
      <c r="B34" s="328" t="str">
        <f t="shared" si="5"/>
        <v/>
      </c>
      <c r="C34" s="326" t="str">
        <f t="shared" si="14"/>
        <v/>
      </c>
      <c r="D34" s="328" t="str">
        <f t="shared" si="6"/>
        <v/>
      </c>
      <c r="E34" s="326" t="str">
        <f t="shared" si="7"/>
        <v/>
      </c>
      <c r="F34" s="332" t="str">
        <f t="shared" si="8"/>
        <v/>
      </c>
      <c r="G34" s="328" t="str">
        <f t="shared" si="15"/>
        <v/>
      </c>
      <c r="H34" s="330" t="str">
        <f t="shared" si="16"/>
        <v/>
      </c>
      <c r="I34" s="337" t="str">
        <f t="shared" si="10"/>
        <v/>
      </c>
      <c r="J34" s="332" t="str">
        <f t="shared" si="9"/>
        <v/>
      </c>
      <c r="K34" s="327"/>
      <c r="L34" s="336"/>
      <c r="M34" s="335"/>
      <c r="N34" s="290">
        <f t="shared" si="11"/>
        <v>1</v>
      </c>
      <c r="O34" s="5"/>
      <c r="P34" s="83"/>
      <c r="Q34" s="417" t="s">
        <v>113</v>
      </c>
      <c r="R34" s="418"/>
      <c r="S34" s="205">
        <v>3</v>
      </c>
      <c r="T34" s="206">
        <f>U34*S29*S34</f>
        <v>8.0999999999999996E-4</v>
      </c>
      <c r="U34" s="207">
        <v>2.7E-4</v>
      </c>
      <c r="V34" s="92"/>
      <c r="W34" s="93"/>
      <c r="X34" s="92"/>
      <c r="Y34" s="244"/>
      <c r="AF34" s="188"/>
      <c r="AG34" s="188"/>
      <c r="AH34" s="188"/>
      <c r="AI34" s="188"/>
      <c r="AJ34" s="188"/>
      <c r="AK34" s="188"/>
      <c r="AL34"/>
      <c r="AM34" s="188"/>
    </row>
    <row r="35" spans="1:39" ht="19.899999999999999" customHeight="1" x14ac:dyDescent="0.25">
      <c r="A35" s="355"/>
      <c r="B35" s="328" t="str">
        <f t="shared" si="5"/>
        <v/>
      </c>
      <c r="C35" s="326" t="str">
        <f t="shared" si="14"/>
        <v/>
      </c>
      <c r="D35" s="328" t="str">
        <f t="shared" si="6"/>
        <v/>
      </c>
      <c r="E35" s="326" t="str">
        <f t="shared" si="7"/>
        <v/>
      </c>
      <c r="F35" s="332" t="str">
        <f t="shared" si="8"/>
        <v/>
      </c>
      <c r="G35" s="328" t="str">
        <f t="shared" si="15"/>
        <v/>
      </c>
      <c r="H35" s="330" t="str">
        <f t="shared" si="16"/>
        <v/>
      </c>
      <c r="I35" s="337" t="str">
        <f t="shared" si="10"/>
        <v/>
      </c>
      <c r="J35" s="332" t="str">
        <f t="shared" si="9"/>
        <v/>
      </c>
      <c r="K35" s="327"/>
      <c r="L35" s="336"/>
      <c r="M35" s="335"/>
      <c r="N35" s="290">
        <f t="shared" si="11"/>
        <v>1</v>
      </c>
      <c r="O35" s="5"/>
      <c r="P35" s="83"/>
      <c r="Q35" s="417" t="s">
        <v>114</v>
      </c>
      <c r="R35" s="418"/>
      <c r="S35" s="205">
        <v>0</v>
      </c>
      <c r="T35" s="211">
        <v>0</v>
      </c>
      <c r="U35" s="212"/>
      <c r="V35" s="92"/>
      <c r="W35" s="93"/>
      <c r="X35" s="92"/>
      <c r="Y35" s="244"/>
      <c r="AF35" s="188"/>
      <c r="AG35" s="188"/>
      <c r="AH35" s="188"/>
      <c r="AI35" s="188"/>
      <c r="AJ35" s="188"/>
      <c r="AK35" s="188"/>
      <c r="AL35"/>
      <c r="AM35" s="188"/>
    </row>
    <row r="36" spans="1:39" ht="19.899999999999999" customHeight="1" x14ac:dyDescent="0.25">
      <c r="A36" s="355"/>
      <c r="B36" s="328" t="str">
        <f t="shared" si="5"/>
        <v/>
      </c>
      <c r="C36" s="326" t="str">
        <f t="shared" si="14"/>
        <v/>
      </c>
      <c r="D36" s="328" t="str">
        <f t="shared" si="6"/>
        <v/>
      </c>
      <c r="E36" s="326" t="str">
        <f t="shared" si="7"/>
        <v/>
      </c>
      <c r="F36" s="332" t="str">
        <f t="shared" si="8"/>
        <v/>
      </c>
      <c r="G36" s="328" t="str">
        <f t="shared" si="15"/>
        <v/>
      </c>
      <c r="H36" s="330" t="str">
        <f t="shared" si="16"/>
        <v/>
      </c>
      <c r="I36" s="337" t="str">
        <f t="shared" si="10"/>
        <v/>
      </c>
      <c r="J36" s="332" t="str">
        <f t="shared" si="9"/>
        <v/>
      </c>
      <c r="K36" s="327"/>
      <c r="L36" s="336"/>
      <c r="M36" s="335"/>
      <c r="N36" s="290">
        <f t="shared" si="11"/>
        <v>1</v>
      </c>
      <c r="O36" s="96"/>
      <c r="P36" s="83"/>
      <c r="Q36" s="417" t="s">
        <v>115</v>
      </c>
      <c r="R36" s="418"/>
      <c r="S36" s="205">
        <v>0</v>
      </c>
      <c r="T36" s="206">
        <f>U36*S36</f>
        <v>0</v>
      </c>
      <c r="U36" s="207">
        <v>4.1000000000000003E-3</v>
      </c>
      <c r="V36" s="92"/>
      <c r="W36" s="93"/>
      <c r="X36" s="92"/>
      <c r="Y36" s="244"/>
      <c r="AF36" s="188"/>
      <c r="AG36" s="188"/>
      <c r="AH36" s="188"/>
      <c r="AI36" s="188"/>
      <c r="AJ36" s="188"/>
      <c r="AK36" s="188"/>
      <c r="AL36"/>
      <c r="AM36" s="188"/>
    </row>
    <row r="37" spans="1:39" ht="19.899999999999999" customHeight="1" x14ac:dyDescent="0.25">
      <c r="A37" s="355"/>
      <c r="B37" s="328" t="str">
        <f t="shared" si="5"/>
        <v/>
      </c>
      <c r="C37" s="326" t="str">
        <f t="shared" si="14"/>
        <v/>
      </c>
      <c r="D37" s="328" t="str">
        <f t="shared" si="6"/>
        <v/>
      </c>
      <c r="E37" s="326" t="str">
        <f t="shared" si="7"/>
        <v/>
      </c>
      <c r="F37" s="332" t="str">
        <f t="shared" si="8"/>
        <v/>
      </c>
      <c r="G37" s="328" t="str">
        <f t="shared" si="15"/>
        <v/>
      </c>
      <c r="H37" s="330" t="str">
        <f t="shared" si="16"/>
        <v/>
      </c>
      <c r="I37" s="337" t="str">
        <f t="shared" si="10"/>
        <v/>
      </c>
      <c r="J37" s="332" t="str">
        <f t="shared" si="9"/>
        <v/>
      </c>
      <c r="K37" s="327"/>
      <c r="L37" s="336"/>
      <c r="M37" s="335"/>
      <c r="N37" s="290">
        <f t="shared" si="11"/>
        <v>1</v>
      </c>
      <c r="O37" s="96"/>
      <c r="P37" s="83"/>
      <c r="Q37" s="417" t="s">
        <v>116</v>
      </c>
      <c r="R37" s="418"/>
      <c r="S37" s="205">
        <v>0</v>
      </c>
      <c r="T37" s="206">
        <f>((S32+S33*10)/8000)/60*IF(S37,1,0)</f>
        <v>0</v>
      </c>
      <c r="U37" s="207"/>
      <c r="V37" s="92"/>
      <c r="W37" s="93"/>
      <c r="X37" s="92"/>
      <c r="Y37" s="244"/>
      <c r="AF37" s="188"/>
      <c r="AG37" s="188"/>
      <c r="AH37" s="188"/>
      <c r="AI37" s="188"/>
      <c r="AJ37" s="188"/>
      <c r="AK37" s="188"/>
      <c r="AL37" s="188"/>
      <c r="AM37" s="188"/>
    </row>
    <row r="38" spans="1:39" ht="19.899999999999999" customHeight="1" thickBot="1" x14ac:dyDescent="0.3">
      <c r="A38" s="355"/>
      <c r="B38" s="328" t="str">
        <f t="shared" si="5"/>
        <v/>
      </c>
      <c r="C38" s="326" t="str">
        <f t="shared" si="14"/>
        <v/>
      </c>
      <c r="D38" s="328" t="str">
        <f t="shared" si="6"/>
        <v/>
      </c>
      <c r="E38" s="326" t="str">
        <f t="shared" si="7"/>
        <v/>
      </c>
      <c r="F38" s="332" t="str">
        <f t="shared" si="8"/>
        <v/>
      </c>
      <c r="G38" s="328" t="str">
        <f t="shared" si="15"/>
        <v/>
      </c>
      <c r="H38" s="330" t="str">
        <f t="shared" si="16"/>
        <v/>
      </c>
      <c r="I38" s="337" t="str">
        <f t="shared" si="10"/>
        <v/>
      </c>
      <c r="J38" s="332" t="str">
        <f t="shared" si="9"/>
        <v/>
      </c>
      <c r="K38" s="327"/>
      <c r="L38" s="336"/>
      <c r="M38" s="335"/>
      <c r="N38" s="290">
        <f t="shared" si="11"/>
        <v>1</v>
      </c>
      <c r="O38" s="96" t="str">
        <f>P28</f>
        <v>LASER</v>
      </c>
      <c r="P38" s="97"/>
      <c r="Q38" s="98"/>
      <c r="R38" s="98"/>
      <c r="S38" s="99" t="s">
        <v>117</v>
      </c>
      <c r="T38" s="100">
        <f>SUM(T32:T37)*1.3</f>
        <v>2.565821243453011E-3</v>
      </c>
      <c r="U38" s="101"/>
      <c r="V38" s="102"/>
      <c r="W38" s="93"/>
      <c r="X38" s="103"/>
      <c r="Y38" s="244"/>
    </row>
    <row r="39" spans="1:39" ht="19.899999999999999" customHeight="1" thickBot="1" x14ac:dyDescent="0.3">
      <c r="A39" s="355"/>
      <c r="B39" s="328" t="str">
        <f t="shared" si="5"/>
        <v/>
      </c>
      <c r="C39" s="326" t="str">
        <f t="shared" si="14"/>
        <v/>
      </c>
      <c r="D39" s="328" t="str">
        <f t="shared" si="6"/>
        <v/>
      </c>
      <c r="E39" s="326" t="str">
        <f t="shared" si="7"/>
        <v/>
      </c>
      <c r="F39" s="332" t="str">
        <f t="shared" si="8"/>
        <v/>
      </c>
      <c r="G39" s="328" t="str">
        <f t="shared" si="15"/>
        <v/>
      </c>
      <c r="H39" s="330" t="str">
        <f t="shared" si="16"/>
        <v/>
      </c>
      <c r="I39" s="337" t="str">
        <f t="shared" si="10"/>
        <v/>
      </c>
      <c r="J39" s="332" t="str">
        <f t="shared" si="9"/>
        <v/>
      </c>
      <c r="K39" s="327"/>
      <c r="L39" s="336"/>
      <c r="M39" s="335"/>
      <c r="N39" s="290">
        <f t="shared" si="11"/>
        <v>1</v>
      </c>
      <c r="O39" s="96"/>
      <c r="P39" s="19"/>
      <c r="Q39" s="19"/>
      <c r="R39" s="19"/>
      <c r="S39" s="19"/>
      <c r="T39" s="19"/>
      <c r="U39" s="19"/>
      <c r="V39" s="19"/>
      <c r="W39" s="19"/>
      <c r="X39" s="19"/>
      <c r="Y39" s="240"/>
    </row>
    <row r="40" spans="1:39" ht="19.899999999999999" customHeight="1" thickBot="1" x14ac:dyDescent="0.3">
      <c r="A40" s="355"/>
      <c r="B40" s="328" t="str">
        <f t="shared" si="5"/>
        <v/>
      </c>
      <c r="C40" s="326" t="str">
        <f t="shared" si="14"/>
        <v/>
      </c>
      <c r="D40" s="328" t="str">
        <f t="shared" si="6"/>
        <v/>
      </c>
      <c r="E40" s="326" t="str">
        <f t="shared" si="7"/>
        <v/>
      </c>
      <c r="F40" s="332" t="str">
        <f t="shared" si="8"/>
        <v/>
      </c>
      <c r="G40" s="328" t="str">
        <f t="shared" si="15"/>
        <v/>
      </c>
      <c r="H40" s="330" t="str">
        <f t="shared" si="16"/>
        <v/>
      </c>
      <c r="I40" s="337" t="str">
        <f t="shared" si="10"/>
        <v/>
      </c>
      <c r="J40" s="332" t="str">
        <f t="shared" si="9"/>
        <v/>
      </c>
      <c r="K40" s="327"/>
      <c r="L40" s="336"/>
      <c r="M40" s="335"/>
      <c r="N40" s="290">
        <f t="shared" si="11"/>
        <v>1</v>
      </c>
      <c r="O40" s="96"/>
      <c r="P40" s="428" t="s">
        <v>118</v>
      </c>
      <c r="Q40" s="428"/>
      <c r="R40" s="428"/>
      <c r="S40" s="428"/>
      <c r="T40" s="428"/>
      <c r="U40" s="428"/>
      <c r="V40" s="19"/>
      <c r="W40" s="19"/>
      <c r="X40" s="19"/>
      <c r="Y40" s="240"/>
    </row>
    <row r="41" spans="1:39" ht="19.899999999999999" customHeight="1" x14ac:dyDescent="0.25">
      <c r="A41" s="355"/>
      <c r="B41" s="328" t="str">
        <f t="shared" si="5"/>
        <v/>
      </c>
      <c r="C41" s="326" t="str">
        <f t="shared" si="14"/>
        <v/>
      </c>
      <c r="D41" s="328" t="str">
        <f t="shared" si="6"/>
        <v/>
      </c>
      <c r="E41" s="326" t="str">
        <f t="shared" si="7"/>
        <v/>
      </c>
      <c r="F41" s="332" t="str">
        <f t="shared" si="8"/>
        <v/>
      </c>
      <c r="G41" s="328" t="str">
        <f t="shared" si="15"/>
        <v/>
      </c>
      <c r="H41" s="330" t="str">
        <f t="shared" si="16"/>
        <v/>
      </c>
      <c r="I41" s="337" t="str">
        <f t="shared" si="10"/>
        <v/>
      </c>
      <c r="J41" s="332" t="str">
        <f t="shared" si="9"/>
        <v/>
      </c>
      <c r="K41" s="327"/>
      <c r="L41" s="336"/>
      <c r="M41" s="335"/>
      <c r="N41" s="290">
        <f t="shared" si="11"/>
        <v>1</v>
      </c>
      <c r="O41" s="96"/>
      <c r="P41" s="429" t="s">
        <v>119</v>
      </c>
      <c r="Q41" s="429"/>
      <c r="R41" s="429" t="e">
        <f>#N/A</f>
        <v>#N/A</v>
      </c>
      <c r="S41" s="88">
        <v>5</v>
      </c>
      <c r="T41" s="104">
        <f>(S41/S42)*U41</f>
        <v>1.4999999999999999E-2</v>
      </c>
      <c r="U41" s="105">
        <v>3.0000000000000001E-3</v>
      </c>
      <c r="V41" s="19"/>
      <c r="W41" s="19"/>
      <c r="X41" s="19"/>
      <c r="Y41" s="240"/>
    </row>
    <row r="42" spans="1:39" ht="19.899999999999999" customHeight="1" x14ac:dyDescent="0.25">
      <c r="A42" s="355"/>
      <c r="B42" s="328" t="str">
        <f t="shared" si="5"/>
        <v/>
      </c>
      <c r="C42" s="326" t="str">
        <f t="shared" si="14"/>
        <v/>
      </c>
      <c r="D42" s="328" t="str">
        <f t="shared" si="6"/>
        <v/>
      </c>
      <c r="E42" s="326" t="str">
        <f t="shared" si="7"/>
        <v/>
      </c>
      <c r="F42" s="332" t="str">
        <f t="shared" si="8"/>
        <v/>
      </c>
      <c r="G42" s="328" t="str">
        <f t="shared" si="15"/>
        <v/>
      </c>
      <c r="H42" s="330" t="str">
        <f t="shared" si="16"/>
        <v/>
      </c>
      <c r="I42" s="337" t="str">
        <f t="shared" si="10"/>
        <v/>
      </c>
      <c r="J42" s="332" t="str">
        <f t="shared" si="9"/>
        <v/>
      </c>
      <c r="K42" s="327"/>
      <c r="L42" s="336"/>
      <c r="M42" s="335"/>
      <c r="N42" s="290">
        <f t="shared" si="11"/>
        <v>1</v>
      </c>
      <c r="O42" s="96"/>
      <c r="P42" s="429" t="s">
        <v>120</v>
      </c>
      <c r="Q42" s="429"/>
      <c r="R42" s="429"/>
      <c r="S42" s="88">
        <v>1</v>
      </c>
      <c r="T42" s="106"/>
      <c r="U42" s="91"/>
      <c r="V42" s="19"/>
      <c r="W42" s="19"/>
      <c r="X42" s="19"/>
      <c r="Y42" s="240"/>
    </row>
    <row r="43" spans="1:39" ht="19.899999999999999" customHeight="1" x14ac:dyDescent="0.25">
      <c r="A43" s="355"/>
      <c r="B43" s="328" t="str">
        <f t="shared" si="5"/>
        <v/>
      </c>
      <c r="C43" s="326" t="str">
        <f t="shared" si="14"/>
        <v/>
      </c>
      <c r="D43" s="328" t="str">
        <f t="shared" si="6"/>
        <v/>
      </c>
      <c r="E43" s="326" t="str">
        <f t="shared" si="7"/>
        <v/>
      </c>
      <c r="F43" s="332" t="str">
        <f t="shared" si="8"/>
        <v/>
      </c>
      <c r="G43" s="328" t="str">
        <f t="shared" si="15"/>
        <v/>
      </c>
      <c r="H43" s="330" t="str">
        <f t="shared" si="16"/>
        <v/>
      </c>
      <c r="I43" s="337" t="str">
        <f t="shared" si="10"/>
        <v/>
      </c>
      <c r="J43" s="332" t="str">
        <f t="shared" si="9"/>
        <v/>
      </c>
      <c r="K43" s="327"/>
      <c r="L43" s="336"/>
      <c r="M43" s="335"/>
      <c r="N43" s="290">
        <f t="shared" si="11"/>
        <v>1</v>
      </c>
      <c r="O43" s="96"/>
      <c r="P43" s="429" t="s">
        <v>121</v>
      </c>
      <c r="Q43" s="429"/>
      <c r="R43" s="429"/>
      <c r="S43" s="88">
        <f>(Q5*2+R5*2)/50+50</f>
        <v>60.13</v>
      </c>
      <c r="T43" s="106">
        <f>S43*U43</f>
        <v>8.4182000000000007E-3</v>
      </c>
      <c r="U43" s="37">
        <v>1.4000000000000001E-4</v>
      </c>
      <c r="V43" s="19"/>
      <c r="W43" s="19"/>
      <c r="X43" s="19"/>
      <c r="Y43" s="240"/>
    </row>
    <row r="44" spans="1:39" ht="19.899999999999999" customHeight="1" x14ac:dyDescent="0.25">
      <c r="A44" s="355"/>
      <c r="B44" s="328" t="str">
        <f t="shared" si="5"/>
        <v/>
      </c>
      <c r="C44" s="326" t="str">
        <f t="shared" si="14"/>
        <v/>
      </c>
      <c r="D44" s="328" t="str">
        <f t="shared" si="6"/>
        <v/>
      </c>
      <c r="E44" s="326" t="str">
        <f t="shared" si="7"/>
        <v/>
      </c>
      <c r="F44" s="332" t="str">
        <f t="shared" si="8"/>
        <v/>
      </c>
      <c r="G44" s="328" t="str">
        <f t="shared" si="15"/>
        <v/>
      </c>
      <c r="H44" s="330" t="str">
        <f t="shared" si="16"/>
        <v/>
      </c>
      <c r="I44" s="337" t="str">
        <f t="shared" si="10"/>
        <v/>
      </c>
      <c r="J44" s="332" t="str">
        <f t="shared" si="9"/>
        <v/>
      </c>
      <c r="K44" s="327"/>
      <c r="L44" s="336"/>
      <c r="M44" s="335"/>
      <c r="N44" s="290">
        <f t="shared" si="11"/>
        <v>1</v>
      </c>
      <c r="O44" s="96"/>
      <c r="P44" s="429" t="s">
        <v>122</v>
      </c>
      <c r="Q44" s="429"/>
      <c r="R44" s="429"/>
      <c r="S44" s="88">
        <v>0</v>
      </c>
      <c r="T44" s="106">
        <f>S44*U44</f>
        <v>0</v>
      </c>
      <c r="U44" s="37">
        <v>8.0000000000000004E-4</v>
      </c>
      <c r="V44" s="19"/>
      <c r="W44" s="19"/>
      <c r="X44" s="19"/>
      <c r="Y44" s="240"/>
    </row>
    <row r="45" spans="1:39" ht="19.899999999999999" customHeight="1" x14ac:dyDescent="0.25">
      <c r="A45" s="355"/>
      <c r="B45" s="328" t="str">
        <f t="shared" si="5"/>
        <v/>
      </c>
      <c r="C45" s="326" t="str">
        <f t="shared" si="14"/>
        <v/>
      </c>
      <c r="D45" s="328" t="str">
        <f t="shared" si="6"/>
        <v/>
      </c>
      <c r="E45" s="326" t="str">
        <f t="shared" si="7"/>
        <v/>
      </c>
      <c r="F45" s="332" t="str">
        <f t="shared" si="8"/>
        <v/>
      </c>
      <c r="G45" s="362" t="str">
        <f t="shared" si="15"/>
        <v/>
      </c>
      <c r="H45" s="366" t="str">
        <f t="shared" si="16"/>
        <v/>
      </c>
      <c r="I45" s="337" t="str">
        <f t="shared" si="10"/>
        <v/>
      </c>
      <c r="J45" s="332" t="str">
        <f t="shared" si="9"/>
        <v/>
      </c>
      <c r="K45" s="327"/>
      <c r="L45" s="336"/>
      <c r="M45" s="335"/>
      <c r="N45" s="290">
        <f t="shared" si="11"/>
        <v>1</v>
      </c>
      <c r="O45" s="96"/>
      <c r="P45" s="429" t="s">
        <v>123</v>
      </c>
      <c r="Q45" s="429"/>
      <c r="R45" s="429"/>
      <c r="S45" s="88">
        <v>0</v>
      </c>
      <c r="T45" s="106">
        <f>S45*U45</f>
        <v>0</v>
      </c>
      <c r="U45" s="91">
        <v>8.0000000000000004E-4</v>
      </c>
      <c r="V45" s="19"/>
      <c r="W45" s="19"/>
      <c r="X45" s="19"/>
      <c r="Y45" s="240"/>
    </row>
    <row r="46" spans="1:39" ht="19.899999999999999" customHeight="1" thickBot="1" x14ac:dyDescent="0.3">
      <c r="A46" s="355"/>
      <c r="B46" s="328" t="str">
        <f t="shared" si="5"/>
        <v/>
      </c>
      <c r="C46" s="326" t="str">
        <f t="shared" si="14"/>
        <v/>
      </c>
      <c r="D46" s="328" t="str">
        <f t="shared" si="6"/>
        <v/>
      </c>
      <c r="E46" s="326" t="str">
        <f t="shared" si="7"/>
        <v/>
      </c>
      <c r="F46" s="374" t="str">
        <f t="shared" si="8"/>
        <v/>
      </c>
      <c r="G46" s="328" t="str">
        <f t="shared" si="15"/>
        <v/>
      </c>
      <c r="H46" s="330" t="str">
        <f t="shared" si="16"/>
        <v/>
      </c>
      <c r="I46" s="375" t="str">
        <f t="shared" si="10"/>
        <v/>
      </c>
      <c r="J46" s="333" t="str">
        <f t="shared" si="9"/>
        <v/>
      </c>
      <c r="K46" s="336"/>
      <c r="L46" s="336"/>
      <c r="M46" s="335"/>
      <c r="N46" s="290">
        <f t="shared" si="11"/>
        <v>1</v>
      </c>
      <c r="O46" s="96"/>
      <c r="P46" s="427" t="s">
        <v>124</v>
      </c>
      <c r="Q46" s="427"/>
      <c r="R46" s="427"/>
      <c r="S46" s="88">
        <v>1</v>
      </c>
      <c r="T46" s="106">
        <f>S46*U46</f>
        <v>5.0000000000000001E-3</v>
      </c>
      <c r="U46" s="91">
        <v>5.0000000000000001E-3</v>
      </c>
      <c r="V46" s="19"/>
      <c r="W46" s="19"/>
      <c r="X46" s="19"/>
      <c r="Y46" s="240"/>
    </row>
    <row r="47" spans="1:39" ht="28.35" customHeight="1" thickBot="1" x14ac:dyDescent="0.3">
      <c r="A47" s="377"/>
      <c r="B47" s="364"/>
      <c r="C47" s="363"/>
      <c r="D47" s="365"/>
      <c r="E47" s="379">
        <f>SUM(E26:E46)</f>
        <v>0.8</v>
      </c>
      <c r="F47" s="309">
        <f>SUM(F26:F46)</f>
        <v>56.000000000000007</v>
      </c>
      <c r="G47" s="365"/>
      <c r="H47" s="367"/>
      <c r="I47" s="294">
        <f>SUM(I26:I46)</f>
        <v>1.356582124345301E-2</v>
      </c>
      <c r="J47" s="309">
        <f>SUM(J26:J46)</f>
        <v>0.78092391191077104</v>
      </c>
      <c r="K47" s="365"/>
      <c r="L47" s="331">
        <f>IF(I47="","",I47*60)*IF(LEFT(A47,3)="pei",0.5,1)</f>
        <v>0.81394927460718058</v>
      </c>
      <c r="M47" s="368"/>
      <c r="N47" s="290"/>
      <c r="O47" s="96"/>
      <c r="P47" s="427" t="s">
        <v>125</v>
      </c>
      <c r="Q47" s="427"/>
      <c r="R47" s="427"/>
      <c r="S47" s="88">
        <v>1</v>
      </c>
      <c r="T47" s="115">
        <f>U47*(S47/S42)</f>
        <v>7.0000000000000001E-3</v>
      </c>
      <c r="U47" s="91">
        <v>7.0000000000000001E-3</v>
      </c>
      <c r="V47" s="19"/>
      <c r="W47" s="19"/>
      <c r="X47" s="19"/>
      <c r="Y47" s="240"/>
    </row>
    <row r="48" spans="1:39" ht="17.25" thickBot="1" x14ac:dyDescent="0.3">
      <c r="A48" s="378" t="s">
        <v>441</v>
      </c>
      <c r="B48" s="369">
        <v>0.15</v>
      </c>
      <c r="C48" s="370">
        <f>PRODUCT(B48,60)</f>
        <v>9</v>
      </c>
      <c r="D48" s="351" t="s">
        <v>127</v>
      </c>
      <c r="E48" s="371">
        <v>5</v>
      </c>
      <c r="F48" s="376"/>
      <c r="G48" s="372" t="s">
        <v>128</v>
      </c>
      <c r="H48" s="373">
        <v>0</v>
      </c>
      <c r="I48" s="451"/>
      <c r="J48" s="451"/>
      <c r="K48" s="451"/>
      <c r="L48" s="451"/>
      <c r="M48" s="451"/>
      <c r="N48" s="316"/>
      <c r="O48" s="96" t="str">
        <f>P40</f>
        <v>Poinconnage</v>
      </c>
      <c r="P48" s="97"/>
      <c r="Q48" s="98" t="s">
        <v>129</v>
      </c>
      <c r="R48" s="122">
        <f>SUM(0.2,PRODUCT(0.08,S41))</f>
        <v>0.60000000000000009</v>
      </c>
      <c r="S48" s="99" t="s">
        <v>117</v>
      </c>
      <c r="T48" s="100">
        <f>SUM(T41:T47)*1.3</f>
        <v>4.6043660000000007E-2</v>
      </c>
      <c r="U48" s="123">
        <f>PRODUCT(T48,3600)</f>
        <v>165.75717600000002</v>
      </c>
      <c r="V48" s="19"/>
      <c r="W48" s="19"/>
      <c r="X48" s="19"/>
      <c r="Y48" s="240"/>
    </row>
    <row r="49" spans="1:27" ht="31.5" x14ac:dyDescent="0.25">
      <c r="A49" s="346" t="s">
        <v>132</v>
      </c>
      <c r="B49" s="346" t="s">
        <v>246</v>
      </c>
      <c r="C49" s="346" t="s">
        <v>250</v>
      </c>
      <c r="D49" s="347" t="s">
        <v>133</v>
      </c>
      <c r="E49" s="348" t="s">
        <v>134</v>
      </c>
      <c r="F49" s="348" t="s">
        <v>135</v>
      </c>
      <c r="G49" s="349" t="s">
        <v>136</v>
      </c>
      <c r="H49" s="349" t="s">
        <v>137</v>
      </c>
      <c r="I49" s="349" t="s">
        <v>138</v>
      </c>
      <c r="J49" s="350" t="s">
        <v>17</v>
      </c>
      <c r="K49" s="351" t="s">
        <v>139</v>
      </c>
      <c r="L49" s="461" t="s">
        <v>140</v>
      </c>
      <c r="M49" s="461"/>
      <c r="N49" s="317"/>
      <c r="O49" s="131"/>
      <c r="P49" s="132"/>
      <c r="Q49" s="189"/>
      <c r="R49" s="189"/>
      <c r="S49" s="189"/>
      <c r="T49" s="189"/>
      <c r="U49" s="132"/>
      <c r="V49" s="132"/>
      <c r="W49" s="132"/>
      <c r="X49" s="132"/>
      <c r="Y49" s="245"/>
    </row>
    <row r="50" spans="1:27" ht="19.899999999999999" customHeight="1" x14ac:dyDescent="0.2">
      <c r="A50" s="318"/>
      <c r="B50" s="319"/>
      <c r="C50" s="319"/>
      <c r="D50" s="319"/>
      <c r="E50" s="320">
        <f>IF(AND(J50&gt;0,I50&lt;&gt;0),(A50+B50+C50+D50)/I50,"")</f>
        <v>0</v>
      </c>
      <c r="F50" s="320">
        <f>IF(AND(J50&gt;0,I50&lt;&gt;0),(($H$24*(1-$K$24))+A50+B50+C50+D50)/I50,"")</f>
        <v>1.2066009548749621E-2</v>
      </c>
      <c r="G50" s="310">
        <f>IF(J50&gt;0,PRODUCT($I$47,J50)+$E$47/J50,"")</f>
        <v>0.22945652158810276</v>
      </c>
      <c r="H50" s="310">
        <f>IF(J50&gt;0,L50*J50,"")</f>
        <v>112.93644467998161</v>
      </c>
      <c r="I50" s="321">
        <f>IF(J50&gt;0,SUM(B69,((A50+B50+C50+D50)*1.25),$J$47,$H$24),"")</f>
        <v>6.7224074214274765</v>
      </c>
      <c r="J50" s="311">
        <v>12</v>
      </c>
      <c r="K50" s="359">
        <v>40</v>
      </c>
      <c r="L50" s="462">
        <f>IF(J50&gt;0,(I50*K50%)+I50,"")</f>
        <v>9.4113703899984671</v>
      </c>
      <c r="M50" s="463"/>
      <c r="N50" s="358">
        <f>IF(M14=0,"",L50/M14)</f>
        <v>75.971986337709097</v>
      </c>
      <c r="O50" s="9" t="str">
        <f>CHAR(64+INT(ROW()/45)+1)</f>
        <v>B</v>
      </c>
      <c r="Q50" s="196" t="s">
        <v>45</v>
      </c>
      <c r="R50" s="196" t="s">
        <v>141</v>
      </c>
      <c r="S50" s="196" t="s">
        <v>142</v>
      </c>
      <c r="T50" s="196" t="s">
        <v>8</v>
      </c>
      <c r="U50" s="10"/>
      <c r="V50" s="2" t="s">
        <v>9</v>
      </c>
      <c r="W50" s="2" t="s">
        <v>10</v>
      </c>
      <c r="Z50" s="5">
        <v>1</v>
      </c>
    </row>
    <row r="51" spans="1:27" ht="19.899999999999999" customHeight="1" x14ac:dyDescent="0.25">
      <c r="A51" s="318"/>
      <c r="B51" s="319"/>
      <c r="C51" s="319"/>
      <c r="D51" s="319"/>
      <c r="E51" s="322">
        <f t="shared" ref="E51:E55" si="17">IF(AND(J51&gt;0,I51&lt;&gt;0),(A51+B51+C51+D51)/I51,"")</f>
        <v>0</v>
      </c>
      <c r="F51" s="322">
        <f t="shared" ref="F51:F55" si="18">IF(AND(J51&gt;0,I51&lt;&gt;0),(($H$24*(1-$K$24))+A51+B51+C51+D51)/I51,"")</f>
        <v>1.2066009548749621E-2</v>
      </c>
      <c r="G51" s="312">
        <f t="shared" ref="G51:G55" si="19">IF(J51&gt;0,PRODUCT($I$47,J51)+$E$47/J51,"")</f>
        <v>0.22945652158810276</v>
      </c>
      <c r="H51" s="312">
        <f t="shared" ref="H51:H55" si="20">IF(J51&gt;0,L51*J51,"")</f>
        <v>108.90300022712512</v>
      </c>
      <c r="I51" s="283">
        <f t="shared" ref="I51:I55" si="21">IF(J51&gt;0,SUM(B70,((A51+B51+C51+D51)*1.25),$J$47,$H$24),"")</f>
        <v>6.7224074214274765</v>
      </c>
      <c r="J51" s="313">
        <v>12</v>
      </c>
      <c r="K51" s="360">
        <v>35</v>
      </c>
      <c r="L51" s="462">
        <f t="shared" ref="L51:L55" si="22">IF(J51&gt;0,(I51*K51%)+I51,"")</f>
        <v>9.0752500189270933</v>
      </c>
      <c r="M51" s="463"/>
      <c r="N51" s="358">
        <f>IF(M14=0,"",L51/M14)</f>
        <v>73.258701111362356</v>
      </c>
      <c r="O51" s="18"/>
      <c r="P51" s="19"/>
      <c r="Q51" s="190">
        <v>150</v>
      </c>
      <c r="R51" s="190">
        <v>150</v>
      </c>
      <c r="S51" s="190">
        <v>10</v>
      </c>
      <c r="T51" s="190" t="s">
        <v>23</v>
      </c>
      <c r="U51" s="20">
        <f>VLOOKUP(T51,DensiteMatiere,2,0)</f>
        <v>7.8</v>
      </c>
      <c r="V51" s="19">
        <f>(Q51*R51*S51*U51)/1000000</f>
        <v>1.7549999999999999</v>
      </c>
      <c r="W51" s="19">
        <f>Q51*R51*2/1000000</f>
        <v>4.4999999999999998E-2</v>
      </c>
      <c r="X51" s="19"/>
      <c r="Y51" s="240"/>
    </row>
    <row r="52" spans="1:27" ht="19.899999999999999" customHeight="1" x14ac:dyDescent="0.25">
      <c r="A52" s="318"/>
      <c r="B52" s="319"/>
      <c r="C52" s="319"/>
      <c r="D52" s="319"/>
      <c r="E52" s="322">
        <f t="shared" si="17"/>
        <v>0</v>
      </c>
      <c r="F52" s="322">
        <f t="shared" si="18"/>
        <v>1.2066009548749621E-2</v>
      </c>
      <c r="G52" s="312">
        <f t="shared" si="19"/>
        <v>0.22945652158810276</v>
      </c>
      <c r="H52" s="312">
        <f t="shared" si="20"/>
        <v>104.86955577426863</v>
      </c>
      <c r="I52" s="283">
        <f t="shared" si="21"/>
        <v>6.7224074214274765</v>
      </c>
      <c r="J52" s="313">
        <v>12</v>
      </c>
      <c r="K52" s="360">
        <v>30</v>
      </c>
      <c r="L52" s="462">
        <f t="shared" si="22"/>
        <v>8.7391296478557194</v>
      </c>
      <c r="M52" s="463"/>
      <c r="N52" s="358">
        <f>IF(M14=0,"",L52/M14)</f>
        <v>70.545415885015601</v>
      </c>
      <c r="O52" s="18"/>
      <c r="P52" s="19"/>
      <c r="Q52" s="19"/>
      <c r="R52" s="19"/>
      <c r="S52" s="19"/>
      <c r="T52" s="19"/>
      <c r="U52" s="19"/>
      <c r="V52" s="19"/>
      <c r="W52" s="19"/>
      <c r="X52" s="19"/>
      <c r="Y52" s="240"/>
    </row>
    <row r="53" spans="1:27" ht="19.899999999999999" customHeight="1" x14ac:dyDescent="0.25">
      <c r="A53" s="318"/>
      <c r="B53" s="319"/>
      <c r="C53" s="319"/>
      <c r="D53" s="319"/>
      <c r="E53" s="322">
        <f t="shared" si="17"/>
        <v>0</v>
      </c>
      <c r="F53" s="322">
        <f t="shared" si="18"/>
        <v>1.2066009548749621E-2</v>
      </c>
      <c r="G53" s="312">
        <f t="shared" si="19"/>
        <v>0.22945652158810276</v>
      </c>
      <c r="H53" s="312">
        <f t="shared" si="20"/>
        <v>96.802666868555661</v>
      </c>
      <c r="I53" s="283">
        <f t="shared" si="21"/>
        <v>6.7224074214274765</v>
      </c>
      <c r="J53" s="313">
        <v>12</v>
      </c>
      <c r="K53" s="360">
        <v>20</v>
      </c>
      <c r="L53" s="462">
        <f t="shared" si="22"/>
        <v>8.0668889057129718</v>
      </c>
      <c r="M53" s="463"/>
      <c r="N53" s="358">
        <f>IF(M14=0,"",L53/M14)</f>
        <v>65.11884543232209</v>
      </c>
      <c r="O53" s="18"/>
      <c r="P53" s="19"/>
      <c r="Q53" s="415" t="s">
        <v>143</v>
      </c>
      <c r="R53" s="415"/>
      <c r="S53" s="19"/>
      <c r="T53" s="191" t="s">
        <v>26</v>
      </c>
      <c r="U53" s="19"/>
      <c r="V53" s="19"/>
      <c r="W53" s="19"/>
      <c r="X53" s="19"/>
      <c r="Y53" s="240"/>
    </row>
    <row r="54" spans="1:27" ht="19.899999999999999" customHeight="1" x14ac:dyDescent="0.25">
      <c r="A54" s="318"/>
      <c r="B54" s="319"/>
      <c r="C54" s="319"/>
      <c r="D54" s="319"/>
      <c r="E54" s="322">
        <f t="shared" si="17"/>
        <v>0</v>
      </c>
      <c r="F54" s="322">
        <f t="shared" si="18"/>
        <v>1.2066009548749621E-2</v>
      </c>
      <c r="G54" s="312">
        <f t="shared" si="19"/>
        <v>0.22945652158810276</v>
      </c>
      <c r="H54" s="312">
        <f t="shared" si="20"/>
        <v>88.73577796284269</v>
      </c>
      <c r="I54" s="283">
        <f t="shared" si="21"/>
        <v>6.7224074214274765</v>
      </c>
      <c r="J54" s="313">
        <v>12</v>
      </c>
      <c r="K54" s="360">
        <v>10</v>
      </c>
      <c r="L54" s="462">
        <f t="shared" si="22"/>
        <v>7.3946481635702241</v>
      </c>
      <c r="M54" s="463"/>
      <c r="N54" s="358">
        <f>IF(M14=0,"",L54/M14)</f>
        <v>59.692274979628579</v>
      </c>
      <c r="O54" s="18"/>
      <c r="P54" s="19"/>
      <c r="Q54" s="190">
        <v>10</v>
      </c>
      <c r="R54" s="190">
        <v>10</v>
      </c>
      <c r="S54" s="35"/>
      <c r="T54" s="190">
        <v>0</v>
      </c>
      <c r="U54" s="19"/>
      <c r="V54" s="19"/>
      <c r="W54" s="19"/>
      <c r="X54" s="19"/>
      <c r="Y54" s="240"/>
    </row>
    <row r="55" spans="1:27" ht="19.899999999999999" customHeight="1" thickBot="1" x14ac:dyDescent="0.3">
      <c r="A55" s="352"/>
      <c r="B55" s="353"/>
      <c r="C55" s="353"/>
      <c r="D55" s="353"/>
      <c r="E55" s="323">
        <f t="shared" si="17"/>
        <v>0</v>
      </c>
      <c r="F55" s="323">
        <f t="shared" si="18"/>
        <v>1.2066009548749621E-2</v>
      </c>
      <c r="G55" s="314">
        <f t="shared" si="19"/>
        <v>0.22945652158810276</v>
      </c>
      <c r="H55" s="314">
        <f t="shared" si="20"/>
        <v>84.702333509986204</v>
      </c>
      <c r="I55" s="295">
        <f t="shared" si="21"/>
        <v>6.7224074214274765</v>
      </c>
      <c r="J55" s="315">
        <v>12</v>
      </c>
      <c r="K55" s="361">
        <v>5</v>
      </c>
      <c r="L55" s="462">
        <f t="shared" si="22"/>
        <v>7.0585277924988503</v>
      </c>
      <c r="M55" s="463"/>
      <c r="N55" s="358">
        <f>IF(M14=0,"",L55/M14)</f>
        <v>56.97898975328183</v>
      </c>
      <c r="P55" s="19"/>
      <c r="Q55" s="19"/>
      <c r="R55" s="19"/>
      <c r="S55" s="19"/>
      <c r="T55" s="19"/>
      <c r="U55" s="19"/>
      <c r="V55" s="19"/>
      <c r="W55" s="19"/>
      <c r="X55" s="19"/>
      <c r="Y55" s="240"/>
    </row>
    <row r="56" spans="1:27" ht="17.25" thickBot="1" x14ac:dyDescent="0.3">
      <c r="A56" s="452" t="s">
        <v>144</v>
      </c>
      <c r="B56" s="453"/>
      <c r="C56" s="453"/>
      <c r="D56" s="453"/>
      <c r="E56" s="453"/>
      <c r="F56" s="453"/>
      <c r="G56" s="453"/>
      <c r="H56" s="453"/>
      <c r="I56" s="453"/>
      <c r="J56" s="453"/>
      <c r="K56" s="454"/>
      <c r="L56" s="293"/>
      <c r="M56" s="293"/>
      <c r="N56" s="285"/>
      <c r="P56" s="416" t="s">
        <v>37</v>
      </c>
      <c r="Q56" s="416"/>
      <c r="R56" s="416"/>
      <c r="S56" s="19"/>
      <c r="T56" s="19"/>
      <c r="U56" s="19"/>
      <c r="V56" s="450" t="s">
        <v>38</v>
      </c>
      <c r="W56" s="450"/>
      <c r="X56" s="450"/>
      <c r="Y56" s="246"/>
      <c r="Z56" s="239"/>
      <c r="AA56" s="277"/>
    </row>
    <row r="57" spans="1:27" ht="16.5" customHeight="1" x14ac:dyDescent="0.25">
      <c r="A57" s="455"/>
      <c r="B57" s="456"/>
      <c r="C57" s="456"/>
      <c r="D57" s="456"/>
      <c r="E57" s="456"/>
      <c r="F57" s="456"/>
      <c r="G57" s="456"/>
      <c r="H57" s="456"/>
      <c r="I57" s="456"/>
      <c r="J57" s="456"/>
      <c r="K57" s="457"/>
      <c r="L57" s="31"/>
      <c r="M57" s="144"/>
      <c r="N57" s="285"/>
      <c r="O57" s="44">
        <f>MIN(T61,T62,T64,T65,T67,T68)</f>
        <v>2.1666666666666665</v>
      </c>
      <c r="P57" s="197" t="s">
        <v>44</v>
      </c>
      <c r="Q57" s="197" t="s">
        <v>45</v>
      </c>
      <c r="R57" s="197" t="s">
        <v>46</v>
      </c>
      <c r="S57" s="197" t="s">
        <v>47</v>
      </c>
      <c r="T57" s="197" t="s">
        <v>48</v>
      </c>
      <c r="U57" s="197" t="s">
        <v>49</v>
      </c>
      <c r="V57" s="233" t="s">
        <v>50</v>
      </c>
      <c r="W57" s="233" t="s">
        <v>46</v>
      </c>
      <c r="X57" s="233" t="s">
        <v>9</v>
      </c>
      <c r="Y57" s="247" t="s">
        <v>39</v>
      </c>
      <c r="Z57" s="251" t="s">
        <v>422</v>
      </c>
      <c r="AA57" s="251" t="s">
        <v>423</v>
      </c>
    </row>
    <row r="58" spans="1:27" ht="16.5" customHeight="1" x14ac:dyDescent="0.25">
      <c r="A58" s="455"/>
      <c r="B58" s="456"/>
      <c r="C58" s="456"/>
      <c r="D58" s="456"/>
      <c r="E58" s="456"/>
      <c r="F58" s="456"/>
      <c r="G58" s="456"/>
      <c r="H58" s="456"/>
      <c r="I58" s="456"/>
      <c r="J58" s="456"/>
      <c r="K58" s="457"/>
      <c r="L58" s="292" t="s">
        <v>145</v>
      </c>
      <c r="M58" s="147" t="s">
        <v>34</v>
      </c>
      <c r="N58" s="285"/>
      <c r="O58" s="18"/>
      <c r="P58" s="282" t="s">
        <v>71</v>
      </c>
      <c r="Q58" s="257">
        <v>4000</v>
      </c>
      <c r="R58" s="257">
        <v>2000</v>
      </c>
      <c r="S58" s="257">
        <f>IF(P58="","",(INT((Q58/($Q51+$Q54)))*INT(((R58-$T54)/($R51+$R54)))))</f>
        <v>300</v>
      </c>
      <c r="T58" s="273">
        <f>(Q58*R58*S51*U51)/S58/1000000</f>
        <v>2.08</v>
      </c>
      <c r="U58" s="274">
        <f>IF(P58="","",(($Q58*$R58)-(Q51*R51*$S58))/($Q58*$R58))</f>
        <v>0.15625</v>
      </c>
      <c r="V58" s="253">
        <f>(Q58-Q54*Z58)/Z58</f>
        <v>153.26530612244898</v>
      </c>
      <c r="W58" s="253">
        <f>(R58-R54*AA58)/AA58</f>
        <v>156.66666666666666</v>
      </c>
      <c r="X58" s="256">
        <f>V58*W58*S51*U51/$U$3</f>
        <v>1.8729020408163262</v>
      </c>
      <c r="Y58" s="248">
        <f>Q58*R58*S51*U51/1000000</f>
        <v>624</v>
      </c>
      <c r="Z58" s="254">
        <f>(Q58/(Q54+Q51))-0.5</f>
        <v>24.5</v>
      </c>
      <c r="AA58" s="254">
        <f>(R58/(R51+R54))-0.5</f>
        <v>12</v>
      </c>
    </row>
    <row r="59" spans="1:27" ht="16.5" customHeight="1" x14ac:dyDescent="0.25">
      <c r="A59" s="455"/>
      <c r="B59" s="456"/>
      <c r="C59" s="456"/>
      <c r="D59" s="456"/>
      <c r="E59" s="456"/>
      <c r="F59" s="456"/>
      <c r="G59" s="456"/>
      <c r="H59" s="456"/>
      <c r="I59" s="456"/>
      <c r="J59" s="456"/>
      <c r="K59" s="457"/>
      <c r="L59" s="292" t="s">
        <v>146</v>
      </c>
      <c r="M59" s="147" t="s">
        <v>76</v>
      </c>
      <c r="N59" s="285"/>
      <c r="O59" s="18"/>
      <c r="P59" s="282" t="s">
        <v>71</v>
      </c>
      <c r="Q59" s="257">
        <v>2000</v>
      </c>
      <c r="R59" s="257">
        <v>4000</v>
      </c>
      <c r="S59" s="257">
        <f>IF(P59="","",(INT((Q59/($Q51+$Q54)))*INT(((R59-$T54)/($R51+$R54)))))</f>
        <v>300</v>
      </c>
      <c r="T59" s="273">
        <f>(Q59*R59*S51*U51)/S59/1000000</f>
        <v>2.08</v>
      </c>
      <c r="U59" s="274">
        <f>IF(P59="","",(($Q59*$R59)-(Q51*R51*$S59))/($Q59*$R59))</f>
        <v>0.15625</v>
      </c>
      <c r="V59" s="253">
        <f>(Q59-Q54*Z59)/Z59</f>
        <v>156.66666666666666</v>
      </c>
      <c r="W59" s="253">
        <f>(R59-R54*AA59)/AA59</f>
        <v>153.26530612244898</v>
      </c>
      <c r="X59" s="256">
        <f>V59*W59*S51*U51/$U$3</f>
        <v>1.8729020408163262</v>
      </c>
      <c r="Y59" s="248">
        <f>Q59*R59*S51*U51/1000000</f>
        <v>624</v>
      </c>
      <c r="Z59" s="254">
        <f>Q59/(Q51+Q54)-0.5</f>
        <v>12</v>
      </c>
      <c r="AA59" s="254">
        <f>(R59/(R51+R54))-0.5</f>
        <v>24.5</v>
      </c>
    </row>
    <row r="60" spans="1:27" ht="16.5" customHeight="1" x14ac:dyDescent="0.25">
      <c r="A60" s="455"/>
      <c r="B60" s="456"/>
      <c r="C60" s="456"/>
      <c r="D60" s="456"/>
      <c r="E60" s="456"/>
      <c r="F60" s="456"/>
      <c r="G60" s="456"/>
      <c r="H60" s="456"/>
      <c r="I60" s="456"/>
      <c r="J60" s="456"/>
      <c r="K60" s="457"/>
      <c r="L60" s="292" t="s">
        <v>147</v>
      </c>
      <c r="M60" s="147" t="s">
        <v>35</v>
      </c>
      <c r="N60" s="285"/>
      <c r="O60" s="18"/>
      <c r="P60" s="202"/>
      <c r="Q60" s="202"/>
      <c r="R60" s="202"/>
      <c r="S60" s="202"/>
      <c r="T60" s="202"/>
      <c r="U60" s="275"/>
      <c r="V60" s="252"/>
      <c r="W60" s="252"/>
      <c r="X60" s="278"/>
      <c r="Y60" s="241"/>
      <c r="Z60" s="279"/>
      <c r="AA60" s="280"/>
    </row>
    <row r="61" spans="1:27" ht="16.5" customHeight="1" x14ac:dyDescent="0.25">
      <c r="A61" s="455"/>
      <c r="B61" s="456"/>
      <c r="C61" s="456"/>
      <c r="D61" s="456"/>
      <c r="E61" s="456"/>
      <c r="F61" s="456"/>
      <c r="G61" s="456"/>
      <c r="H61" s="456"/>
      <c r="I61" s="456"/>
      <c r="J61" s="456"/>
      <c r="K61" s="457"/>
      <c r="L61" s="215"/>
      <c r="M61" s="148"/>
      <c r="N61" s="285"/>
      <c r="O61" s="18" t="str">
        <f>IF(T61=$O57,$AE$4,"")</f>
        <v>------&gt;</v>
      </c>
      <c r="P61" s="272" t="s">
        <v>71</v>
      </c>
      <c r="Q61" s="257">
        <v>3000</v>
      </c>
      <c r="R61" s="257">
        <v>1500</v>
      </c>
      <c r="S61" s="257">
        <f>IF(P61="","",(INT((Q61/($Q51:Q51+$Q54)))*INT(((R61-$T54)/($R51+$R54)))))</f>
        <v>162</v>
      </c>
      <c r="T61" s="273">
        <f>(Q61*R61*S51*U51)/S61/1000000</f>
        <v>2.1666666666666665</v>
      </c>
      <c r="U61" s="274">
        <f>IF(P61="","",(($Q61:Q61*$R61)-(Q51*R51*$S61))/($Q61*$R61))</f>
        <v>0.19</v>
      </c>
      <c r="V61" s="253">
        <f>(Q61-Q54*Z61)/Z61</f>
        <v>154.38356164383561</v>
      </c>
      <c r="W61" s="253">
        <f>(R61-R54*AA61)/AA61</f>
        <v>159.01408450704224</v>
      </c>
      <c r="X61" s="256">
        <f>V61*W61*S51*U51/$U$3</f>
        <v>1.914834535983021</v>
      </c>
      <c r="Y61" s="248">
        <f>Q61*R61*S51*U51/1000000</f>
        <v>351</v>
      </c>
      <c r="Z61" s="254">
        <f>(Q61/(Q51+Q54))-0.5</f>
        <v>18.25</v>
      </c>
      <c r="AA61" s="254">
        <f>(R61/(R51+R54))-0.5</f>
        <v>8.875</v>
      </c>
    </row>
    <row r="62" spans="1:27" ht="16.5" customHeight="1" thickBot="1" x14ac:dyDescent="0.3">
      <c r="A62" s="458"/>
      <c r="B62" s="459"/>
      <c r="C62" s="459"/>
      <c r="D62" s="459"/>
      <c r="E62" s="459"/>
      <c r="F62" s="459"/>
      <c r="G62" s="459"/>
      <c r="H62" s="459"/>
      <c r="I62" s="459"/>
      <c r="J62" s="459"/>
      <c r="K62" s="460"/>
      <c r="L62" s="356"/>
      <c r="M62" s="357"/>
      <c r="N62" s="291"/>
      <c r="O62" s="18" t="str">
        <f>IF(T62=$O57,$AE$4,"")</f>
        <v>------&gt;</v>
      </c>
      <c r="P62" s="272" t="s">
        <v>71</v>
      </c>
      <c r="Q62" s="257">
        <v>1500</v>
      </c>
      <c r="R62" s="257">
        <v>3000</v>
      </c>
      <c r="S62" s="257">
        <f>IF(P62="","",(INT((Q62/($Q51+$Q54)))*INT(((R62-$T54)/($R51+$R54)))))</f>
        <v>162</v>
      </c>
      <c r="T62" s="273">
        <f>(Q62*R62*S51*U51)/S62/1000000</f>
        <v>2.1666666666666665</v>
      </c>
      <c r="U62" s="274">
        <f>IF(P62="","",(($Q62*$R62)-(Q51*R51*$S62))/($Q62*$R62))</f>
        <v>0.19</v>
      </c>
      <c r="V62" s="253">
        <f>(Q62-Q54*Z62)/Z62</f>
        <v>159.01408450704224</v>
      </c>
      <c r="W62" s="253">
        <f>(R62-R54*AA62)/AA62</f>
        <v>154.38356164383561</v>
      </c>
      <c r="X62" s="256">
        <f>V62*W62*S51*U51/$U$3</f>
        <v>1.914834535983021</v>
      </c>
      <c r="Y62" s="248">
        <f>Q62*R62*S51*U51/1000000</f>
        <v>351</v>
      </c>
      <c r="Z62" s="254">
        <f>Q62/(Q51+Q54)-0.5</f>
        <v>8.875</v>
      </c>
      <c r="AA62" s="254">
        <f>(R62/(R51+R54))-0.5</f>
        <v>18.25</v>
      </c>
    </row>
    <row r="63" spans="1:27" ht="16.5" customHeight="1" x14ac:dyDescent="0.25">
      <c r="A63" s="188"/>
      <c r="B63" s="188"/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88"/>
      <c r="N63" s="188"/>
      <c r="O63" s="18"/>
      <c r="P63" s="202"/>
      <c r="Q63" s="202"/>
      <c r="R63" s="202"/>
      <c r="S63" s="202"/>
      <c r="T63" s="202"/>
      <c r="U63" s="275"/>
      <c r="V63" s="252"/>
      <c r="W63" s="252"/>
      <c r="X63" s="278"/>
      <c r="Y63" s="241"/>
      <c r="Z63" s="279"/>
      <c r="AA63" s="280"/>
    </row>
    <row r="64" spans="1:27" ht="17.25" customHeight="1" x14ac:dyDescent="0.25">
      <c r="A64" s="188"/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88"/>
      <c r="O64" s="18" t="str">
        <f>IF(T64=$O57,$AE$4,"")</f>
        <v/>
      </c>
      <c r="P64" s="272" t="s">
        <v>71</v>
      </c>
      <c r="Q64" s="257">
        <v>2500</v>
      </c>
      <c r="R64" s="257">
        <v>1250</v>
      </c>
      <c r="S64" s="257">
        <f>IF(P64="","",(INT((Q64/($Q51+$Q54)))*INT(((R64-$T54)/($R51+$R54)))))</f>
        <v>105</v>
      </c>
      <c r="T64" s="273">
        <f>(Q64*R64*S51*U51)/S64/1000000</f>
        <v>2.3214285714285712</v>
      </c>
      <c r="U64" s="274">
        <f>IF(P64="","",(($Q64*$R64)-(Q51*R51*$S64))/($Q64*$R64))</f>
        <v>0.24399999999999999</v>
      </c>
      <c r="V64" s="253">
        <f>(Q64-Q54*Z64)/Z64</f>
        <v>155.28925619834712</v>
      </c>
      <c r="W64" s="253">
        <f>(R64-R54*AA64)/AA64</f>
        <v>155.24520255863538</v>
      </c>
      <c r="X64" s="256">
        <f>V64*W64*S51*U51/$U$3</f>
        <v>1.8804171386279933</v>
      </c>
      <c r="Y64" s="248">
        <f>Q64*R64*S51*U51/1000000</f>
        <v>243.75</v>
      </c>
      <c r="Z64" s="254">
        <f>(Q64/(Q51+Q54))-0.5</f>
        <v>15.125</v>
      </c>
      <c r="AA64" s="254">
        <f>(R64/(R51+$R$8))-0.5</f>
        <v>7.564516129032258</v>
      </c>
    </row>
    <row r="65" spans="2:29" ht="16.5" x14ac:dyDescent="0.25">
      <c r="M65" s="423" t="s">
        <v>148</v>
      </c>
      <c r="N65" s="423"/>
      <c r="O65" s="18" t="str">
        <f>IF(T65=$O57,$AE$4,"")</f>
        <v/>
      </c>
      <c r="P65" s="272" t="s">
        <v>71</v>
      </c>
      <c r="Q65" s="257">
        <v>1250</v>
      </c>
      <c r="R65" s="257">
        <v>2500</v>
      </c>
      <c r="S65" s="257">
        <f>IF(P65="","",(INT((Q65/($Q51+$Q54)))*INT(((R65-$T54)/($R51+$R54)))))</f>
        <v>105</v>
      </c>
      <c r="T65" s="273">
        <f>(Q65*R65*S51*U51)/S65/1000000</f>
        <v>2.3214285714285712</v>
      </c>
      <c r="U65" s="274">
        <f>IF(P65="","",(($Q65*$R65)-(Q51*R51*$S65))/($Q65*$R65))</f>
        <v>0.24399999999999999</v>
      </c>
      <c r="V65" s="253">
        <f>(Q65-Q54*Z65)/Z65</f>
        <v>160.94017094017093</v>
      </c>
      <c r="W65" s="253">
        <f>(R65-R54*AA65)/AA65</f>
        <v>155.28925619834712</v>
      </c>
      <c r="X65" s="256">
        <f>V65*W65*S51*U51/$U$3</f>
        <v>1.9493977961432507</v>
      </c>
      <c r="Y65" s="248">
        <f>Q65*R65*S51*U51/1000000</f>
        <v>243.75</v>
      </c>
      <c r="Z65" s="254">
        <f>Q65/(Q51+Q54)-0.5</f>
        <v>7.3125</v>
      </c>
      <c r="AA65" s="254">
        <f>(R65/(R51+R54))-0.5</f>
        <v>15.125</v>
      </c>
    </row>
    <row r="66" spans="2:29" ht="16.5" x14ac:dyDescent="0.25">
      <c r="M66" s="424" t="s">
        <v>149</v>
      </c>
      <c r="N66" s="424"/>
      <c r="O66" s="18"/>
      <c r="P66" s="202"/>
      <c r="Q66" s="202"/>
      <c r="R66" s="202"/>
      <c r="S66" s="202"/>
      <c r="T66" s="202"/>
      <c r="U66" s="275"/>
      <c r="V66" s="252"/>
      <c r="W66" s="252"/>
      <c r="X66" s="278"/>
      <c r="Y66" s="241"/>
      <c r="Z66" s="279"/>
      <c r="AA66" s="280"/>
    </row>
    <row r="67" spans="2:29" ht="16.5" x14ac:dyDescent="0.25">
      <c r="M67" s="424" t="s">
        <v>150</v>
      </c>
      <c r="N67" s="424"/>
      <c r="O67" s="18" t="str">
        <f>IF(T67=$O57,$AE$4,"")</f>
        <v>------&gt;</v>
      </c>
      <c r="P67" s="272" t="s">
        <v>71</v>
      </c>
      <c r="Q67" s="257">
        <v>2000</v>
      </c>
      <c r="R67" s="257">
        <v>1000</v>
      </c>
      <c r="S67" s="257">
        <f>IF(P67="","",(INT((Q67/($Q51+$Q54)))*INT(((R67-$T54)/($R51+$R54)))))</f>
        <v>72</v>
      </c>
      <c r="T67" s="273">
        <f>(Q67*R67*S51*U51)/S67/1000000</f>
        <v>2.1666666666666665</v>
      </c>
      <c r="U67" s="274">
        <f>IF(P67="","",(($Q67*$R67)-(Q51*R51*$S67))/($Q67*$R67))</f>
        <v>0.19</v>
      </c>
      <c r="V67" s="253">
        <f>(Q67-Q54*Z67)/Z67</f>
        <v>156.66666666666666</v>
      </c>
      <c r="W67" s="253">
        <f>(R67-R54*AA67)/AA67</f>
        <v>163.91304347826087</v>
      </c>
      <c r="X67" s="256">
        <f>V67*W67*S51*U51/$U$3</f>
        <v>2.0030173913043479</v>
      </c>
      <c r="Y67" s="248">
        <f>Q67*R67*S51*U51/1000000</f>
        <v>156</v>
      </c>
      <c r="Z67" s="254">
        <f>(Q67/(Q51+Q54))-0.5</f>
        <v>12</v>
      </c>
      <c r="AA67" s="254">
        <f>(R67/(R51+R54))-0.5</f>
        <v>5.75</v>
      </c>
    </row>
    <row r="68" spans="2:29" ht="23.25" x14ac:dyDescent="0.25">
      <c r="B68" s="153" t="s">
        <v>151</v>
      </c>
      <c r="C68" s="154"/>
      <c r="D68" s="154"/>
      <c r="M68" s="424" t="s">
        <v>152</v>
      </c>
      <c r="N68" s="424"/>
      <c r="O68" s="18" t="str">
        <f>IF(T68=$O57,$AE$4,"")</f>
        <v>------&gt;</v>
      </c>
      <c r="P68" s="272" t="s">
        <v>71</v>
      </c>
      <c r="Q68" s="257">
        <v>1000</v>
      </c>
      <c r="R68" s="257">
        <v>2000</v>
      </c>
      <c r="S68" s="257">
        <f>IF(P68="","",(INT((Q68/($Q51+$Q54)))*INT(((R68-$T54)/($R51+$R54)))))</f>
        <v>72</v>
      </c>
      <c r="T68" s="273">
        <f>(Q68*R68*S51*U51)/S68/1000000</f>
        <v>2.1666666666666665</v>
      </c>
      <c r="U68" s="274">
        <f>IF(P68="","",(($Q68*$R68)-(Q51*R51*$S68))/($Q68*$R68))</f>
        <v>0.19</v>
      </c>
      <c r="V68" s="253">
        <f>(Q68-Q54*Z68)/Z68</f>
        <v>163.91304347826087</v>
      </c>
      <c r="W68" s="253">
        <f>(R68-R54*AA68)/AA68</f>
        <v>156.66666666666666</v>
      </c>
      <c r="X68" s="256">
        <f>V68*W68*S51*U51/$U$3</f>
        <v>2.0030173913043479</v>
      </c>
      <c r="Y68" s="248">
        <f>Q68*R68*S51*U51/1000000</f>
        <v>156</v>
      </c>
      <c r="Z68" s="254">
        <f>Q68/(Q51+Q54)-0.5</f>
        <v>5.75</v>
      </c>
      <c r="AA68" s="254">
        <f>(R68/(R51+R54))-0.5</f>
        <v>12</v>
      </c>
    </row>
    <row r="69" spans="2:29" ht="16.5" x14ac:dyDescent="0.25">
      <c r="B69" s="155">
        <f>IF(J50&lt;&gt;0,(SUM($F$47,$E$48,$C$48,$H$48)/J50),0)</f>
        <v>5.833333333333333</v>
      </c>
      <c r="C69" s="156"/>
      <c r="D69" s="157"/>
      <c r="M69" s="424" t="s">
        <v>153</v>
      </c>
      <c r="N69" s="424"/>
      <c r="O69" s="18"/>
      <c r="P69" s="202"/>
      <c r="Q69" s="202"/>
      <c r="R69" s="202"/>
      <c r="S69" s="202"/>
      <c r="T69" s="202"/>
      <c r="U69" s="275"/>
      <c r="V69" s="252"/>
      <c r="W69" s="252"/>
      <c r="X69" s="278"/>
      <c r="Y69" s="241"/>
      <c r="Z69" s="279"/>
      <c r="AA69" s="280"/>
    </row>
    <row r="70" spans="2:29" ht="16.5" x14ac:dyDescent="0.25">
      <c r="B70" s="155">
        <f>IF(J51&lt;&gt;0,(SUM($F$47,$E$48,$C$48,$H$48)/J51),0)</f>
        <v>5.833333333333333</v>
      </c>
      <c r="C70" s="156"/>
      <c r="D70" s="157"/>
      <c r="O70" s="18"/>
      <c r="P70" s="282" t="s">
        <v>71</v>
      </c>
      <c r="Q70" s="276">
        <v>500</v>
      </c>
      <c r="R70" s="276">
        <v>200</v>
      </c>
      <c r="S70" s="257">
        <f>IF(P70="","",(INT((Q70/($Q51+$Q54)))*INT(((R70-$T54)/($R51+$R54)))))</f>
        <v>3</v>
      </c>
      <c r="T70" s="273">
        <f>(Q70*R70*S51*U51)/S70/1000000</f>
        <v>2.6</v>
      </c>
      <c r="U70" s="274">
        <f>IF(P70="","",(($Q70*$R70)-(Q51*R51*$S70))/($Q70*$R70))</f>
        <v>0.32500000000000001</v>
      </c>
      <c r="V70" s="253">
        <f>(Q70-Q54*Z70)/Z70</f>
        <v>180.47619047619048</v>
      </c>
      <c r="W70" s="253">
        <f>(R70-R54*AA70)/AA70</f>
        <v>256.66666666666669</v>
      </c>
      <c r="X70" s="256">
        <f>V70*W70*S51*U51/$U$3</f>
        <v>3.6131333333333333</v>
      </c>
      <c r="Y70" s="248">
        <f>Q70*R70*S51*U51/1000000</f>
        <v>7.8</v>
      </c>
      <c r="Z70" s="254">
        <f>(Q70/(Q51+Q54))-0.5</f>
        <v>2.625</v>
      </c>
      <c r="AA70" s="254">
        <f>(R70/(R51+R54))-0.5</f>
        <v>0.75</v>
      </c>
      <c r="AC70" s="188"/>
    </row>
    <row r="71" spans="2:29" ht="16.5" x14ac:dyDescent="0.25">
      <c r="B71" s="155">
        <f t="shared" ref="B71:B74" si="23">IF(J52&lt;&gt;0,(SUM($F$47,$E$48,$C$48,$H$48)/J52),0)</f>
        <v>5.833333333333333</v>
      </c>
      <c r="C71" s="156"/>
      <c r="D71" s="157"/>
      <c r="O71" s="18"/>
      <c r="P71" s="282" t="s">
        <v>71</v>
      </c>
      <c r="Q71" s="258">
        <f>R70</f>
        <v>200</v>
      </c>
      <c r="R71" s="258">
        <f>Q70</f>
        <v>500</v>
      </c>
      <c r="S71" s="257">
        <f>IF(P71="","",(INT((Q71/($Q51+$Q54)))*INT(((R71-$T54)/($R51+$R54)))))</f>
        <v>3</v>
      </c>
      <c r="T71" s="273">
        <f>(Q71*R71*S51*U51)/S71/1000000</f>
        <v>2.6</v>
      </c>
      <c r="U71" s="274">
        <f>IF(P71="","",(($Q71*$R71)-(Q51*R51*$S71))/($Q71*$R71))</f>
        <v>0.32500000000000001</v>
      </c>
      <c r="V71" s="253">
        <f>(Q71-Q54*Z71)/Z71</f>
        <v>256.66666666666669</v>
      </c>
      <c r="W71" s="253">
        <f>(R71-R54*AA71)/AA71</f>
        <v>180.47619047619048</v>
      </c>
      <c r="X71" s="256">
        <f>V71*W71*S51*U51/$U$3</f>
        <v>3.6131333333333333</v>
      </c>
      <c r="Y71" s="248">
        <f>Q71*R71*S51*U51/1000000</f>
        <v>7.8</v>
      </c>
      <c r="Z71" s="254">
        <f>Q71/(Q51+Q54)-0.5</f>
        <v>0.75</v>
      </c>
      <c r="AA71" s="254">
        <f>(R71/(R51+R54))-0.5</f>
        <v>2.625</v>
      </c>
      <c r="AB71" s="188"/>
      <c r="AC71" s="188"/>
    </row>
    <row r="72" spans="2:29" ht="17.25" thickBot="1" x14ac:dyDescent="0.3">
      <c r="B72" s="155">
        <f>IF(J53&lt;&gt;0,(SUM($F$47,$E$48,$C$48,$H$48)/J53),0)</f>
        <v>5.833333333333333</v>
      </c>
      <c r="C72" s="156"/>
      <c r="D72" s="157"/>
      <c r="O72" s="5"/>
      <c r="P72" s="19"/>
      <c r="Q72" s="19"/>
      <c r="R72" s="19"/>
      <c r="S72" s="77" t="str">
        <f>IF(UPPER(S76)="OXYGENE","O2","NA")</f>
        <v>O2</v>
      </c>
      <c r="T72" s="255" t="str">
        <f>CONCATENATE(LOWER(T73),"-",S77,"-",T51,"-",S75,"-",S72)</f>
        <v>bystronic3015-0-acier-10-O2</v>
      </c>
      <c r="U72" s="255"/>
      <c r="V72" s="77"/>
      <c r="W72" s="77"/>
      <c r="X72" s="77"/>
      <c r="Y72" s="242"/>
    </row>
    <row r="73" spans="2:29" ht="17.25" thickBot="1" x14ac:dyDescent="0.3">
      <c r="B73" s="155">
        <f t="shared" si="23"/>
        <v>5.833333333333333</v>
      </c>
      <c r="C73" s="156"/>
      <c r="D73" s="157"/>
      <c r="O73" s="5"/>
      <c r="P73" s="19"/>
      <c r="Q73" s="19"/>
      <c r="R73" s="19"/>
      <c r="S73" s="19"/>
      <c r="T73" s="431" t="s">
        <v>99</v>
      </c>
      <c r="U73" s="431" t="e">
        <f>#N/A</f>
        <v>#N/A</v>
      </c>
      <c r="V73" s="432"/>
      <c r="W73" s="432"/>
      <c r="X73" s="433"/>
      <c r="Y73" s="433"/>
    </row>
    <row r="74" spans="2:29" ht="17.25" thickBot="1" x14ac:dyDescent="0.3">
      <c r="B74" s="155">
        <f t="shared" si="23"/>
        <v>5.833333333333333</v>
      </c>
      <c r="C74" s="156"/>
      <c r="D74" s="157"/>
      <c r="O74" s="5"/>
      <c r="P74" s="428" t="s">
        <v>103</v>
      </c>
      <c r="Q74" s="428"/>
      <c r="R74" s="428"/>
      <c r="S74" s="428"/>
      <c r="T74" s="79">
        <f>IF(ISERROR(VLOOKUP(T72,TempsLaser,2,0)),"ERREUR",VLOOKUP(T72,TempsLaser,2,0))</f>
        <v>1500</v>
      </c>
      <c r="U74" s="80" t="s">
        <v>104</v>
      </c>
      <c r="V74" s="81"/>
      <c r="W74" s="82"/>
      <c r="X74" s="81"/>
      <c r="Y74" s="243"/>
    </row>
    <row r="75" spans="2:29" ht="16.5" x14ac:dyDescent="0.25">
      <c r="O75" s="5"/>
      <c r="P75" s="83"/>
      <c r="Q75" s="426" t="s">
        <v>105</v>
      </c>
      <c r="R75" s="426"/>
      <c r="S75" s="84">
        <f>IF(S51&lt;1,1,IF(S51-INT(S51)=0,S51, IF(S51-INT(S51)&lt;=0.5,0.5+INT(S51),1+INT(S51))))</f>
        <v>10</v>
      </c>
      <c r="T75" s="85">
        <f>IF(ISERROR(VLOOKUP(T72,TempsLaser,3,0)),"ERREUR",VLOOKUP(T72,TempsLaser,3,0))</f>
        <v>1000</v>
      </c>
      <c r="U75" s="86" t="s">
        <v>106</v>
      </c>
      <c r="V75" s="87"/>
      <c r="W75" s="82"/>
      <c r="X75" s="87"/>
      <c r="Y75" s="243"/>
    </row>
    <row r="76" spans="2:29" ht="16.5" x14ac:dyDescent="0.25">
      <c r="O76" s="5"/>
      <c r="P76" s="83"/>
      <c r="Q76" s="426" t="s">
        <v>108</v>
      </c>
      <c r="R76" s="426"/>
      <c r="S76" s="88" t="s">
        <v>109</v>
      </c>
      <c r="T76" s="85"/>
      <c r="U76" s="86"/>
      <c r="V76" s="87"/>
      <c r="W76" s="82"/>
      <c r="X76" s="87"/>
      <c r="Y76" s="243"/>
    </row>
    <row r="77" spans="2:29" ht="16.5" x14ac:dyDescent="0.25">
      <c r="O77" s="5"/>
      <c r="P77" s="83"/>
      <c r="Q77" s="425" t="s">
        <v>110</v>
      </c>
      <c r="R77" s="425"/>
      <c r="S77" s="88">
        <v>0</v>
      </c>
      <c r="T77" s="85"/>
      <c r="U77" s="86"/>
      <c r="V77" s="87"/>
      <c r="W77" s="82"/>
      <c r="X77" s="87"/>
      <c r="Y77" s="243"/>
    </row>
    <row r="78" spans="2:29" ht="16.5" x14ac:dyDescent="0.25">
      <c r="O78" s="5"/>
      <c r="P78" s="83"/>
      <c r="Q78" s="426" t="s">
        <v>111</v>
      </c>
      <c r="R78" s="426"/>
      <c r="S78" s="89">
        <f>(Q51+R51)*2</f>
        <v>600</v>
      </c>
      <c r="T78" s="90">
        <f>(S78/T74)/60</f>
        <v>6.6666666666666671E-3</v>
      </c>
      <c r="U78" s="91"/>
      <c r="V78" s="92"/>
      <c r="W78" s="93"/>
      <c r="X78" s="92"/>
      <c r="Y78" s="244"/>
    </row>
    <row r="79" spans="2:29" ht="16.5" x14ac:dyDescent="0.25">
      <c r="O79" s="5"/>
      <c r="P79" s="83"/>
      <c r="Q79" s="426" t="s">
        <v>112</v>
      </c>
      <c r="R79" s="426"/>
      <c r="S79" s="89">
        <v>0</v>
      </c>
      <c r="T79" s="90">
        <f>((S79*40)/T75)/60</f>
        <v>0</v>
      </c>
      <c r="U79" s="91"/>
      <c r="V79" s="92"/>
      <c r="W79" s="93"/>
      <c r="X79" s="92"/>
      <c r="Y79" s="244"/>
    </row>
    <row r="80" spans="2:29" ht="16.5" x14ac:dyDescent="0.25">
      <c r="O80" s="5"/>
      <c r="P80" s="83"/>
      <c r="Q80" s="426" t="s">
        <v>113</v>
      </c>
      <c r="R80" s="426"/>
      <c r="S80" s="88">
        <f>S79+1</f>
        <v>1</v>
      </c>
      <c r="T80" s="90">
        <f>U80*S75*S80</f>
        <v>2.7000000000000001E-3</v>
      </c>
      <c r="U80" s="91">
        <v>2.7E-4</v>
      </c>
      <c r="V80" s="92"/>
      <c r="W80" s="93"/>
      <c r="X80" s="92"/>
      <c r="Y80" s="244"/>
    </row>
    <row r="81" spans="15:26" ht="16.5" x14ac:dyDescent="0.25">
      <c r="O81" s="5"/>
      <c r="P81" s="83"/>
      <c r="Q81" s="426" t="s">
        <v>114</v>
      </c>
      <c r="R81" s="426"/>
      <c r="S81" s="88">
        <v>0</v>
      </c>
      <c r="T81" s="94">
        <v>0</v>
      </c>
      <c r="U81" s="95"/>
      <c r="V81" s="92"/>
      <c r="W81" s="93"/>
      <c r="X81" s="92"/>
      <c r="Y81" s="244"/>
    </row>
    <row r="82" spans="15:26" ht="16.5" x14ac:dyDescent="0.25">
      <c r="O82" s="96"/>
      <c r="P82" s="83"/>
      <c r="Q82" s="426" t="s">
        <v>115</v>
      </c>
      <c r="R82" s="426"/>
      <c r="S82" s="88">
        <v>0</v>
      </c>
      <c r="T82" s="90">
        <f>U82*S82</f>
        <v>0</v>
      </c>
      <c r="U82" s="91">
        <v>4.1000000000000003E-3</v>
      </c>
      <c r="V82" s="92"/>
      <c r="W82" s="93"/>
      <c r="X82" s="92"/>
      <c r="Y82" s="244"/>
    </row>
    <row r="83" spans="15:26" ht="16.5" x14ac:dyDescent="0.25">
      <c r="O83" s="96"/>
      <c r="P83" s="83"/>
      <c r="Q83" s="426" t="s">
        <v>116</v>
      </c>
      <c r="R83" s="426"/>
      <c r="S83" s="89">
        <v>0</v>
      </c>
      <c r="T83" s="90">
        <f>((S78+S79*10)/8000)/60*IF(S83,1,0)</f>
        <v>0</v>
      </c>
      <c r="U83" s="91"/>
      <c r="V83" s="92"/>
      <c r="W83" s="93"/>
      <c r="X83" s="92"/>
      <c r="Y83" s="244"/>
    </row>
    <row r="84" spans="15:26" ht="17.25" thickBot="1" x14ac:dyDescent="0.3">
      <c r="O84" s="96" t="str">
        <f>P74</f>
        <v>LASER</v>
      </c>
      <c r="P84" s="97"/>
      <c r="Q84" s="98"/>
      <c r="R84" s="98"/>
      <c r="S84" s="99" t="s">
        <v>117</v>
      </c>
      <c r="T84" s="100">
        <f>SUM(T78:T83)*1.3</f>
        <v>1.2176666666666667E-2</v>
      </c>
      <c r="U84" s="101"/>
      <c r="V84" s="102"/>
      <c r="W84" s="93"/>
      <c r="X84" s="103"/>
      <c r="Y84" s="244"/>
    </row>
    <row r="85" spans="15:26" ht="17.25" thickBot="1" x14ac:dyDescent="0.3">
      <c r="O85" s="96"/>
      <c r="P85" s="19"/>
      <c r="Q85" s="19"/>
      <c r="R85" s="19"/>
      <c r="S85" s="19"/>
      <c r="T85" s="19"/>
      <c r="U85" s="19"/>
      <c r="V85" s="19"/>
      <c r="W85" s="19"/>
      <c r="X85" s="19"/>
      <c r="Y85" s="240"/>
    </row>
    <row r="86" spans="15:26" ht="17.25" thickBot="1" x14ac:dyDescent="0.3">
      <c r="O86" s="96"/>
      <c r="P86" s="428" t="s">
        <v>118</v>
      </c>
      <c r="Q86" s="428"/>
      <c r="R86" s="428"/>
      <c r="S86" s="428"/>
      <c r="T86" s="428"/>
      <c r="U86" s="428"/>
      <c r="V86" s="19"/>
      <c r="W86" s="19"/>
      <c r="X86" s="19"/>
      <c r="Y86" s="240"/>
    </row>
    <row r="87" spans="15:26" ht="16.5" x14ac:dyDescent="0.25">
      <c r="O87" s="96"/>
      <c r="P87" s="429" t="s">
        <v>119</v>
      </c>
      <c r="Q87" s="429"/>
      <c r="R87" s="429" t="e">
        <f>#N/A</f>
        <v>#N/A</v>
      </c>
      <c r="S87" s="88">
        <v>5</v>
      </c>
      <c r="T87" s="104">
        <f>(S87/S88)*U87</f>
        <v>1.4999999999999999E-2</v>
      </c>
      <c r="U87" s="105">
        <v>3.0000000000000001E-3</v>
      </c>
      <c r="V87" s="19"/>
      <c r="W87" s="19"/>
      <c r="X87" s="19"/>
      <c r="Y87" s="240"/>
    </row>
    <row r="88" spans="15:26" ht="16.5" x14ac:dyDescent="0.25">
      <c r="O88" s="96"/>
      <c r="P88" s="429" t="s">
        <v>120</v>
      </c>
      <c r="Q88" s="429"/>
      <c r="R88" s="429"/>
      <c r="S88" s="88">
        <v>1</v>
      </c>
      <c r="T88" s="106"/>
      <c r="U88" s="91"/>
      <c r="V88" s="19"/>
      <c r="W88" s="19"/>
      <c r="X88" s="19"/>
      <c r="Y88" s="240"/>
    </row>
    <row r="89" spans="15:26" ht="16.5" x14ac:dyDescent="0.25">
      <c r="O89" s="96"/>
      <c r="P89" s="429" t="s">
        <v>121</v>
      </c>
      <c r="Q89" s="429"/>
      <c r="R89" s="429"/>
      <c r="S89" s="88">
        <f>(Q51*2+R51*2)/50+50</f>
        <v>62</v>
      </c>
      <c r="T89" s="106">
        <f>S89*U89</f>
        <v>8.6800000000000002E-3</v>
      </c>
      <c r="U89" s="37">
        <v>1.4000000000000001E-4</v>
      </c>
      <c r="V89" s="19"/>
      <c r="W89" s="19"/>
      <c r="X89" s="19"/>
      <c r="Y89" s="240"/>
    </row>
    <row r="90" spans="15:26" ht="16.5" x14ac:dyDescent="0.25">
      <c r="O90" s="96"/>
      <c r="P90" s="429" t="s">
        <v>122</v>
      </c>
      <c r="Q90" s="429"/>
      <c r="R90" s="429"/>
      <c r="S90" s="88">
        <v>0</v>
      </c>
      <c r="T90" s="106">
        <f>S90*U90</f>
        <v>0</v>
      </c>
      <c r="U90" s="37">
        <v>8.0000000000000004E-4</v>
      </c>
      <c r="V90" s="19"/>
      <c r="W90" s="19"/>
      <c r="X90" s="19"/>
      <c r="Y90" s="240"/>
    </row>
    <row r="91" spans="15:26" ht="16.5" x14ac:dyDescent="0.25">
      <c r="O91" s="96"/>
      <c r="P91" s="429" t="s">
        <v>123</v>
      </c>
      <c r="Q91" s="429"/>
      <c r="R91" s="429"/>
      <c r="S91" s="88">
        <v>0</v>
      </c>
      <c r="T91" s="106">
        <f>S91*U91</f>
        <v>0</v>
      </c>
      <c r="U91" s="91">
        <v>8.0000000000000004E-4</v>
      </c>
      <c r="V91" s="19"/>
      <c r="W91" s="19"/>
      <c r="X91" s="19"/>
      <c r="Y91" s="240"/>
    </row>
    <row r="92" spans="15:26" ht="16.5" x14ac:dyDescent="0.25">
      <c r="O92" s="96"/>
      <c r="P92" s="427" t="s">
        <v>124</v>
      </c>
      <c r="Q92" s="427"/>
      <c r="R92" s="427"/>
      <c r="S92" s="88">
        <v>1</v>
      </c>
      <c r="T92" s="106">
        <f>S92*U92</f>
        <v>5.0000000000000001E-3</v>
      </c>
      <c r="U92" s="91">
        <v>5.0000000000000001E-3</v>
      </c>
      <c r="V92" s="19"/>
      <c r="W92" s="19"/>
      <c r="X92" s="19"/>
      <c r="Y92" s="240"/>
    </row>
    <row r="93" spans="15:26" ht="16.5" x14ac:dyDescent="0.25">
      <c r="O93" s="96"/>
      <c r="P93" s="427" t="s">
        <v>125</v>
      </c>
      <c r="Q93" s="427"/>
      <c r="R93" s="427"/>
      <c r="S93" s="88">
        <v>1</v>
      </c>
      <c r="T93" s="115">
        <f>U93*(S93/S88)</f>
        <v>7.0000000000000001E-3</v>
      </c>
      <c r="U93" s="91">
        <v>7.0000000000000001E-3</v>
      </c>
      <c r="V93" s="19"/>
      <c r="W93" s="19"/>
      <c r="X93" s="19"/>
      <c r="Y93" s="240"/>
    </row>
    <row r="94" spans="15:26" ht="17.25" thickBot="1" x14ac:dyDescent="0.3">
      <c r="O94" s="96" t="str">
        <f>P86</f>
        <v>Poinconnage</v>
      </c>
      <c r="P94" s="97"/>
      <c r="Q94" s="98" t="s">
        <v>129</v>
      </c>
      <c r="R94" s="122">
        <f>SUM(0.2,PRODUCT(0.08,S87))</f>
        <v>0.60000000000000009</v>
      </c>
      <c r="S94" s="99" t="s">
        <v>117</v>
      </c>
      <c r="T94" s="100">
        <f>SUM(T87:T93)*1.3</f>
        <v>4.6384000000000009E-2</v>
      </c>
      <c r="U94" s="123">
        <f>PRODUCT(T94,3600)</f>
        <v>166.98240000000004</v>
      </c>
      <c r="V94" s="19"/>
      <c r="W94" s="19"/>
      <c r="X94" s="19"/>
      <c r="Y94" s="240"/>
    </row>
    <row r="95" spans="15:26" ht="16.5" x14ac:dyDescent="0.25">
      <c r="O95" s="131"/>
      <c r="P95" s="132"/>
      <c r="Q95" s="189"/>
      <c r="R95" s="189"/>
      <c r="S95" s="189"/>
      <c r="T95" s="189"/>
      <c r="U95" s="132"/>
      <c r="V95" s="132"/>
      <c r="W95" s="132"/>
      <c r="X95" s="132"/>
      <c r="Y95" s="245"/>
    </row>
    <row r="96" spans="15:26" x14ac:dyDescent="0.2">
      <c r="O96" s="9" t="str">
        <f>CHAR(64+INT(ROW()/45)+1)</f>
        <v>C</v>
      </c>
      <c r="Q96" s="196" t="s">
        <v>45</v>
      </c>
      <c r="R96" s="196" t="s">
        <v>141</v>
      </c>
      <c r="S96" s="196" t="s">
        <v>142</v>
      </c>
      <c r="T96" s="196" t="s">
        <v>8</v>
      </c>
      <c r="U96" s="10"/>
      <c r="V96" s="2" t="s">
        <v>9</v>
      </c>
      <c r="W96" s="2" t="s">
        <v>10</v>
      </c>
      <c r="Z96" s="5">
        <v>1</v>
      </c>
    </row>
    <row r="97" spans="15:27" ht="16.5" x14ac:dyDescent="0.25">
      <c r="O97" s="18"/>
      <c r="P97" s="19"/>
      <c r="Q97" s="190">
        <v>0</v>
      </c>
      <c r="R97" s="190">
        <v>0</v>
      </c>
      <c r="S97" s="190">
        <v>0</v>
      </c>
      <c r="T97" s="190" t="s">
        <v>23</v>
      </c>
      <c r="U97" s="20">
        <f>VLOOKUP(T97,DensiteMatiere,2,0)</f>
        <v>7.8</v>
      </c>
      <c r="V97" s="19">
        <f>(Q97*R97*S97*U97)/1000000</f>
        <v>0</v>
      </c>
      <c r="W97" s="19">
        <f>Q97*R97*2/1000000</f>
        <v>0</v>
      </c>
      <c r="X97" s="19"/>
      <c r="Y97" s="240"/>
    </row>
    <row r="98" spans="15:27" ht="16.5" x14ac:dyDescent="0.25">
      <c r="O98" s="18"/>
      <c r="P98" s="19"/>
      <c r="Q98" s="19"/>
      <c r="R98" s="19"/>
      <c r="S98" s="19"/>
      <c r="T98" s="19"/>
      <c r="U98" s="19"/>
      <c r="V98" s="19"/>
      <c r="W98" s="19"/>
      <c r="X98" s="19"/>
      <c r="Y98" s="240"/>
    </row>
    <row r="99" spans="15:27" ht="16.5" x14ac:dyDescent="0.25">
      <c r="O99" s="18"/>
      <c r="P99" s="19"/>
      <c r="Q99" s="415" t="s">
        <v>143</v>
      </c>
      <c r="R99" s="415"/>
      <c r="S99" s="19"/>
      <c r="T99" s="191" t="s">
        <v>26</v>
      </c>
      <c r="U99" s="19"/>
      <c r="V99" s="19"/>
      <c r="W99" s="19"/>
      <c r="X99" s="19"/>
      <c r="Y99" s="240"/>
    </row>
    <row r="100" spans="15:27" ht="16.5" x14ac:dyDescent="0.25">
      <c r="O100" s="18"/>
      <c r="P100" s="19"/>
      <c r="Q100" s="190">
        <v>5</v>
      </c>
      <c r="R100" s="190">
        <v>5</v>
      </c>
      <c r="S100" s="35"/>
      <c r="T100" s="190">
        <v>0</v>
      </c>
      <c r="U100" s="19"/>
      <c r="V100" s="19"/>
      <c r="W100" s="19"/>
      <c r="X100" s="19"/>
      <c r="Y100" s="240"/>
    </row>
    <row r="101" spans="15:27" ht="16.5" x14ac:dyDescent="0.25">
      <c r="P101" s="19"/>
      <c r="Q101" s="19"/>
      <c r="R101" s="19"/>
      <c r="S101" s="19"/>
      <c r="T101" s="19"/>
      <c r="U101" s="19"/>
      <c r="V101" s="19"/>
      <c r="W101" s="19"/>
      <c r="X101" s="19"/>
      <c r="Y101" s="240"/>
    </row>
    <row r="102" spans="15:27" ht="16.5" x14ac:dyDescent="0.2">
      <c r="P102" s="464" t="s">
        <v>37</v>
      </c>
      <c r="Q102" s="464"/>
      <c r="R102" s="464"/>
      <c r="S102" s="240"/>
      <c r="T102" s="240"/>
      <c r="U102" s="240"/>
      <c r="V102" s="450" t="s">
        <v>38</v>
      </c>
      <c r="W102" s="450"/>
      <c r="X102" s="450"/>
      <c r="Y102" s="246"/>
      <c r="Z102" s="239"/>
      <c r="AA102" s="277"/>
    </row>
    <row r="103" spans="15:27" ht="16.5" x14ac:dyDescent="0.2">
      <c r="O103" s="44">
        <f>MIN(T107,T108,T110,T111,T113,T114)</f>
        <v>0</v>
      </c>
      <c r="P103" s="250" t="s">
        <v>44</v>
      </c>
      <c r="Q103" s="250" t="s">
        <v>45</v>
      </c>
      <c r="R103" s="250" t="s">
        <v>46</v>
      </c>
      <c r="S103" s="250" t="s">
        <v>47</v>
      </c>
      <c r="T103" s="250" t="s">
        <v>48</v>
      </c>
      <c r="U103" s="250" t="s">
        <v>49</v>
      </c>
      <c r="V103" s="233" t="s">
        <v>50</v>
      </c>
      <c r="W103" s="233" t="s">
        <v>46</v>
      </c>
      <c r="X103" s="233" t="s">
        <v>9</v>
      </c>
      <c r="Y103" s="247" t="s">
        <v>39</v>
      </c>
      <c r="Z103" s="251" t="s">
        <v>422</v>
      </c>
      <c r="AA103" s="251" t="s">
        <v>423</v>
      </c>
    </row>
    <row r="104" spans="15:27" ht="16.5" x14ac:dyDescent="0.2">
      <c r="O104" s="18"/>
      <c r="P104" s="281" t="s">
        <v>71</v>
      </c>
      <c r="Q104" s="233">
        <v>4000</v>
      </c>
      <c r="R104" s="233">
        <v>2000</v>
      </c>
      <c r="S104" s="233">
        <f>IF(P104="","",(INT((Q104/($Q97+$Q100)))*INT(((R104-$T100)/($R97+$R100)))))</f>
        <v>320000</v>
      </c>
      <c r="T104" s="263">
        <f>(Q104*R104*S97*U97)/S104/1000000</f>
        <v>0</v>
      </c>
      <c r="U104" s="264">
        <f>IF(P104="","",(($Q104*$R104)-(Q97*R97*$S104))/($Q104*$R104))</f>
        <v>1</v>
      </c>
      <c r="V104" s="253">
        <f>(Q104-Q100*Z104)/Z104</f>
        <v>3.1269543464665416E-3</v>
      </c>
      <c r="W104" s="253">
        <f>(R104-R100*AA104)/AA104</f>
        <v>6.2578222778473091E-3</v>
      </c>
      <c r="X104" s="256">
        <f>V104*W104*S97*U97/$U$3</f>
        <v>0</v>
      </c>
      <c r="Y104" s="248">
        <f>Q104*R104*S97*U97/1000000</f>
        <v>0</v>
      </c>
      <c r="Z104" s="254">
        <f>(Q104/(Q100+Q97))-0.5</f>
        <v>799.5</v>
      </c>
      <c r="AA104" s="254">
        <f>(R104/(R97+R100))-0.5</f>
        <v>399.5</v>
      </c>
    </row>
    <row r="105" spans="15:27" ht="16.5" x14ac:dyDescent="0.2">
      <c r="O105" s="18"/>
      <c r="P105" s="281" t="s">
        <v>71</v>
      </c>
      <c r="Q105" s="233">
        <v>2000</v>
      </c>
      <c r="R105" s="233">
        <v>4000</v>
      </c>
      <c r="S105" s="233">
        <f>IF(P105="","",(INT((Q105/($Q97+$Q100)))*INT(((R105-$T100)/($R97+$R100)))))</f>
        <v>320000</v>
      </c>
      <c r="T105" s="263">
        <f>(Q105*R105*S97*U97)/S105/1000000</f>
        <v>0</v>
      </c>
      <c r="U105" s="264">
        <f>IF(P105="","",(($Q105*$R105)-(Q97*R97*$S105))/($Q105*$R105))</f>
        <v>1</v>
      </c>
      <c r="V105" s="253">
        <f>(Q105-Q100*Z105)/Z105</f>
        <v>6.2578222778473091E-3</v>
      </c>
      <c r="W105" s="253">
        <f>(R105-R100*AA105)/AA105</f>
        <v>3.1269543464665416E-3</v>
      </c>
      <c r="X105" s="256">
        <f>V105*W105*S97*U97/$U$3</f>
        <v>0</v>
      </c>
      <c r="Y105" s="248">
        <f>Q105*R105*S97*U97/1000000</f>
        <v>0</v>
      </c>
      <c r="Z105" s="254">
        <f>Q105/(Q97+Q100)-0.5</f>
        <v>399.5</v>
      </c>
      <c r="AA105" s="254">
        <f>(R105/(R97+R100))-0.5</f>
        <v>799.5</v>
      </c>
    </row>
    <row r="106" spans="15:27" ht="16.5" x14ac:dyDescent="0.2">
      <c r="O106" s="18"/>
      <c r="P106" s="266"/>
      <c r="Q106" s="266"/>
      <c r="R106" s="266"/>
      <c r="S106" s="266"/>
      <c r="T106" s="266"/>
      <c r="U106" s="267"/>
      <c r="V106" s="252"/>
      <c r="W106" s="252"/>
      <c r="X106" s="278"/>
      <c r="Y106" s="241"/>
      <c r="Z106" s="279"/>
      <c r="AA106" s="280"/>
    </row>
    <row r="107" spans="15:27" ht="16.5" x14ac:dyDescent="0.2">
      <c r="O107" s="18" t="str">
        <f>IF(T107=$O103,$AE$4,"")</f>
        <v>------&gt;</v>
      </c>
      <c r="P107" s="262" t="s">
        <v>71</v>
      </c>
      <c r="Q107" s="233">
        <v>3000</v>
      </c>
      <c r="R107" s="233">
        <v>1500</v>
      </c>
      <c r="S107" s="233">
        <f>IF(P107="","",(INT((Q107/($Q97:Q97+$Q100)))*INT(((R107-$T100)/($R97+$R100)))))</f>
        <v>180000</v>
      </c>
      <c r="T107" s="263">
        <f>(Q107*R107*S97*U97)/S107/1000000</f>
        <v>0</v>
      </c>
      <c r="U107" s="264">
        <f>IF(P107="","",(($Q107:Q107*$R107)-(Q97*R97*$S107))/($Q107*$R107))</f>
        <v>1</v>
      </c>
      <c r="V107" s="253">
        <f>(Q107-Q100*Z107)/Z107</f>
        <v>4.1701417848206837E-3</v>
      </c>
      <c r="W107" s="253">
        <f>(R107-R100*AA107)/AA107</f>
        <v>8.3472454090150246E-3</v>
      </c>
      <c r="X107" s="256">
        <f>V107*W107*S97*U97/$U$3</f>
        <v>0</v>
      </c>
      <c r="Y107" s="248">
        <f>Q107*R107*S97*U97/1000000</f>
        <v>0</v>
      </c>
      <c r="Z107" s="254">
        <f>(Q107/(Q97+Q100))-0.5</f>
        <v>599.5</v>
      </c>
      <c r="AA107" s="254">
        <f>(R107/(R97+R100))-0.5</f>
        <v>299.5</v>
      </c>
    </row>
    <row r="108" spans="15:27" ht="16.5" x14ac:dyDescent="0.2">
      <c r="O108" s="18" t="str">
        <f>IF(T108=$O103,$AE$4,"")</f>
        <v>------&gt;</v>
      </c>
      <c r="P108" s="262" t="s">
        <v>71</v>
      </c>
      <c r="Q108" s="233">
        <v>1500</v>
      </c>
      <c r="R108" s="233">
        <v>3000</v>
      </c>
      <c r="S108" s="233">
        <f>IF(P108="","",(INT((Q108/($Q97+$Q100)))*INT(((R108-$T100)/($R97+$R100)))))</f>
        <v>180000</v>
      </c>
      <c r="T108" s="263">
        <f>(Q108*R108*S97*U97)/S108/1000000</f>
        <v>0</v>
      </c>
      <c r="U108" s="264">
        <f>IF(P108="","",(($Q108*$R108)-(Q97*R97*$S108))/($Q108*$R108))</f>
        <v>1</v>
      </c>
      <c r="V108" s="253">
        <f>(Q108-Q100*Z108)/Z108</f>
        <v>8.3472454090150246E-3</v>
      </c>
      <c r="W108" s="253">
        <f>(R108-R100*AA108)/AA108</f>
        <v>4.1701417848206837E-3</v>
      </c>
      <c r="X108" s="256">
        <f>V108*W108*S97*U97/$U$3</f>
        <v>0</v>
      </c>
      <c r="Y108" s="248">
        <f>Q108*R108*S97*U97/1000000</f>
        <v>0</v>
      </c>
      <c r="Z108" s="254">
        <f>Q108/(Q97+Q100)-0.5</f>
        <v>299.5</v>
      </c>
      <c r="AA108" s="254">
        <f>(R108/(R97+R100))-0.5</f>
        <v>599.5</v>
      </c>
    </row>
    <row r="109" spans="15:27" ht="16.5" x14ac:dyDescent="0.2">
      <c r="O109" s="18"/>
      <c r="P109" s="266"/>
      <c r="Q109" s="266"/>
      <c r="R109" s="266"/>
      <c r="S109" s="266"/>
      <c r="T109" s="266"/>
      <c r="U109" s="267"/>
      <c r="V109" s="252"/>
      <c r="W109" s="252"/>
      <c r="X109" s="278"/>
      <c r="Y109" s="241"/>
      <c r="Z109" s="279"/>
      <c r="AA109" s="280"/>
    </row>
    <row r="110" spans="15:27" ht="16.5" x14ac:dyDescent="0.2">
      <c r="O110" s="18" t="str">
        <f>IF(T110=$O103,$AE$4,"")</f>
        <v>------&gt;</v>
      </c>
      <c r="P110" s="262" t="s">
        <v>71</v>
      </c>
      <c r="Q110" s="233">
        <v>2500</v>
      </c>
      <c r="R110" s="233">
        <v>1250</v>
      </c>
      <c r="S110" s="233">
        <f>IF(P110="","",(INT((Q110/($Q97+$Q100)))*INT(((R110-$T100)/($R97+$R100)))))</f>
        <v>125000</v>
      </c>
      <c r="T110" s="263">
        <f>(Q110*R110*S97*U97)/S110/1000000</f>
        <v>0</v>
      </c>
      <c r="U110" s="264">
        <f>IF(P110="","",(($Q110*$R110)-(Q97*R97*$S110))/($Q110*$R110))</f>
        <v>1</v>
      </c>
      <c r="V110" s="253">
        <f>(Q110-Q100*Z110)/Z110</f>
        <v>5.005005005005005E-3</v>
      </c>
      <c r="W110" s="253">
        <f>(R110-R100*AA110)/AA110</f>
        <v>1.002004008016032E-2</v>
      </c>
      <c r="X110" s="256">
        <f>V110*W110*S97*U97/$U$3</f>
        <v>0</v>
      </c>
      <c r="Y110" s="248">
        <f>Q110*R110*S97*U97/1000000</f>
        <v>0</v>
      </c>
      <c r="Z110" s="254">
        <f>(Q110/(Q97+Q100))-0.5</f>
        <v>499.5</v>
      </c>
      <c r="AA110" s="254">
        <f>(R110/(R97+$R$8))-0.5</f>
        <v>249.5</v>
      </c>
    </row>
    <row r="111" spans="15:27" ht="16.5" x14ac:dyDescent="0.2">
      <c r="O111" s="18" t="str">
        <f>IF(T111=$O103,$AE$4,"")</f>
        <v>------&gt;</v>
      </c>
      <c r="P111" s="262" t="s">
        <v>71</v>
      </c>
      <c r="Q111" s="233">
        <v>1250</v>
      </c>
      <c r="R111" s="233">
        <v>2500</v>
      </c>
      <c r="S111" s="233">
        <f>IF(P111="","",(INT((Q111/($Q97+$Q100)))*INT(((R111-$T100)/($R97+$R100)))))</f>
        <v>125000</v>
      </c>
      <c r="T111" s="263">
        <f>(Q111*R111*S97*U97)/S111/1000000</f>
        <v>0</v>
      </c>
      <c r="U111" s="264">
        <f>IF(P111="","",(($Q111*$R111)-(Q97*R97*$S111))/($Q111*$R111))</f>
        <v>1</v>
      </c>
      <c r="V111" s="253">
        <f>(Q111-Q100*Z111)/Z111</f>
        <v>1.002004008016032E-2</v>
      </c>
      <c r="W111" s="253">
        <f>(R111-R100*AA111)/AA111</f>
        <v>5.005005005005005E-3</v>
      </c>
      <c r="X111" s="256">
        <f>V111*W111*S97*U97/$U$3</f>
        <v>0</v>
      </c>
      <c r="Y111" s="248">
        <f>Q111*R111*S97*U97/1000000</f>
        <v>0</v>
      </c>
      <c r="Z111" s="254">
        <f>Q111/(Q97+Q100)-0.5</f>
        <v>249.5</v>
      </c>
      <c r="AA111" s="254">
        <f>(R111/(R97+R100))-0.5</f>
        <v>499.5</v>
      </c>
    </row>
    <row r="112" spans="15:27" ht="16.5" x14ac:dyDescent="0.2">
      <c r="O112" s="18"/>
      <c r="P112" s="266"/>
      <c r="Q112" s="266"/>
      <c r="R112" s="266"/>
      <c r="S112" s="266"/>
      <c r="T112" s="266"/>
      <c r="U112" s="267"/>
      <c r="V112" s="252"/>
      <c r="W112" s="252"/>
      <c r="X112" s="278"/>
      <c r="Y112" s="241"/>
      <c r="Z112" s="279"/>
      <c r="AA112" s="280"/>
    </row>
    <row r="113" spans="15:27" ht="16.5" x14ac:dyDescent="0.2">
      <c r="O113" s="18" t="str">
        <f>IF(T113=$O103,$AE$4,"")</f>
        <v>------&gt;</v>
      </c>
      <c r="P113" s="262" t="s">
        <v>71</v>
      </c>
      <c r="Q113" s="233">
        <v>2000</v>
      </c>
      <c r="R113" s="233">
        <v>1000</v>
      </c>
      <c r="S113" s="233">
        <f>IF(P113="","",(INT((Q113/($Q97+$Q100)))*INT(((R113-$T100)/($R97+$R100)))))</f>
        <v>80000</v>
      </c>
      <c r="T113" s="263">
        <f>(Q113*R113*S97*U97)/S113/1000000</f>
        <v>0</v>
      </c>
      <c r="U113" s="264">
        <f>IF(P113="","",(($Q113*$R113)-(Q97*R97*$S113))/($Q113*$R113))</f>
        <v>1</v>
      </c>
      <c r="V113" s="253">
        <f>(Q113-Q100*Z113)/Z113</f>
        <v>6.2578222778473091E-3</v>
      </c>
      <c r="W113" s="253">
        <f>(R113-R100*AA113)/AA113</f>
        <v>1.2531328320802004E-2</v>
      </c>
      <c r="X113" s="256">
        <f>V113*W113*S97*U97/$U$3</f>
        <v>0</v>
      </c>
      <c r="Y113" s="248">
        <f>Q113*R113*S97*U97/1000000</f>
        <v>0</v>
      </c>
      <c r="Z113" s="254">
        <f>(Q113/(Q97+Q100))-0.5</f>
        <v>399.5</v>
      </c>
      <c r="AA113" s="254">
        <f>(R113/(R97+R100))-0.5</f>
        <v>199.5</v>
      </c>
    </row>
    <row r="114" spans="15:27" ht="16.5" x14ac:dyDescent="0.2">
      <c r="O114" s="18" t="str">
        <f>IF(T114=$O103,$AE$4,"")</f>
        <v>------&gt;</v>
      </c>
      <c r="P114" s="262" t="s">
        <v>71</v>
      </c>
      <c r="Q114" s="233">
        <v>1000</v>
      </c>
      <c r="R114" s="233">
        <v>2000</v>
      </c>
      <c r="S114" s="233">
        <f>IF(P114="","",(INT((Q114/($Q97+$Q100)))*INT(((R114-$T100)/($R97+$R100)))))</f>
        <v>80000</v>
      </c>
      <c r="T114" s="263">
        <f>(Q114*R114*S97*U97)/S114/1000000</f>
        <v>0</v>
      </c>
      <c r="U114" s="264">
        <f>IF(P114="","",(($Q114*$R114)-(Q97*R97*$S114))/($Q114*$R114))</f>
        <v>1</v>
      </c>
      <c r="V114" s="253">
        <f>(Q114-Q100*Z114)/Z114</f>
        <v>1.2531328320802004E-2</v>
      </c>
      <c r="W114" s="253">
        <f>(R114-R100*AA114)/AA114</f>
        <v>6.2578222778473091E-3</v>
      </c>
      <c r="X114" s="256">
        <f>V114*W114*S97*U97/$U$3</f>
        <v>0</v>
      </c>
      <c r="Y114" s="248">
        <f>Q114*R114*S97*U97/1000000</f>
        <v>0</v>
      </c>
      <c r="Z114" s="254">
        <f>Q114/(Q97+Q100)-0.5</f>
        <v>199.5</v>
      </c>
      <c r="AA114" s="254">
        <f>(R114/(R97+R100))-0.5</f>
        <v>399.5</v>
      </c>
    </row>
    <row r="115" spans="15:27" ht="16.5" x14ac:dyDescent="0.2">
      <c r="O115" s="18"/>
      <c r="P115" s="266"/>
      <c r="Q115" s="266"/>
      <c r="R115" s="266"/>
      <c r="S115" s="266"/>
      <c r="T115" s="266"/>
      <c r="U115" s="267"/>
      <c r="V115" s="252"/>
      <c r="W115" s="252"/>
      <c r="X115" s="278"/>
      <c r="Y115" s="241"/>
      <c r="Z115" s="279"/>
      <c r="AA115" s="280"/>
    </row>
    <row r="116" spans="15:27" ht="16.5" x14ac:dyDescent="0.2">
      <c r="O116" s="18"/>
      <c r="P116" s="281" t="s">
        <v>71</v>
      </c>
      <c r="Q116" s="271">
        <v>500</v>
      </c>
      <c r="R116" s="271">
        <v>200</v>
      </c>
      <c r="S116" s="233">
        <f>IF(P116="","",(INT((Q116/($Q97+$Q100)))*INT(((R116-$T100)/($R97+$R100)))))</f>
        <v>4000</v>
      </c>
      <c r="T116" s="263">
        <f>(Q116*R116*S97*U97)/S116/1000000</f>
        <v>0</v>
      </c>
      <c r="U116" s="264">
        <f>IF(P116="","",(($Q116*$R116)-(Q97*R97*$S116))/($Q116*$R116))</f>
        <v>1</v>
      </c>
      <c r="V116" s="253">
        <f>(Q116-Q100*Z116)/Z116</f>
        <v>2.5125628140703519E-2</v>
      </c>
      <c r="W116" s="253">
        <f>(R116-R100*AA116)/AA116</f>
        <v>6.3291139240506333E-2</v>
      </c>
      <c r="X116" s="256">
        <f>V116*W116*S97*U97/$U$3</f>
        <v>0</v>
      </c>
      <c r="Y116" s="248">
        <f>Q116*R116*S97*U97/1000000</f>
        <v>0</v>
      </c>
      <c r="Z116" s="254">
        <f>(Q116/(Q97+Q100))-0.5</f>
        <v>99.5</v>
      </c>
      <c r="AA116" s="254">
        <f>(R116/(R97+R100))-0.5</f>
        <v>39.5</v>
      </c>
    </row>
    <row r="117" spans="15:27" ht="16.5" x14ac:dyDescent="0.2">
      <c r="O117" s="18"/>
      <c r="P117" s="281" t="s">
        <v>71</v>
      </c>
      <c r="Q117" s="251">
        <f>R116</f>
        <v>200</v>
      </c>
      <c r="R117" s="251">
        <f>Q116</f>
        <v>500</v>
      </c>
      <c r="S117" s="233">
        <f>IF(P117="","",(INT((Q117/($Q97+$Q100)))*INT(((R117-$T100)/($R97+$R100)))))</f>
        <v>4000</v>
      </c>
      <c r="T117" s="263">
        <f>(Q117*R117*S97*U97)/S117/1000000</f>
        <v>0</v>
      </c>
      <c r="U117" s="264">
        <f>IF(P117="","",(($Q117*$R117)-(Q97*R97*$S117))/($Q117*$R117))</f>
        <v>1</v>
      </c>
      <c r="V117" s="253">
        <f>(Q117-Q100*Z117)/Z117</f>
        <v>6.3291139240506333E-2</v>
      </c>
      <c r="W117" s="253">
        <f>(R117-R100*AA117)/AA117</f>
        <v>2.5125628140703519E-2</v>
      </c>
      <c r="X117" s="256">
        <f>V117*W117*S97*U97/$U$3</f>
        <v>0</v>
      </c>
      <c r="Y117" s="248">
        <f>Q117*R117*S97*U97/1000000</f>
        <v>0</v>
      </c>
      <c r="Z117" s="254">
        <f>Q117/(Q97+Q100)-0.5</f>
        <v>39.5</v>
      </c>
      <c r="AA117" s="254">
        <f>(R117/(R97+R100))-0.5</f>
        <v>99.5</v>
      </c>
    </row>
    <row r="118" spans="15:27" ht="17.25" thickBot="1" x14ac:dyDescent="0.3">
      <c r="O118" s="5"/>
      <c r="P118" s="19"/>
      <c r="Q118" s="19"/>
      <c r="R118" s="19"/>
      <c r="S118" s="77" t="str">
        <f>IF(UPPER(S122)="OXYGENE","O2","NA")</f>
        <v>O2</v>
      </c>
      <c r="T118" s="255" t="str">
        <f>CONCATENATE(LOWER(T119),"-",S123,"-",T97,"-",S121,"-",S118)</f>
        <v>bystronic3015-0-acier-1-O2</v>
      </c>
      <c r="U118" s="255"/>
      <c r="V118" s="77"/>
      <c r="W118" s="77"/>
      <c r="X118" s="77"/>
      <c r="Y118" s="242"/>
    </row>
    <row r="119" spans="15:27" ht="17.25" thickBot="1" x14ac:dyDescent="0.3">
      <c r="O119" s="5"/>
      <c r="P119" s="19"/>
      <c r="Q119" s="19"/>
      <c r="R119" s="19"/>
      <c r="S119" s="19"/>
      <c r="T119" s="431" t="s">
        <v>99</v>
      </c>
      <c r="U119" s="431" t="e">
        <f>#N/A</f>
        <v>#N/A</v>
      </c>
      <c r="V119" s="432"/>
      <c r="W119" s="432"/>
      <c r="X119" s="433"/>
      <c r="Y119" s="433"/>
    </row>
    <row r="120" spans="15:27" ht="17.25" thickBot="1" x14ac:dyDescent="0.3">
      <c r="O120" s="5"/>
      <c r="P120" s="428" t="s">
        <v>103</v>
      </c>
      <c r="Q120" s="428"/>
      <c r="R120" s="428"/>
      <c r="S120" s="428"/>
      <c r="T120" s="79">
        <f>IF(ISERROR(VLOOKUP(T118,TempsLaser,2,0)),"ERREUR",VLOOKUP(T118,TempsLaser,2,0))</f>
        <v>8649.9999999999982</v>
      </c>
      <c r="U120" s="80" t="s">
        <v>104</v>
      </c>
      <c r="V120" s="81"/>
      <c r="W120" s="82"/>
      <c r="X120" s="81"/>
      <c r="Y120" s="243"/>
    </row>
    <row r="121" spans="15:27" ht="16.5" x14ac:dyDescent="0.25">
      <c r="O121" s="5"/>
      <c r="P121" s="83"/>
      <c r="Q121" s="426" t="s">
        <v>105</v>
      </c>
      <c r="R121" s="426"/>
      <c r="S121" s="84">
        <f>IF(S97&lt;1,1,IF(S97-INT(S97)=0,S97, IF(S97-INT(S97)&lt;=0.5,0.5+INT(S97),1+INT(S97))))</f>
        <v>1</v>
      </c>
      <c r="T121" s="85">
        <f>IF(ISERROR(VLOOKUP(T118,TempsLaser,3,0)),"ERREUR",VLOOKUP(T118,TempsLaser,3,0))</f>
        <v>7100</v>
      </c>
      <c r="U121" s="86" t="s">
        <v>106</v>
      </c>
      <c r="V121" s="87"/>
      <c r="W121" s="82"/>
      <c r="X121" s="87"/>
      <c r="Y121" s="243"/>
    </row>
    <row r="122" spans="15:27" ht="16.5" x14ac:dyDescent="0.25">
      <c r="O122" s="5"/>
      <c r="P122" s="83"/>
      <c r="Q122" s="426" t="s">
        <v>108</v>
      </c>
      <c r="R122" s="426"/>
      <c r="S122" s="88" t="s">
        <v>109</v>
      </c>
      <c r="T122" s="85"/>
      <c r="U122" s="86"/>
      <c r="V122" s="87"/>
      <c r="W122" s="82"/>
      <c r="X122" s="87"/>
      <c r="Y122" s="243"/>
    </row>
    <row r="123" spans="15:27" ht="16.5" x14ac:dyDescent="0.25">
      <c r="O123" s="5"/>
      <c r="P123" s="83"/>
      <c r="Q123" s="425" t="s">
        <v>110</v>
      </c>
      <c r="R123" s="425"/>
      <c r="S123" s="88">
        <v>0</v>
      </c>
      <c r="T123" s="85"/>
      <c r="U123" s="86"/>
      <c r="V123" s="87"/>
      <c r="W123" s="82"/>
      <c r="X123" s="87"/>
      <c r="Y123" s="243"/>
    </row>
    <row r="124" spans="15:27" ht="16.5" x14ac:dyDescent="0.25">
      <c r="O124" s="5"/>
      <c r="P124" s="83"/>
      <c r="Q124" s="426" t="s">
        <v>111</v>
      </c>
      <c r="R124" s="426"/>
      <c r="S124" s="89">
        <f>(Q97+R97)*2</f>
        <v>0</v>
      </c>
      <c r="T124" s="90">
        <f>(S124/T120)/60</f>
        <v>0</v>
      </c>
      <c r="U124" s="91"/>
      <c r="V124" s="92"/>
      <c r="W124" s="93"/>
      <c r="X124" s="92"/>
      <c r="Y124" s="244"/>
    </row>
    <row r="125" spans="15:27" ht="16.5" x14ac:dyDescent="0.25">
      <c r="O125" s="5"/>
      <c r="P125" s="83"/>
      <c r="Q125" s="426" t="s">
        <v>112</v>
      </c>
      <c r="R125" s="426"/>
      <c r="S125" s="89">
        <v>0</v>
      </c>
      <c r="T125" s="90">
        <f>((S125*40)/T121)/60</f>
        <v>0</v>
      </c>
      <c r="U125" s="91"/>
      <c r="V125" s="92"/>
      <c r="W125" s="93"/>
      <c r="X125" s="92"/>
      <c r="Y125" s="244"/>
    </row>
    <row r="126" spans="15:27" ht="16.5" x14ac:dyDescent="0.25">
      <c r="O126" s="5"/>
      <c r="P126" s="83"/>
      <c r="Q126" s="426" t="s">
        <v>113</v>
      </c>
      <c r="R126" s="426"/>
      <c r="S126" s="88">
        <f>S125+1</f>
        <v>1</v>
      </c>
      <c r="T126" s="90">
        <f>U126*S121*S126</f>
        <v>2.7E-4</v>
      </c>
      <c r="U126" s="91">
        <v>2.7E-4</v>
      </c>
      <c r="V126" s="92"/>
      <c r="W126" s="93"/>
      <c r="X126" s="92"/>
      <c r="Y126" s="244"/>
    </row>
    <row r="127" spans="15:27" ht="16.5" x14ac:dyDescent="0.25">
      <c r="O127" s="5"/>
      <c r="P127" s="83"/>
      <c r="Q127" s="426" t="s">
        <v>114</v>
      </c>
      <c r="R127" s="426"/>
      <c r="S127" s="88">
        <v>0</v>
      </c>
      <c r="T127" s="94">
        <v>0</v>
      </c>
      <c r="U127" s="95"/>
      <c r="V127" s="92"/>
      <c r="W127" s="93"/>
      <c r="X127" s="92"/>
      <c r="Y127" s="244"/>
    </row>
    <row r="128" spans="15:27" ht="16.5" x14ac:dyDescent="0.25">
      <c r="O128" s="96"/>
      <c r="P128" s="83"/>
      <c r="Q128" s="426" t="s">
        <v>115</v>
      </c>
      <c r="R128" s="426"/>
      <c r="S128" s="88">
        <v>0</v>
      </c>
      <c r="T128" s="90">
        <f>U128*S128</f>
        <v>0</v>
      </c>
      <c r="U128" s="91">
        <v>4.1000000000000003E-3</v>
      </c>
      <c r="V128" s="92"/>
      <c r="W128" s="93"/>
      <c r="X128" s="92"/>
      <c r="Y128" s="244"/>
    </row>
    <row r="129" spans="15:26" ht="16.5" x14ac:dyDescent="0.25">
      <c r="O129" s="96"/>
      <c r="P129" s="83"/>
      <c r="Q129" s="426" t="s">
        <v>116</v>
      </c>
      <c r="R129" s="426"/>
      <c r="S129" s="89">
        <v>0</v>
      </c>
      <c r="T129" s="90">
        <f>((S124+S125*10)/8000)/60*IF(S129,1,0)</f>
        <v>0</v>
      </c>
      <c r="U129" s="91"/>
      <c r="V129" s="92"/>
      <c r="W129" s="93"/>
      <c r="X129" s="92"/>
      <c r="Y129" s="244"/>
    </row>
    <row r="130" spans="15:26" ht="17.25" thickBot="1" x14ac:dyDescent="0.3">
      <c r="O130" s="96" t="str">
        <f>P120</f>
        <v>LASER</v>
      </c>
      <c r="P130" s="97"/>
      <c r="Q130" s="98"/>
      <c r="R130" s="98"/>
      <c r="S130" s="99" t="s">
        <v>117</v>
      </c>
      <c r="T130" s="100">
        <f>SUM(T124:T129)*1.3</f>
        <v>3.5100000000000002E-4</v>
      </c>
      <c r="U130" s="101"/>
      <c r="V130" s="102"/>
      <c r="W130" s="93"/>
      <c r="X130" s="103"/>
      <c r="Y130" s="244"/>
    </row>
    <row r="131" spans="15:26" ht="17.25" thickBot="1" x14ac:dyDescent="0.3">
      <c r="O131" s="96"/>
      <c r="P131" s="19"/>
      <c r="Q131" s="19"/>
      <c r="R131" s="19"/>
      <c r="S131" s="19"/>
      <c r="T131" s="19"/>
      <c r="U131" s="19"/>
      <c r="V131" s="19"/>
      <c r="W131" s="19"/>
      <c r="X131" s="19"/>
      <c r="Y131" s="240"/>
    </row>
    <row r="132" spans="15:26" ht="17.25" thickBot="1" x14ac:dyDescent="0.3">
      <c r="O132" s="96"/>
      <c r="P132" s="428" t="s">
        <v>118</v>
      </c>
      <c r="Q132" s="428"/>
      <c r="R132" s="428"/>
      <c r="S132" s="428"/>
      <c r="T132" s="428"/>
      <c r="U132" s="428"/>
      <c r="V132" s="19"/>
      <c r="W132" s="19"/>
      <c r="X132" s="19"/>
      <c r="Y132" s="240"/>
    </row>
    <row r="133" spans="15:26" ht="16.5" x14ac:dyDescent="0.25">
      <c r="O133" s="96"/>
      <c r="P133" s="429" t="s">
        <v>119</v>
      </c>
      <c r="Q133" s="429"/>
      <c r="R133" s="429" t="e">
        <f>#N/A</f>
        <v>#N/A</v>
      </c>
      <c r="S133" s="88">
        <v>5</v>
      </c>
      <c r="T133" s="104">
        <f>(S133/S134)*U133</f>
        <v>1.4999999999999999E-2</v>
      </c>
      <c r="U133" s="105">
        <v>3.0000000000000001E-3</v>
      </c>
      <c r="V133" s="19"/>
      <c r="W133" s="19"/>
      <c r="X133" s="19"/>
      <c r="Y133" s="240"/>
    </row>
    <row r="134" spans="15:26" ht="16.5" x14ac:dyDescent="0.25">
      <c r="O134" s="96"/>
      <c r="P134" s="429" t="s">
        <v>120</v>
      </c>
      <c r="Q134" s="429"/>
      <c r="R134" s="429"/>
      <c r="S134" s="88">
        <v>1</v>
      </c>
      <c r="T134" s="106"/>
      <c r="U134" s="91"/>
      <c r="V134" s="19"/>
      <c r="W134" s="19"/>
      <c r="X134" s="19"/>
      <c r="Y134" s="240"/>
    </row>
    <row r="135" spans="15:26" ht="16.5" x14ac:dyDescent="0.25">
      <c r="O135" s="96"/>
      <c r="P135" s="429" t="s">
        <v>121</v>
      </c>
      <c r="Q135" s="429"/>
      <c r="R135" s="429"/>
      <c r="S135" s="88">
        <f>(Q97*2+R97*2)/50+50</f>
        <v>50</v>
      </c>
      <c r="T135" s="106">
        <f>S135*U135</f>
        <v>7.000000000000001E-3</v>
      </c>
      <c r="U135" s="37">
        <v>1.4000000000000001E-4</v>
      </c>
      <c r="V135" s="19"/>
      <c r="W135" s="19"/>
      <c r="X135" s="19"/>
      <c r="Y135" s="240"/>
    </row>
    <row r="136" spans="15:26" ht="16.5" x14ac:dyDescent="0.25">
      <c r="O136" s="96"/>
      <c r="P136" s="429" t="s">
        <v>122</v>
      </c>
      <c r="Q136" s="429"/>
      <c r="R136" s="429"/>
      <c r="S136" s="88">
        <v>0</v>
      </c>
      <c r="T136" s="106">
        <f>S136*U136</f>
        <v>0</v>
      </c>
      <c r="U136" s="37">
        <v>8.0000000000000004E-4</v>
      </c>
      <c r="V136" s="19"/>
      <c r="W136" s="19"/>
      <c r="X136" s="19"/>
      <c r="Y136" s="240"/>
    </row>
    <row r="137" spans="15:26" ht="16.5" x14ac:dyDescent="0.25">
      <c r="O137" s="96"/>
      <c r="P137" s="429" t="s">
        <v>123</v>
      </c>
      <c r="Q137" s="429"/>
      <c r="R137" s="429"/>
      <c r="S137" s="88">
        <v>0</v>
      </c>
      <c r="T137" s="106">
        <f>S137*U137</f>
        <v>0</v>
      </c>
      <c r="U137" s="91">
        <v>8.0000000000000004E-4</v>
      </c>
      <c r="V137" s="19"/>
      <c r="W137" s="19"/>
      <c r="X137" s="19"/>
      <c r="Y137" s="240"/>
    </row>
    <row r="138" spans="15:26" ht="16.5" x14ac:dyDescent="0.25">
      <c r="O138" s="96"/>
      <c r="P138" s="427" t="s">
        <v>124</v>
      </c>
      <c r="Q138" s="427"/>
      <c r="R138" s="427"/>
      <c r="S138" s="88">
        <v>1</v>
      </c>
      <c r="T138" s="106">
        <f>S138*U138</f>
        <v>5.0000000000000001E-3</v>
      </c>
      <c r="U138" s="91">
        <v>5.0000000000000001E-3</v>
      </c>
      <c r="V138" s="19"/>
      <c r="W138" s="19"/>
      <c r="X138" s="19"/>
      <c r="Y138" s="240"/>
    </row>
    <row r="139" spans="15:26" ht="16.5" x14ac:dyDescent="0.25">
      <c r="O139" s="96"/>
      <c r="P139" s="427" t="s">
        <v>125</v>
      </c>
      <c r="Q139" s="427"/>
      <c r="R139" s="427"/>
      <c r="S139" s="88">
        <v>1</v>
      </c>
      <c r="T139" s="115">
        <f>U139*(S139/S134)</f>
        <v>7.0000000000000001E-3</v>
      </c>
      <c r="U139" s="91">
        <v>7.0000000000000001E-3</v>
      </c>
      <c r="V139" s="19"/>
      <c r="W139" s="19"/>
      <c r="X139" s="19"/>
      <c r="Y139" s="240"/>
    </row>
    <row r="140" spans="15:26" ht="17.25" thickBot="1" x14ac:dyDescent="0.3">
      <c r="O140" s="96" t="str">
        <f>P132</f>
        <v>Poinconnage</v>
      </c>
      <c r="P140" s="97"/>
      <c r="Q140" s="98" t="s">
        <v>129</v>
      </c>
      <c r="R140" s="122">
        <f>SUM(0.2,PRODUCT(0.08,S133))</f>
        <v>0.60000000000000009</v>
      </c>
      <c r="S140" s="99" t="s">
        <v>117</v>
      </c>
      <c r="T140" s="100">
        <f>SUM(T133:T139)*1.3</f>
        <v>4.4200000000000003E-2</v>
      </c>
      <c r="U140" s="123">
        <f>PRODUCT(T140,3600)</f>
        <v>159.12</v>
      </c>
      <c r="V140" s="19"/>
      <c r="W140" s="19"/>
      <c r="X140" s="19"/>
      <c r="Y140" s="240"/>
    </row>
    <row r="141" spans="15:26" ht="16.5" x14ac:dyDescent="0.25">
      <c r="O141" s="131"/>
      <c r="P141" s="132"/>
      <c r="Q141" s="189"/>
      <c r="R141" s="189"/>
      <c r="S141" s="189"/>
      <c r="T141" s="189"/>
      <c r="U141" s="132"/>
      <c r="V141" s="132"/>
      <c r="W141" s="132"/>
      <c r="X141" s="132"/>
      <c r="Y141" s="245"/>
    </row>
    <row r="142" spans="15:26" x14ac:dyDescent="0.2">
      <c r="O142" s="9" t="str">
        <f>CHAR(64+INT(ROW()/45)+1)</f>
        <v>D</v>
      </c>
      <c r="Q142" s="196" t="s">
        <v>45</v>
      </c>
      <c r="R142" s="196" t="s">
        <v>141</v>
      </c>
      <c r="S142" s="196" t="s">
        <v>142</v>
      </c>
      <c r="T142" s="196" t="s">
        <v>8</v>
      </c>
      <c r="U142" s="10"/>
      <c r="V142" s="2" t="s">
        <v>9</v>
      </c>
      <c r="W142" s="2" t="s">
        <v>10</v>
      </c>
      <c r="Z142" s="5">
        <v>1</v>
      </c>
    </row>
    <row r="143" spans="15:26" ht="16.5" x14ac:dyDescent="0.25">
      <c r="O143" s="18"/>
      <c r="P143" s="19"/>
      <c r="Q143" s="190">
        <v>0</v>
      </c>
      <c r="R143" s="190">
        <v>0</v>
      </c>
      <c r="S143" s="190">
        <v>0</v>
      </c>
      <c r="T143" s="190" t="s">
        <v>23</v>
      </c>
      <c r="U143" s="20">
        <f>VLOOKUP(T143,DensiteMatiere,2,0)</f>
        <v>7.8</v>
      </c>
      <c r="V143" s="19">
        <f>(Q143*R143*S143*U143)/1000000</f>
        <v>0</v>
      </c>
      <c r="W143" s="19">
        <f>Q143*R143*2/1000000</f>
        <v>0</v>
      </c>
      <c r="X143" s="19"/>
      <c r="Y143" s="240"/>
    </row>
    <row r="144" spans="15:26" ht="16.5" x14ac:dyDescent="0.25">
      <c r="O144" s="18"/>
      <c r="P144" s="19"/>
      <c r="Q144" s="19"/>
      <c r="R144" s="19"/>
      <c r="S144" s="19"/>
      <c r="T144" s="19"/>
      <c r="U144" s="19"/>
      <c r="V144" s="19"/>
      <c r="W144" s="19"/>
      <c r="X144" s="19"/>
      <c r="Y144" s="240"/>
    </row>
    <row r="145" spans="15:27" ht="16.5" x14ac:dyDescent="0.25">
      <c r="O145" s="18"/>
      <c r="P145" s="19"/>
      <c r="Q145" s="415" t="s">
        <v>143</v>
      </c>
      <c r="R145" s="415"/>
      <c r="S145" s="19"/>
      <c r="T145" s="191" t="s">
        <v>26</v>
      </c>
      <c r="U145" s="19"/>
      <c r="V145" s="19"/>
      <c r="W145" s="19"/>
      <c r="X145" s="19"/>
      <c r="Y145" s="240"/>
    </row>
    <row r="146" spans="15:27" ht="16.5" x14ac:dyDescent="0.25">
      <c r="O146" s="18"/>
      <c r="P146" s="19"/>
      <c r="Q146" s="190">
        <v>5</v>
      </c>
      <c r="R146" s="190">
        <v>5</v>
      </c>
      <c r="S146" s="35"/>
      <c r="T146" s="190">
        <v>0</v>
      </c>
      <c r="U146" s="19"/>
      <c r="V146" s="19"/>
      <c r="W146" s="19"/>
      <c r="X146" s="19"/>
      <c r="Y146" s="240"/>
    </row>
    <row r="147" spans="15:27" ht="16.5" x14ac:dyDescent="0.25">
      <c r="P147" s="19"/>
      <c r="Q147" s="19"/>
      <c r="R147" s="19"/>
      <c r="S147" s="19"/>
      <c r="T147" s="19"/>
      <c r="U147" s="19"/>
      <c r="V147" s="19"/>
      <c r="W147" s="19"/>
      <c r="X147" s="19"/>
      <c r="Y147" s="240"/>
    </row>
    <row r="148" spans="15:27" ht="16.5" x14ac:dyDescent="0.2">
      <c r="P148" s="464" t="s">
        <v>37</v>
      </c>
      <c r="Q148" s="464"/>
      <c r="R148" s="464"/>
      <c r="S148" s="240"/>
      <c r="T148" s="240"/>
      <c r="U148" s="240"/>
      <c r="V148" s="450" t="s">
        <v>38</v>
      </c>
      <c r="W148" s="450"/>
      <c r="X148" s="450"/>
      <c r="Y148" s="246"/>
      <c r="Z148" s="239"/>
      <c r="AA148" s="277"/>
    </row>
    <row r="149" spans="15:27" ht="16.5" x14ac:dyDescent="0.2">
      <c r="O149" s="44">
        <f>MIN(T153,T154,T156,T157,T159,T160)</f>
        <v>0</v>
      </c>
      <c r="P149" s="250" t="s">
        <v>44</v>
      </c>
      <c r="Q149" s="250" t="s">
        <v>45</v>
      </c>
      <c r="R149" s="250" t="s">
        <v>46</v>
      </c>
      <c r="S149" s="250" t="s">
        <v>47</v>
      </c>
      <c r="T149" s="250" t="s">
        <v>48</v>
      </c>
      <c r="U149" s="250" t="s">
        <v>49</v>
      </c>
      <c r="V149" s="233" t="s">
        <v>50</v>
      </c>
      <c r="W149" s="233" t="s">
        <v>46</v>
      </c>
      <c r="X149" s="233" t="s">
        <v>9</v>
      </c>
      <c r="Y149" s="247" t="s">
        <v>39</v>
      </c>
      <c r="Z149" s="251" t="s">
        <v>422</v>
      </c>
      <c r="AA149" s="251" t="s">
        <v>423</v>
      </c>
    </row>
    <row r="150" spans="15:27" ht="16.5" x14ac:dyDescent="0.2">
      <c r="O150" s="18"/>
      <c r="P150" s="281" t="s">
        <v>71</v>
      </c>
      <c r="Q150" s="233">
        <v>4000</v>
      </c>
      <c r="R150" s="233">
        <v>2000</v>
      </c>
      <c r="S150" s="233">
        <f>IF(P150="","",(INT((Q150/($Q143+$Q146)))*INT(((R150-$T146)/($R143+$R146)))))</f>
        <v>320000</v>
      </c>
      <c r="T150" s="263">
        <f>(Q150*R150*S143*U143)/S150/1000000</f>
        <v>0</v>
      </c>
      <c r="U150" s="264">
        <f>IF(P150="","",(($Q150*$R150)-(Q143*R143*$S150))/($Q150*$R150))</f>
        <v>1</v>
      </c>
      <c r="V150" s="253">
        <f>(Q150-Q146*Z150)/Z150</f>
        <v>3.1269543464665416E-3</v>
      </c>
      <c r="W150" s="253">
        <f>(R150-R146*AA150)/AA150</f>
        <v>6.2578222778473091E-3</v>
      </c>
      <c r="X150" s="256">
        <f>V150*W150*S143*U143/$U$3</f>
        <v>0</v>
      </c>
      <c r="Y150" s="248">
        <f>Q150*R150*S143*U143/1000000</f>
        <v>0</v>
      </c>
      <c r="Z150" s="254">
        <f>(Q150/(Q146+Q143))-0.5</f>
        <v>799.5</v>
      </c>
      <c r="AA150" s="254">
        <f>(R150/(R143+R146))-0.5</f>
        <v>399.5</v>
      </c>
    </row>
    <row r="151" spans="15:27" ht="16.5" x14ac:dyDescent="0.2">
      <c r="O151" s="18"/>
      <c r="P151" s="281" t="s">
        <v>71</v>
      </c>
      <c r="Q151" s="233">
        <v>2000</v>
      </c>
      <c r="R151" s="233">
        <v>4000</v>
      </c>
      <c r="S151" s="233">
        <f>IF(P151="","",(INT((Q151/($Q143+$Q146)))*INT(((R151-$T146)/($R143+$R146)))))</f>
        <v>320000</v>
      </c>
      <c r="T151" s="263">
        <f>(Q151*R151*S143*U143)/S151/1000000</f>
        <v>0</v>
      </c>
      <c r="U151" s="264">
        <f>IF(P151="","",(($Q151*$R151)-(Q143*R143*$S151))/($Q151*$R151))</f>
        <v>1</v>
      </c>
      <c r="V151" s="253">
        <f>(Q151-Q146*Z151)/Z151</f>
        <v>6.2578222778473091E-3</v>
      </c>
      <c r="W151" s="253">
        <f>(R151-R146*AA151)/AA151</f>
        <v>3.1269543464665416E-3</v>
      </c>
      <c r="X151" s="256">
        <f>V151*W151*S143*U143/$U$3</f>
        <v>0</v>
      </c>
      <c r="Y151" s="248">
        <f>Q151*R151*S143*U143/1000000</f>
        <v>0</v>
      </c>
      <c r="Z151" s="254">
        <f>Q151/(Q143+Q146)-0.5</f>
        <v>399.5</v>
      </c>
      <c r="AA151" s="254">
        <f>(R151/(R143+R146))-0.5</f>
        <v>799.5</v>
      </c>
    </row>
    <row r="152" spans="15:27" ht="16.5" x14ac:dyDescent="0.2">
      <c r="O152" s="18"/>
      <c r="P152" s="266"/>
      <c r="Q152" s="266"/>
      <c r="R152" s="266"/>
      <c r="S152" s="266"/>
      <c r="T152" s="266"/>
      <c r="U152" s="267"/>
      <c r="V152" s="252"/>
      <c r="W152" s="252"/>
      <c r="X152" s="278"/>
      <c r="Y152" s="241"/>
      <c r="Z152" s="279"/>
      <c r="AA152" s="280"/>
    </row>
    <row r="153" spans="15:27" ht="16.5" x14ac:dyDescent="0.2">
      <c r="O153" s="18" t="str">
        <f>IF(T153=$O149,$AE$4,"")</f>
        <v>------&gt;</v>
      </c>
      <c r="P153" s="262" t="s">
        <v>71</v>
      </c>
      <c r="Q153" s="233">
        <v>3000</v>
      </c>
      <c r="R153" s="233">
        <v>1500</v>
      </c>
      <c r="S153" s="233">
        <f>IF(P153="","",(INT((Q153/($Q143:Q143+$Q146)))*INT(((R153-$T146)/($R143+$R146)))))</f>
        <v>180000</v>
      </c>
      <c r="T153" s="263">
        <f>(Q153*R153*S143*U143)/S153/1000000</f>
        <v>0</v>
      </c>
      <c r="U153" s="264">
        <f>IF(P153="","",(($Q153:Q153*$R153)-(Q143*R143*$S153))/($Q153*$R153))</f>
        <v>1</v>
      </c>
      <c r="V153" s="253">
        <f>(Q153-Q146*Z153)/Z153</f>
        <v>4.1701417848206837E-3</v>
      </c>
      <c r="W153" s="253">
        <f>(R153-R146*AA153)/AA153</f>
        <v>8.3472454090150246E-3</v>
      </c>
      <c r="X153" s="256">
        <f>V153*W153*S143*U143/$U$3</f>
        <v>0</v>
      </c>
      <c r="Y153" s="248">
        <f>Q153*R153*S143*U143/1000000</f>
        <v>0</v>
      </c>
      <c r="Z153" s="254">
        <f>(Q153/(Q143+Q146))-0.5</f>
        <v>599.5</v>
      </c>
      <c r="AA153" s="254">
        <f>(R153/(R143+R146))-0.5</f>
        <v>299.5</v>
      </c>
    </row>
    <row r="154" spans="15:27" ht="16.5" x14ac:dyDescent="0.2">
      <c r="O154" s="18" t="str">
        <f>IF(T154=$O149,$AE$4,"")</f>
        <v>------&gt;</v>
      </c>
      <c r="P154" s="262" t="s">
        <v>71</v>
      </c>
      <c r="Q154" s="233">
        <v>1500</v>
      </c>
      <c r="R154" s="233">
        <v>3000</v>
      </c>
      <c r="S154" s="233">
        <f>IF(P154="","",(INT((Q154/($Q143+$Q146)))*INT(((R154-$T146)/($R143+$R146)))))</f>
        <v>180000</v>
      </c>
      <c r="T154" s="263">
        <f>(Q154*R154*S143*U143)/S154/1000000</f>
        <v>0</v>
      </c>
      <c r="U154" s="264">
        <f>IF(P154="","",(($Q154*$R154)-(Q143*R143*$S154))/($Q154*$R154))</f>
        <v>1</v>
      </c>
      <c r="V154" s="253">
        <f>(Q154-Q146*Z154)/Z154</f>
        <v>8.3472454090150246E-3</v>
      </c>
      <c r="W154" s="253">
        <f>(R154-R146*AA154)/AA154</f>
        <v>4.1701417848206837E-3</v>
      </c>
      <c r="X154" s="256">
        <f>V154*W154*S143*U143/$U$3</f>
        <v>0</v>
      </c>
      <c r="Y154" s="248">
        <f>Q154*R154*S143*U143/1000000</f>
        <v>0</v>
      </c>
      <c r="Z154" s="254">
        <f>Q154/(Q143+Q146)-0.5</f>
        <v>299.5</v>
      </c>
      <c r="AA154" s="254">
        <f>(R154/(R143+R146))-0.5</f>
        <v>599.5</v>
      </c>
    </row>
    <row r="155" spans="15:27" ht="16.5" x14ac:dyDescent="0.2">
      <c r="O155" s="18"/>
      <c r="P155" s="266"/>
      <c r="Q155" s="266"/>
      <c r="R155" s="266"/>
      <c r="S155" s="266"/>
      <c r="T155" s="266"/>
      <c r="U155" s="267"/>
      <c r="V155" s="252"/>
      <c r="W155" s="252"/>
      <c r="X155" s="278"/>
      <c r="Y155" s="241"/>
      <c r="Z155" s="279"/>
      <c r="AA155" s="280"/>
    </row>
    <row r="156" spans="15:27" ht="16.5" x14ac:dyDescent="0.2">
      <c r="O156" s="18" t="str">
        <f>IF(T156=$O149,$AE$4,"")</f>
        <v>------&gt;</v>
      </c>
      <c r="P156" s="262" t="s">
        <v>71</v>
      </c>
      <c r="Q156" s="233">
        <v>2500</v>
      </c>
      <c r="R156" s="233">
        <v>1250</v>
      </c>
      <c r="S156" s="233">
        <f>IF(P156="","",(INT((Q156/($Q143+$Q146)))*INT(((R156-$T146)/($R143+$R146)))))</f>
        <v>125000</v>
      </c>
      <c r="T156" s="263">
        <f>(Q156*R156*S143*U143)/S156/1000000</f>
        <v>0</v>
      </c>
      <c r="U156" s="264">
        <f>IF(P156="","",(($Q156*$R156)-(Q143*R143*$S156))/($Q156*$R156))</f>
        <v>1</v>
      </c>
      <c r="V156" s="253">
        <f>(Q156-Q146*Z156)/Z156</f>
        <v>5.005005005005005E-3</v>
      </c>
      <c r="W156" s="253">
        <f>(R156-R146*AA156)/AA156</f>
        <v>1.002004008016032E-2</v>
      </c>
      <c r="X156" s="256">
        <f>V156*W156*S143*U143/$U$3</f>
        <v>0</v>
      </c>
      <c r="Y156" s="248">
        <f>Q156*R156*S143*U143/1000000</f>
        <v>0</v>
      </c>
      <c r="Z156" s="254">
        <f>(Q156/(Q143+Q146))-0.5</f>
        <v>499.5</v>
      </c>
      <c r="AA156" s="254">
        <f>(R156/(R143+$R$8))-0.5</f>
        <v>249.5</v>
      </c>
    </row>
    <row r="157" spans="15:27" ht="16.5" x14ac:dyDescent="0.2">
      <c r="O157" s="18" t="str">
        <f>IF(T157=$O149,$AE$4,"")</f>
        <v>------&gt;</v>
      </c>
      <c r="P157" s="262" t="s">
        <v>71</v>
      </c>
      <c r="Q157" s="233">
        <v>1250</v>
      </c>
      <c r="R157" s="233">
        <v>2500</v>
      </c>
      <c r="S157" s="233">
        <f>IF(P157="","",(INT((Q157/($Q143+$Q146)))*INT(((R157-$T146)/($R143+$R146)))))</f>
        <v>125000</v>
      </c>
      <c r="T157" s="263">
        <f>(Q157*R157*S143*U143)/S157/1000000</f>
        <v>0</v>
      </c>
      <c r="U157" s="264">
        <f>IF(P157="","",(($Q157*$R157)-(Q143*R143*$S157))/($Q157*$R157))</f>
        <v>1</v>
      </c>
      <c r="V157" s="253">
        <f>(Q157-Q146*Z157)/Z157</f>
        <v>1.002004008016032E-2</v>
      </c>
      <c r="W157" s="253">
        <f>(R157-R146*AA157)/AA157</f>
        <v>5.005005005005005E-3</v>
      </c>
      <c r="X157" s="256">
        <f>V157*W157*S143*U143/$U$3</f>
        <v>0</v>
      </c>
      <c r="Y157" s="248">
        <f>Q157*R157*S143*U143/1000000</f>
        <v>0</v>
      </c>
      <c r="Z157" s="254">
        <f>Q157/(Q143+Q146)-0.5</f>
        <v>249.5</v>
      </c>
      <c r="AA157" s="254">
        <f>(R157/(R143+R146))-0.5</f>
        <v>499.5</v>
      </c>
    </row>
    <row r="158" spans="15:27" ht="16.5" x14ac:dyDescent="0.2">
      <c r="O158" s="18"/>
      <c r="P158" s="266"/>
      <c r="Q158" s="266"/>
      <c r="R158" s="266"/>
      <c r="S158" s="266"/>
      <c r="T158" s="266"/>
      <c r="U158" s="267"/>
      <c r="V158" s="252"/>
      <c r="W158" s="252"/>
      <c r="X158" s="278"/>
      <c r="Y158" s="241"/>
      <c r="Z158" s="279"/>
      <c r="AA158" s="280"/>
    </row>
    <row r="159" spans="15:27" ht="16.5" x14ac:dyDescent="0.2">
      <c r="O159" s="18" t="str">
        <f>IF(T159=$O149,$AE$4,"")</f>
        <v>------&gt;</v>
      </c>
      <c r="P159" s="262" t="s">
        <v>71</v>
      </c>
      <c r="Q159" s="233">
        <v>2000</v>
      </c>
      <c r="R159" s="233">
        <v>1000</v>
      </c>
      <c r="S159" s="233">
        <f>IF(P159="","",(INT((Q159/($Q143+$Q146)))*INT(((R159-$T146)/($R143+$R146)))))</f>
        <v>80000</v>
      </c>
      <c r="T159" s="263">
        <f>(Q159*R159*S143*U143)/S159/1000000</f>
        <v>0</v>
      </c>
      <c r="U159" s="264">
        <f>IF(P159="","",(($Q159*$R159)-(Q143*R143*$S159))/($Q159*$R159))</f>
        <v>1</v>
      </c>
      <c r="V159" s="253">
        <f>(Q159-Q146*Z159)/Z159</f>
        <v>6.2578222778473091E-3</v>
      </c>
      <c r="W159" s="253">
        <f>(R159-R146*AA159)/AA159</f>
        <v>1.2531328320802004E-2</v>
      </c>
      <c r="X159" s="256">
        <f>V159*W159*S143*U143/$U$3</f>
        <v>0</v>
      </c>
      <c r="Y159" s="248">
        <f>Q159*R159*S143*U143/1000000</f>
        <v>0</v>
      </c>
      <c r="Z159" s="254">
        <f>(Q159/(Q143+Q146))-0.5</f>
        <v>399.5</v>
      </c>
      <c r="AA159" s="254">
        <f>(R159/(R143+R146))-0.5</f>
        <v>199.5</v>
      </c>
    </row>
    <row r="160" spans="15:27" ht="16.5" x14ac:dyDescent="0.2">
      <c r="O160" s="18" t="str">
        <f>IF(T160=$O149,$AE$4,"")</f>
        <v>------&gt;</v>
      </c>
      <c r="P160" s="262" t="s">
        <v>71</v>
      </c>
      <c r="Q160" s="233">
        <v>1000</v>
      </c>
      <c r="R160" s="233">
        <v>2000</v>
      </c>
      <c r="S160" s="233">
        <f>IF(P160="","",(INT((Q160/($Q143+$Q146)))*INT(((R160-$T146)/($R143+$R146)))))</f>
        <v>80000</v>
      </c>
      <c r="T160" s="263">
        <f>(Q160*R160*S143*U143)/S160/1000000</f>
        <v>0</v>
      </c>
      <c r="U160" s="264">
        <f>IF(P160="","",(($Q160*$R160)-(Q143*R143*$S160))/($Q160*$R160))</f>
        <v>1</v>
      </c>
      <c r="V160" s="253">
        <f>(Q160-Q146*Z160)/Z160</f>
        <v>1.2531328320802004E-2</v>
      </c>
      <c r="W160" s="253">
        <f>(R160-R146*AA160)/AA160</f>
        <v>6.2578222778473091E-3</v>
      </c>
      <c r="X160" s="256">
        <f>V160*W160*S143*U143/$U$3</f>
        <v>0</v>
      </c>
      <c r="Y160" s="248">
        <f>Q160*R160*S143*U143/1000000</f>
        <v>0</v>
      </c>
      <c r="Z160" s="254">
        <f>Q160/(Q143+Q146)-0.5</f>
        <v>199.5</v>
      </c>
      <c r="AA160" s="254">
        <f>(R160/(R143+R146))-0.5</f>
        <v>399.5</v>
      </c>
    </row>
    <row r="161" spans="15:27" ht="16.5" x14ac:dyDescent="0.2">
      <c r="O161" s="18"/>
      <c r="P161" s="266"/>
      <c r="Q161" s="266"/>
      <c r="R161" s="266"/>
      <c r="S161" s="266"/>
      <c r="T161" s="266"/>
      <c r="U161" s="267"/>
      <c r="V161" s="252"/>
      <c r="W161" s="252"/>
      <c r="X161" s="278"/>
      <c r="Y161" s="241"/>
      <c r="Z161" s="279"/>
      <c r="AA161" s="280"/>
    </row>
    <row r="162" spans="15:27" ht="16.5" x14ac:dyDescent="0.2">
      <c r="O162" s="18"/>
      <c r="P162" s="281" t="s">
        <v>71</v>
      </c>
      <c r="Q162" s="271">
        <v>500</v>
      </c>
      <c r="R162" s="271">
        <v>200</v>
      </c>
      <c r="S162" s="233">
        <f>IF(P162="","",(INT((Q162/($Q143+$Q146)))*INT(((R162-$T146)/($R143+$R146)))))</f>
        <v>4000</v>
      </c>
      <c r="T162" s="263">
        <f>(Q162*R162*S143*U143)/S162/1000000</f>
        <v>0</v>
      </c>
      <c r="U162" s="264">
        <f>IF(P162="","",(($Q162*$R162)-(Q143*R143*$S162))/($Q162*$R162))</f>
        <v>1</v>
      </c>
      <c r="V162" s="253">
        <f>(Q162-Q146*Z162)/Z162</f>
        <v>2.5125628140703519E-2</v>
      </c>
      <c r="W162" s="253">
        <f>(R162-R146*AA162)/AA162</f>
        <v>6.3291139240506333E-2</v>
      </c>
      <c r="X162" s="256">
        <f>V162*W162*S143*U143/$U$3</f>
        <v>0</v>
      </c>
      <c r="Y162" s="248">
        <f>Q162*R162*S143*U143/1000000</f>
        <v>0</v>
      </c>
      <c r="Z162" s="254">
        <f>(Q162/(Q143+Q146))-0.5</f>
        <v>99.5</v>
      </c>
      <c r="AA162" s="254">
        <f>(R162/(R143+R146))-0.5</f>
        <v>39.5</v>
      </c>
    </row>
    <row r="163" spans="15:27" ht="16.5" x14ac:dyDescent="0.2">
      <c r="O163" s="18"/>
      <c r="P163" s="281" t="s">
        <v>71</v>
      </c>
      <c r="Q163" s="251">
        <f>R162</f>
        <v>200</v>
      </c>
      <c r="R163" s="251">
        <f>Q162</f>
        <v>500</v>
      </c>
      <c r="S163" s="233">
        <f>IF(P163="","",(INT((Q163/($Q143+$Q146)))*INT(((R163-$T146)/($R143+$R146)))))</f>
        <v>4000</v>
      </c>
      <c r="T163" s="263">
        <f>(Q163*R163*S143*U143)/S163/1000000</f>
        <v>0</v>
      </c>
      <c r="U163" s="264">
        <f>IF(P163="","",(($Q163*$R163)-(Q143*R143*$S163))/($Q163*$R163))</f>
        <v>1</v>
      </c>
      <c r="V163" s="253">
        <f>(Q163-Q146*Z163)/Z163</f>
        <v>6.3291139240506333E-2</v>
      </c>
      <c r="W163" s="253">
        <f>(R163-R146*AA163)/AA163</f>
        <v>2.5125628140703519E-2</v>
      </c>
      <c r="X163" s="256">
        <f>V163*W163*S143*U143/$U$3</f>
        <v>0</v>
      </c>
      <c r="Y163" s="248">
        <f>Q163*R163*S143*U143/1000000</f>
        <v>0</v>
      </c>
      <c r="Z163" s="254">
        <f>Q163/(Q143+Q146)-0.5</f>
        <v>39.5</v>
      </c>
      <c r="AA163" s="254">
        <f>(R163/(R143+R146))-0.5</f>
        <v>99.5</v>
      </c>
    </row>
    <row r="164" spans="15:27" ht="17.25" thickBot="1" x14ac:dyDescent="0.3">
      <c r="O164" s="5"/>
      <c r="P164" s="19"/>
      <c r="Q164" s="19"/>
      <c r="R164" s="19"/>
      <c r="S164" s="77" t="str">
        <f>IF(UPPER(S168)="OXYGENE","O2","NA")</f>
        <v>O2</v>
      </c>
      <c r="T164" s="255" t="str">
        <f>CONCATENATE(LOWER(T165),"-",S169,"-",T143,"-",S167,"-",S164)</f>
        <v>bystronic3015-0-acier-1-O2</v>
      </c>
      <c r="U164" s="77"/>
      <c r="V164" s="77"/>
      <c r="W164" s="77"/>
      <c r="X164" s="77"/>
      <c r="Y164" s="242"/>
    </row>
    <row r="165" spans="15:27" ht="17.25" thickBot="1" x14ac:dyDescent="0.3">
      <c r="O165" s="5"/>
      <c r="P165" s="19"/>
      <c r="Q165" s="19"/>
      <c r="R165" s="19"/>
      <c r="S165" s="19"/>
      <c r="T165" s="431" t="s">
        <v>99</v>
      </c>
      <c r="U165" s="431" t="e">
        <f>#N/A</f>
        <v>#N/A</v>
      </c>
      <c r="V165" s="432"/>
      <c r="W165" s="432"/>
      <c r="X165" s="433"/>
      <c r="Y165" s="433"/>
    </row>
    <row r="166" spans="15:27" ht="17.25" thickBot="1" x14ac:dyDescent="0.3">
      <c r="O166" s="5"/>
      <c r="P166" s="428" t="s">
        <v>103</v>
      </c>
      <c r="Q166" s="428"/>
      <c r="R166" s="428"/>
      <c r="S166" s="428"/>
      <c r="T166" s="79">
        <f>IF(ISERROR(VLOOKUP(T164,TempsLaser,2,0)),"ERREUR",VLOOKUP(T164,TempsLaser,2,0))</f>
        <v>8649.9999999999982</v>
      </c>
      <c r="U166" s="80" t="s">
        <v>104</v>
      </c>
      <c r="V166" s="81"/>
      <c r="W166" s="82"/>
      <c r="X166" s="81"/>
      <c r="Y166" s="243"/>
    </row>
    <row r="167" spans="15:27" ht="16.5" x14ac:dyDescent="0.25">
      <c r="O167" s="5"/>
      <c r="P167" s="83"/>
      <c r="Q167" s="426" t="s">
        <v>105</v>
      </c>
      <c r="R167" s="426"/>
      <c r="S167" s="84">
        <f>IF(S143&lt;1,1,IF(S143-INT(S143)=0,S143, IF(S143-INT(S143)&lt;=0.5,0.5+INT(S143),1+INT(S143))))</f>
        <v>1</v>
      </c>
      <c r="T167" s="85">
        <f>IF(ISERROR(VLOOKUP(T164,TempsLaser,3,0)),"ERREUR",VLOOKUP(T164,TempsLaser,3,0))</f>
        <v>7100</v>
      </c>
      <c r="U167" s="86" t="s">
        <v>106</v>
      </c>
      <c r="V167" s="87"/>
      <c r="W167" s="82"/>
      <c r="X167" s="87"/>
      <c r="Y167" s="243"/>
    </row>
    <row r="168" spans="15:27" ht="16.5" x14ac:dyDescent="0.25">
      <c r="O168" s="5"/>
      <c r="P168" s="83"/>
      <c r="Q168" s="426" t="s">
        <v>108</v>
      </c>
      <c r="R168" s="426"/>
      <c r="S168" s="88" t="s">
        <v>109</v>
      </c>
      <c r="T168" s="85"/>
      <c r="U168" s="86"/>
      <c r="V168" s="87"/>
      <c r="W168" s="82"/>
      <c r="X168" s="87"/>
      <c r="Y168" s="243"/>
    </row>
    <row r="169" spans="15:27" ht="16.5" x14ac:dyDescent="0.25">
      <c r="O169" s="5"/>
      <c r="P169" s="83"/>
      <c r="Q169" s="425" t="s">
        <v>110</v>
      </c>
      <c r="R169" s="425"/>
      <c r="S169" s="88">
        <v>0</v>
      </c>
      <c r="T169" s="85"/>
      <c r="U169" s="86"/>
      <c r="V169" s="87"/>
      <c r="W169" s="82"/>
      <c r="X169" s="87"/>
      <c r="Y169" s="243"/>
    </row>
    <row r="170" spans="15:27" ht="16.5" x14ac:dyDescent="0.25">
      <c r="O170" s="5"/>
      <c r="P170" s="83"/>
      <c r="Q170" s="426" t="s">
        <v>111</v>
      </c>
      <c r="R170" s="426"/>
      <c r="S170" s="89">
        <f>(Q143+R143)*2</f>
        <v>0</v>
      </c>
      <c r="T170" s="90">
        <f>(S170/T166)/60</f>
        <v>0</v>
      </c>
      <c r="U170" s="91"/>
      <c r="V170" s="92"/>
      <c r="W170" s="93"/>
      <c r="X170" s="92"/>
      <c r="Y170" s="244"/>
    </row>
    <row r="171" spans="15:27" ht="16.5" x14ac:dyDescent="0.25">
      <c r="O171" s="5"/>
      <c r="P171" s="83"/>
      <c r="Q171" s="426" t="s">
        <v>112</v>
      </c>
      <c r="R171" s="426"/>
      <c r="S171" s="89">
        <v>0</v>
      </c>
      <c r="T171" s="90">
        <f>((S171*40)/T167)/60</f>
        <v>0</v>
      </c>
      <c r="U171" s="91"/>
      <c r="V171" s="92"/>
      <c r="W171" s="93"/>
      <c r="X171" s="92"/>
      <c r="Y171" s="244"/>
    </row>
    <row r="172" spans="15:27" ht="16.5" x14ac:dyDescent="0.25">
      <c r="O172" s="5"/>
      <c r="P172" s="83"/>
      <c r="Q172" s="426" t="s">
        <v>113</v>
      </c>
      <c r="R172" s="426"/>
      <c r="S172" s="88">
        <f>S171+1</f>
        <v>1</v>
      </c>
      <c r="T172" s="90">
        <f>U172*S167*S172</f>
        <v>2.7E-4</v>
      </c>
      <c r="U172" s="91">
        <v>2.7E-4</v>
      </c>
      <c r="V172" s="92"/>
      <c r="W172" s="93"/>
      <c r="X172" s="92"/>
      <c r="Y172" s="244"/>
    </row>
    <row r="173" spans="15:27" ht="16.5" x14ac:dyDescent="0.25">
      <c r="O173" s="5"/>
      <c r="P173" s="83"/>
      <c r="Q173" s="426" t="s">
        <v>114</v>
      </c>
      <c r="R173" s="426"/>
      <c r="S173" s="88">
        <v>0</v>
      </c>
      <c r="T173" s="94">
        <v>0</v>
      </c>
      <c r="U173" s="95"/>
      <c r="V173" s="92"/>
      <c r="W173" s="93"/>
      <c r="X173" s="92"/>
      <c r="Y173" s="244"/>
    </row>
    <row r="174" spans="15:27" ht="16.5" x14ac:dyDescent="0.25">
      <c r="O174" s="96"/>
      <c r="P174" s="83"/>
      <c r="Q174" s="426" t="s">
        <v>115</v>
      </c>
      <c r="R174" s="426"/>
      <c r="S174" s="88">
        <v>0</v>
      </c>
      <c r="T174" s="90">
        <f>U174*S174</f>
        <v>0</v>
      </c>
      <c r="U174" s="91">
        <v>4.1000000000000003E-3</v>
      </c>
      <c r="V174" s="92"/>
      <c r="W174" s="93"/>
      <c r="X174" s="92"/>
      <c r="Y174" s="244"/>
    </row>
    <row r="175" spans="15:27" ht="16.5" x14ac:dyDescent="0.25">
      <c r="O175" s="96"/>
      <c r="P175" s="83"/>
      <c r="Q175" s="426" t="s">
        <v>116</v>
      </c>
      <c r="R175" s="426"/>
      <c r="S175" s="89">
        <v>0</v>
      </c>
      <c r="T175" s="90">
        <f>((S170+S171*10)/8000)/60*IF(S175,1,0)</f>
        <v>0</v>
      </c>
      <c r="U175" s="91"/>
      <c r="V175" s="92"/>
      <c r="W175" s="93"/>
      <c r="X175" s="92"/>
      <c r="Y175" s="244"/>
    </row>
    <row r="176" spans="15:27" ht="17.25" thickBot="1" x14ac:dyDescent="0.3">
      <c r="O176" s="96" t="str">
        <f>P166</f>
        <v>LASER</v>
      </c>
      <c r="P176" s="97"/>
      <c r="Q176" s="98"/>
      <c r="R176" s="98"/>
      <c r="S176" s="99" t="s">
        <v>117</v>
      </c>
      <c r="T176" s="100">
        <f>SUM(T170:T175)*1.3</f>
        <v>3.5100000000000002E-4</v>
      </c>
      <c r="U176" s="101"/>
      <c r="V176" s="102"/>
      <c r="W176" s="93"/>
      <c r="X176" s="103"/>
      <c r="Y176" s="244"/>
    </row>
    <row r="177" spans="15:26" ht="17.25" thickBot="1" x14ac:dyDescent="0.3">
      <c r="O177" s="96"/>
      <c r="P177" s="19"/>
      <c r="Q177" s="19"/>
      <c r="R177" s="19"/>
      <c r="S177" s="19"/>
      <c r="T177" s="19"/>
      <c r="U177" s="19"/>
      <c r="V177" s="19"/>
      <c r="W177" s="19"/>
      <c r="X177" s="19"/>
      <c r="Y177" s="240"/>
    </row>
    <row r="178" spans="15:26" ht="17.25" thickBot="1" x14ac:dyDescent="0.3">
      <c r="O178" s="96"/>
      <c r="P178" s="428" t="s">
        <v>118</v>
      </c>
      <c r="Q178" s="428"/>
      <c r="R178" s="428"/>
      <c r="S178" s="428"/>
      <c r="T178" s="428"/>
      <c r="U178" s="428"/>
      <c r="V178" s="19"/>
      <c r="W178" s="19"/>
      <c r="X178" s="19"/>
      <c r="Y178" s="240"/>
    </row>
    <row r="179" spans="15:26" ht="16.5" x14ac:dyDescent="0.25">
      <c r="O179" s="96"/>
      <c r="P179" s="429" t="s">
        <v>119</v>
      </c>
      <c r="Q179" s="429"/>
      <c r="R179" s="429" t="e">
        <f>#N/A</f>
        <v>#N/A</v>
      </c>
      <c r="S179" s="88">
        <v>5</v>
      </c>
      <c r="T179" s="104">
        <f>(S179/S180)*U179</f>
        <v>1.4999999999999999E-2</v>
      </c>
      <c r="U179" s="105">
        <v>3.0000000000000001E-3</v>
      </c>
      <c r="V179" s="19"/>
      <c r="W179" s="19"/>
      <c r="X179" s="19"/>
      <c r="Y179" s="240"/>
    </row>
    <row r="180" spans="15:26" ht="16.5" x14ac:dyDescent="0.25">
      <c r="O180" s="96"/>
      <c r="P180" s="429" t="s">
        <v>120</v>
      </c>
      <c r="Q180" s="429"/>
      <c r="R180" s="429"/>
      <c r="S180" s="88">
        <v>1</v>
      </c>
      <c r="T180" s="106"/>
      <c r="U180" s="91"/>
      <c r="V180" s="19"/>
      <c r="W180" s="19"/>
      <c r="X180" s="19"/>
      <c r="Y180" s="240"/>
    </row>
    <row r="181" spans="15:26" ht="16.5" x14ac:dyDescent="0.25">
      <c r="O181" s="96"/>
      <c r="P181" s="429" t="s">
        <v>121</v>
      </c>
      <c r="Q181" s="429"/>
      <c r="R181" s="429"/>
      <c r="S181" s="88">
        <f>(Q143*2+R143*2)/50+50</f>
        <v>50</v>
      </c>
      <c r="T181" s="106">
        <f>S181*U181</f>
        <v>7.000000000000001E-3</v>
      </c>
      <c r="U181" s="37">
        <v>1.4000000000000001E-4</v>
      </c>
      <c r="V181" s="19"/>
      <c r="W181" s="19"/>
      <c r="X181" s="19"/>
      <c r="Y181" s="240"/>
    </row>
    <row r="182" spans="15:26" ht="16.5" x14ac:dyDescent="0.25">
      <c r="O182" s="96"/>
      <c r="P182" s="429" t="s">
        <v>122</v>
      </c>
      <c r="Q182" s="429"/>
      <c r="R182" s="429"/>
      <c r="S182" s="88">
        <v>0</v>
      </c>
      <c r="T182" s="106">
        <f>S182*U182</f>
        <v>0</v>
      </c>
      <c r="U182" s="37">
        <v>8.0000000000000004E-4</v>
      </c>
      <c r="V182" s="19"/>
      <c r="W182" s="19"/>
      <c r="X182" s="19"/>
      <c r="Y182" s="240"/>
    </row>
    <row r="183" spans="15:26" ht="16.5" x14ac:dyDescent="0.25">
      <c r="O183" s="96"/>
      <c r="P183" s="429" t="s">
        <v>123</v>
      </c>
      <c r="Q183" s="429"/>
      <c r="R183" s="429"/>
      <c r="S183" s="88">
        <v>0</v>
      </c>
      <c r="T183" s="106">
        <f>S183*U183</f>
        <v>0</v>
      </c>
      <c r="U183" s="91">
        <v>8.0000000000000004E-4</v>
      </c>
      <c r="V183" s="19"/>
      <c r="W183" s="19"/>
      <c r="X183" s="19"/>
      <c r="Y183" s="240"/>
    </row>
    <row r="184" spans="15:26" ht="16.5" x14ac:dyDescent="0.25">
      <c r="O184" s="96"/>
      <c r="P184" s="427" t="s">
        <v>124</v>
      </c>
      <c r="Q184" s="427"/>
      <c r="R184" s="427"/>
      <c r="S184" s="88">
        <v>1</v>
      </c>
      <c r="T184" s="106">
        <f>S184*U184</f>
        <v>5.0000000000000001E-3</v>
      </c>
      <c r="U184" s="91">
        <v>5.0000000000000001E-3</v>
      </c>
      <c r="V184" s="19"/>
      <c r="W184" s="19"/>
      <c r="X184" s="19"/>
      <c r="Y184" s="240"/>
    </row>
    <row r="185" spans="15:26" ht="16.5" x14ac:dyDescent="0.25">
      <c r="O185" s="96"/>
      <c r="P185" s="427" t="s">
        <v>125</v>
      </c>
      <c r="Q185" s="427"/>
      <c r="R185" s="427"/>
      <c r="S185" s="88">
        <v>1</v>
      </c>
      <c r="T185" s="115">
        <f>U185*(S185/S180)</f>
        <v>7.0000000000000001E-3</v>
      </c>
      <c r="U185" s="91">
        <v>7.0000000000000001E-3</v>
      </c>
      <c r="V185" s="19"/>
      <c r="W185" s="19"/>
      <c r="X185" s="19"/>
      <c r="Y185" s="240"/>
    </row>
    <row r="186" spans="15:26" ht="17.25" thickBot="1" x14ac:dyDescent="0.3">
      <c r="O186" s="96" t="str">
        <f>P178</f>
        <v>Poinconnage</v>
      </c>
      <c r="P186" s="97"/>
      <c r="Q186" s="98" t="s">
        <v>129</v>
      </c>
      <c r="R186" s="122">
        <f>SUM(0.2,PRODUCT(0.08,S179))</f>
        <v>0.60000000000000009</v>
      </c>
      <c r="S186" s="99" t="s">
        <v>117</v>
      </c>
      <c r="T186" s="100">
        <f>SUM(T179:T185)*1.3</f>
        <v>4.4200000000000003E-2</v>
      </c>
      <c r="U186" s="123">
        <f>PRODUCT(T186,3600)</f>
        <v>159.12</v>
      </c>
      <c r="V186" s="19"/>
      <c r="W186" s="19"/>
      <c r="X186" s="19"/>
      <c r="Y186" s="240"/>
    </row>
    <row r="187" spans="15:26" ht="16.5" x14ac:dyDescent="0.25">
      <c r="O187" s="131"/>
      <c r="P187" s="132"/>
      <c r="Q187" s="189"/>
      <c r="R187" s="189"/>
      <c r="S187" s="189"/>
      <c r="T187" s="189"/>
      <c r="U187" s="132"/>
      <c r="V187" s="132"/>
      <c r="W187" s="132"/>
      <c r="X187" s="132"/>
      <c r="Y187" s="245"/>
    </row>
    <row r="188" spans="15:26" x14ac:dyDescent="0.2">
      <c r="O188" s="9" t="str">
        <f>CHAR(64+INT(ROW()/45)+1)</f>
        <v>E</v>
      </c>
      <c r="Q188" s="196" t="s">
        <v>45</v>
      </c>
      <c r="R188" s="196" t="s">
        <v>141</v>
      </c>
      <c r="S188" s="196" t="s">
        <v>142</v>
      </c>
      <c r="T188" s="196" t="s">
        <v>8</v>
      </c>
      <c r="U188" s="10"/>
      <c r="V188" s="2" t="s">
        <v>9</v>
      </c>
      <c r="W188" s="2" t="s">
        <v>10</v>
      </c>
      <c r="Z188" s="5">
        <v>1</v>
      </c>
    </row>
    <row r="189" spans="15:26" ht="16.5" x14ac:dyDescent="0.25">
      <c r="O189" s="18"/>
      <c r="P189" s="19"/>
      <c r="Q189" s="190">
        <v>0</v>
      </c>
      <c r="R189" s="190">
        <v>0</v>
      </c>
      <c r="S189" s="190">
        <v>0</v>
      </c>
      <c r="T189" s="190" t="s">
        <v>23</v>
      </c>
      <c r="U189" s="20">
        <f>VLOOKUP(T189,DensiteMatiere,2,0)</f>
        <v>7.8</v>
      </c>
      <c r="V189" s="19">
        <f>(Q189*R189*S189*U189)/1000000</f>
        <v>0</v>
      </c>
      <c r="W189" s="19">
        <f>Q189*R189*2/1000000</f>
        <v>0</v>
      </c>
      <c r="X189" s="19"/>
      <c r="Y189" s="240"/>
    </row>
    <row r="190" spans="15:26" ht="16.5" x14ac:dyDescent="0.25">
      <c r="O190" s="18"/>
      <c r="P190" s="19"/>
      <c r="Q190" s="19"/>
      <c r="R190" s="19"/>
      <c r="S190" s="19"/>
      <c r="T190" s="19"/>
      <c r="U190" s="19"/>
      <c r="V190" s="19"/>
      <c r="W190" s="19"/>
      <c r="X190" s="19"/>
      <c r="Y190" s="240"/>
    </row>
    <row r="191" spans="15:26" ht="16.5" x14ac:dyDescent="0.25">
      <c r="O191" s="18"/>
      <c r="P191" s="19"/>
      <c r="Q191" s="415" t="s">
        <v>143</v>
      </c>
      <c r="R191" s="415"/>
      <c r="S191" s="19"/>
      <c r="T191" s="191" t="s">
        <v>26</v>
      </c>
      <c r="U191" s="19"/>
      <c r="V191" s="19"/>
      <c r="W191" s="19"/>
      <c r="X191" s="19"/>
      <c r="Y191" s="240"/>
    </row>
    <row r="192" spans="15:26" ht="16.5" x14ac:dyDescent="0.25">
      <c r="O192" s="18"/>
      <c r="P192" s="19"/>
      <c r="Q192" s="190">
        <v>5</v>
      </c>
      <c r="R192" s="190">
        <v>5</v>
      </c>
      <c r="S192" s="35"/>
      <c r="T192" s="190">
        <v>0</v>
      </c>
      <c r="U192" s="19"/>
      <c r="V192" s="19"/>
      <c r="W192" s="19"/>
      <c r="X192" s="19"/>
      <c r="Y192" s="240"/>
    </row>
    <row r="193" spans="15:27" ht="16.5" x14ac:dyDescent="0.25">
      <c r="P193" s="19"/>
      <c r="Q193" s="19"/>
      <c r="R193" s="19"/>
      <c r="S193" s="19"/>
      <c r="T193" s="19"/>
      <c r="U193" s="19"/>
      <c r="V193" s="19"/>
      <c r="W193" s="19"/>
      <c r="X193" s="19"/>
      <c r="Y193" s="240"/>
    </row>
    <row r="194" spans="15:27" ht="16.5" x14ac:dyDescent="0.2">
      <c r="P194" s="464" t="s">
        <v>37</v>
      </c>
      <c r="Q194" s="464"/>
      <c r="R194" s="464"/>
      <c r="S194" s="240"/>
      <c r="T194" s="240"/>
      <c r="U194" s="240"/>
      <c r="V194" s="450" t="s">
        <v>38</v>
      </c>
      <c r="W194" s="450"/>
      <c r="X194" s="450"/>
      <c r="Y194" s="246"/>
      <c r="Z194" s="239"/>
      <c r="AA194" s="277"/>
    </row>
    <row r="195" spans="15:27" ht="16.5" x14ac:dyDescent="0.2">
      <c r="O195" s="44">
        <f>MIN(T199,T200,T202,T203,T205,T206)</f>
        <v>0</v>
      </c>
      <c r="P195" s="250" t="s">
        <v>44</v>
      </c>
      <c r="Q195" s="250" t="s">
        <v>45</v>
      </c>
      <c r="R195" s="250" t="s">
        <v>46</v>
      </c>
      <c r="S195" s="250" t="s">
        <v>47</v>
      </c>
      <c r="T195" s="250" t="s">
        <v>48</v>
      </c>
      <c r="U195" s="250" t="s">
        <v>49</v>
      </c>
      <c r="V195" s="233" t="s">
        <v>50</v>
      </c>
      <c r="W195" s="233" t="s">
        <v>46</v>
      </c>
      <c r="X195" s="233" t="s">
        <v>9</v>
      </c>
      <c r="Y195" s="247" t="s">
        <v>39</v>
      </c>
      <c r="Z195" s="251" t="s">
        <v>422</v>
      </c>
      <c r="AA195" s="251" t="s">
        <v>423</v>
      </c>
    </row>
    <row r="196" spans="15:27" ht="16.5" x14ac:dyDescent="0.2">
      <c r="O196" s="18"/>
      <c r="P196" s="281" t="s">
        <v>71</v>
      </c>
      <c r="Q196" s="233">
        <v>4000</v>
      </c>
      <c r="R196" s="233">
        <v>2000</v>
      </c>
      <c r="S196" s="233">
        <f>IF(P196="","",(INT((Q196/($Q189+$Q192)))*INT(((R196-$T192)/($R189+$R192)))))</f>
        <v>320000</v>
      </c>
      <c r="T196" s="263">
        <f>(Q196*R196*S189*U189)/S196/1000000</f>
        <v>0</v>
      </c>
      <c r="U196" s="264">
        <f>IF(P196="","",(($Q196*$R196)-(Q189*R189*$S196))/($Q196*$R196))</f>
        <v>1</v>
      </c>
      <c r="V196" s="253">
        <f>(Q196-Q192*Z196)/Z196</f>
        <v>3.1269543464665416E-3</v>
      </c>
      <c r="W196" s="253">
        <f>(R196-R192*AA196)/AA196</f>
        <v>6.2578222778473091E-3</v>
      </c>
      <c r="X196" s="256">
        <f>V196*W196*S189*U189/$U$3</f>
        <v>0</v>
      </c>
      <c r="Y196" s="248">
        <f>Q196*R196*S189*U189/1000000</f>
        <v>0</v>
      </c>
      <c r="Z196" s="254">
        <f>(Q196/(Q192+Q189))-0.5</f>
        <v>799.5</v>
      </c>
      <c r="AA196" s="254">
        <f>(R196/(R189+R192))-0.5</f>
        <v>399.5</v>
      </c>
    </row>
    <row r="197" spans="15:27" ht="16.5" x14ac:dyDescent="0.2">
      <c r="O197" s="18"/>
      <c r="P197" s="281" t="s">
        <v>71</v>
      </c>
      <c r="Q197" s="233">
        <v>2000</v>
      </c>
      <c r="R197" s="233">
        <v>4000</v>
      </c>
      <c r="S197" s="233">
        <f>IF(P197="","",(INT((Q197/($Q189+$Q192)))*INT(((R197-$T192)/($R189+$R192)))))</f>
        <v>320000</v>
      </c>
      <c r="T197" s="263">
        <f>(Q197*R197*S189*U189)/S197/1000000</f>
        <v>0</v>
      </c>
      <c r="U197" s="264">
        <f>IF(P197="","",(($Q197*$R197)-(Q189*R189*$S197))/($Q197*$R197))</f>
        <v>1</v>
      </c>
      <c r="V197" s="253">
        <f>(Q197-Q192*Z197)/Z197</f>
        <v>6.2578222778473091E-3</v>
      </c>
      <c r="W197" s="253">
        <f>(R197-R192*AA197)/AA197</f>
        <v>3.1269543464665416E-3</v>
      </c>
      <c r="X197" s="256">
        <f>V197*W197*S189*U189/$U$3</f>
        <v>0</v>
      </c>
      <c r="Y197" s="248">
        <f>Q197*R197*S189*U189/1000000</f>
        <v>0</v>
      </c>
      <c r="Z197" s="254">
        <f>Q197/(Q189+Q192)-0.5</f>
        <v>399.5</v>
      </c>
      <c r="AA197" s="254">
        <f>(R197/(R189+R192))-0.5</f>
        <v>799.5</v>
      </c>
    </row>
    <row r="198" spans="15:27" ht="16.5" x14ac:dyDescent="0.2">
      <c r="O198" s="18"/>
      <c r="P198" s="266"/>
      <c r="Q198" s="266"/>
      <c r="R198" s="266"/>
      <c r="S198" s="266"/>
      <c r="T198" s="266"/>
      <c r="U198" s="267"/>
      <c r="V198" s="252"/>
      <c r="W198" s="252"/>
      <c r="X198" s="278"/>
      <c r="Y198" s="241"/>
      <c r="Z198" s="279"/>
      <c r="AA198" s="280"/>
    </row>
    <row r="199" spans="15:27" ht="16.5" x14ac:dyDescent="0.2">
      <c r="O199" s="18" t="str">
        <f>IF(T199=$O195,$AE$4,"")</f>
        <v>------&gt;</v>
      </c>
      <c r="P199" s="262" t="s">
        <v>71</v>
      </c>
      <c r="Q199" s="233">
        <v>3000</v>
      </c>
      <c r="R199" s="233">
        <v>1500</v>
      </c>
      <c r="S199" s="233">
        <f>IF(P199="","",(INT((Q199/($Q189:Q189+$Q192)))*INT(((R199-$T192)/($R189+$R192)))))</f>
        <v>180000</v>
      </c>
      <c r="T199" s="263">
        <f>(Q199*R199*S189*U189)/S199/1000000</f>
        <v>0</v>
      </c>
      <c r="U199" s="264">
        <f>IF(P199="","",(($Q199:Q199*$R199)-(Q189*R189*$S199))/($Q199*$R199))</f>
        <v>1</v>
      </c>
      <c r="V199" s="253">
        <f>(Q199-Q192*Z199)/Z199</f>
        <v>4.1701417848206837E-3</v>
      </c>
      <c r="W199" s="253">
        <f>(R199-R192*AA199)/AA199</f>
        <v>8.3472454090150246E-3</v>
      </c>
      <c r="X199" s="256">
        <f>V199*W199*S189*U189/$U$3</f>
        <v>0</v>
      </c>
      <c r="Y199" s="248">
        <f>Q199*R199*S189*U189/1000000</f>
        <v>0</v>
      </c>
      <c r="Z199" s="254">
        <f>(Q199/(Q189+Q192))-0.5</f>
        <v>599.5</v>
      </c>
      <c r="AA199" s="254">
        <f>(R199/(R189+R192))-0.5</f>
        <v>299.5</v>
      </c>
    </row>
    <row r="200" spans="15:27" ht="16.5" x14ac:dyDescent="0.2">
      <c r="O200" s="18" t="str">
        <f>IF(T200=$O195,$AE$4,"")</f>
        <v>------&gt;</v>
      </c>
      <c r="P200" s="262" t="s">
        <v>71</v>
      </c>
      <c r="Q200" s="233">
        <v>1500</v>
      </c>
      <c r="R200" s="233">
        <v>3000</v>
      </c>
      <c r="S200" s="233">
        <f>IF(P200="","",(INT((Q200/($Q189+$Q192)))*INT(((R200-$T192)/($R189+$R192)))))</f>
        <v>180000</v>
      </c>
      <c r="T200" s="263">
        <f>(Q200*R200*S189*U189)/S200/1000000</f>
        <v>0</v>
      </c>
      <c r="U200" s="264">
        <f>IF(P200="","",(($Q200*$R200)-(Q189*R189*$S200))/($Q200*$R200))</f>
        <v>1</v>
      </c>
      <c r="V200" s="253">
        <f>(Q200-Q192*Z200)/Z200</f>
        <v>8.3472454090150246E-3</v>
      </c>
      <c r="W200" s="253">
        <f>(R200-R192*AA200)/AA200</f>
        <v>4.1701417848206837E-3</v>
      </c>
      <c r="X200" s="256">
        <f>V200*W200*S189*U189/$U$3</f>
        <v>0</v>
      </c>
      <c r="Y200" s="248">
        <f>Q200*R200*S189*U189/1000000</f>
        <v>0</v>
      </c>
      <c r="Z200" s="254">
        <f>Q200/(Q189+Q192)-0.5</f>
        <v>299.5</v>
      </c>
      <c r="AA200" s="254">
        <f>(R200/(R189+R192))-0.5</f>
        <v>599.5</v>
      </c>
    </row>
    <row r="201" spans="15:27" ht="16.5" x14ac:dyDescent="0.2">
      <c r="O201" s="18"/>
      <c r="P201" s="266"/>
      <c r="Q201" s="266"/>
      <c r="R201" s="266"/>
      <c r="S201" s="266"/>
      <c r="T201" s="266"/>
      <c r="U201" s="267"/>
      <c r="V201" s="252"/>
      <c r="W201" s="252"/>
      <c r="X201" s="278"/>
      <c r="Y201" s="241"/>
      <c r="Z201" s="279"/>
      <c r="AA201" s="280"/>
    </row>
    <row r="202" spans="15:27" ht="16.5" x14ac:dyDescent="0.2">
      <c r="O202" s="18" t="str">
        <f>IF(T202=$O195,$AE$4,"")</f>
        <v>------&gt;</v>
      </c>
      <c r="P202" s="262" t="s">
        <v>71</v>
      </c>
      <c r="Q202" s="233">
        <v>2500</v>
      </c>
      <c r="R202" s="233">
        <v>1250</v>
      </c>
      <c r="S202" s="233">
        <f>IF(P202="","",(INT((Q202/($Q189+$Q192)))*INT(((R202-$T192)/($R189+$R192)))))</f>
        <v>125000</v>
      </c>
      <c r="T202" s="263">
        <f>(Q202*R202*S189*U189)/S202/1000000</f>
        <v>0</v>
      </c>
      <c r="U202" s="264">
        <f>IF(P202="","",(($Q202*$R202)-(Q189*R189*$S202))/($Q202*$R202))</f>
        <v>1</v>
      </c>
      <c r="V202" s="253">
        <f>(Q202-Q192*Z202)/Z202</f>
        <v>5.005005005005005E-3</v>
      </c>
      <c r="W202" s="253">
        <f>(R202-R192*AA202)/AA202</f>
        <v>1.002004008016032E-2</v>
      </c>
      <c r="X202" s="256">
        <f>V202*W202*S189*U189/$U$3</f>
        <v>0</v>
      </c>
      <c r="Y202" s="248">
        <f>Q202*R202*S189*U189/1000000</f>
        <v>0</v>
      </c>
      <c r="Z202" s="254">
        <f>(Q202/(Q189+Q192))-0.5</f>
        <v>499.5</v>
      </c>
      <c r="AA202" s="254">
        <f>(R202/(R189+$R$8))-0.5</f>
        <v>249.5</v>
      </c>
    </row>
    <row r="203" spans="15:27" ht="16.5" x14ac:dyDescent="0.2">
      <c r="O203" s="18" t="str">
        <f>IF(T203=$O195,$AE$4,"")</f>
        <v>------&gt;</v>
      </c>
      <c r="P203" s="262" t="s">
        <v>71</v>
      </c>
      <c r="Q203" s="233">
        <v>1250</v>
      </c>
      <c r="R203" s="233">
        <v>2500</v>
      </c>
      <c r="S203" s="233">
        <f>IF(P203="","",(INT((Q203/($Q189+$Q192)))*INT(((R203-$T192)/($R189+$R192)))))</f>
        <v>125000</v>
      </c>
      <c r="T203" s="263">
        <f>(Q203*R203*S189*U189)/S203/1000000</f>
        <v>0</v>
      </c>
      <c r="U203" s="264">
        <f>IF(P203="","",(($Q203*$R203)-(Q189*R189*$S203))/($Q203*$R203))</f>
        <v>1</v>
      </c>
      <c r="V203" s="253">
        <f>(Q203-Q192*Z203)/Z203</f>
        <v>1.002004008016032E-2</v>
      </c>
      <c r="W203" s="253">
        <f>(R203-R192*AA203)/AA203</f>
        <v>5.005005005005005E-3</v>
      </c>
      <c r="X203" s="256">
        <f>V203*W203*S189*U189/$U$3</f>
        <v>0</v>
      </c>
      <c r="Y203" s="248">
        <f>Q203*R203*S189*U189/1000000</f>
        <v>0</v>
      </c>
      <c r="Z203" s="254">
        <f>Q203/(Q189+Q192)-0.5</f>
        <v>249.5</v>
      </c>
      <c r="AA203" s="254">
        <f>(R203/(R189+R192))-0.5</f>
        <v>499.5</v>
      </c>
    </row>
    <row r="204" spans="15:27" ht="16.5" x14ac:dyDescent="0.2">
      <c r="O204" s="18"/>
      <c r="P204" s="266"/>
      <c r="Q204" s="266"/>
      <c r="R204" s="266"/>
      <c r="S204" s="266"/>
      <c r="T204" s="266"/>
      <c r="U204" s="267"/>
      <c r="V204" s="252"/>
      <c r="W204" s="252"/>
      <c r="X204" s="278"/>
      <c r="Y204" s="241"/>
      <c r="Z204" s="279"/>
      <c r="AA204" s="280"/>
    </row>
    <row r="205" spans="15:27" ht="16.5" x14ac:dyDescent="0.2">
      <c r="O205" s="18" t="str">
        <f>IF(T205=$O195,$AE$4,"")</f>
        <v>------&gt;</v>
      </c>
      <c r="P205" s="262" t="s">
        <v>71</v>
      </c>
      <c r="Q205" s="233">
        <v>2000</v>
      </c>
      <c r="R205" s="233">
        <v>1000</v>
      </c>
      <c r="S205" s="233">
        <f>IF(P205="","",(INT((Q205/($Q189+$Q192)))*INT(((R205-$T192)/($R189+$R192)))))</f>
        <v>80000</v>
      </c>
      <c r="T205" s="263">
        <f>(Q205*R205*S189*U189)/S205/1000000</f>
        <v>0</v>
      </c>
      <c r="U205" s="264">
        <f>IF(P205="","",(($Q205*$R205)-(Q189*R189*$S205))/($Q205*$R205))</f>
        <v>1</v>
      </c>
      <c r="V205" s="253">
        <f>(Q205-Q192*Z205)/Z205</f>
        <v>6.2578222778473091E-3</v>
      </c>
      <c r="W205" s="253">
        <f>(R205-R192*AA205)/AA205</f>
        <v>1.2531328320802004E-2</v>
      </c>
      <c r="X205" s="256">
        <f>V205*W205*S189*U189/$U$3</f>
        <v>0</v>
      </c>
      <c r="Y205" s="248">
        <f>Q205*R205*S189*U189/1000000</f>
        <v>0</v>
      </c>
      <c r="Z205" s="254">
        <f>(Q205/(Q189+Q192))-0.5</f>
        <v>399.5</v>
      </c>
      <c r="AA205" s="254">
        <f>(R205/(R189+R192))-0.5</f>
        <v>199.5</v>
      </c>
    </row>
    <row r="206" spans="15:27" ht="16.5" x14ac:dyDescent="0.2">
      <c r="O206" s="18" t="str">
        <f>IF(T206=$O195,$AE$4,"")</f>
        <v>------&gt;</v>
      </c>
      <c r="P206" s="262" t="s">
        <v>71</v>
      </c>
      <c r="Q206" s="233">
        <v>1000</v>
      </c>
      <c r="R206" s="233">
        <v>2000</v>
      </c>
      <c r="S206" s="233">
        <f>IF(P206="","",(INT((Q206/($Q189+$Q192)))*INT(((R206-$T192)/($R189+$R192)))))</f>
        <v>80000</v>
      </c>
      <c r="T206" s="263">
        <f>(Q206*R206*S189*U189)/S206/1000000</f>
        <v>0</v>
      </c>
      <c r="U206" s="264">
        <f>IF(P206="","",(($Q206*$R206)-(Q189*R189*$S206))/($Q206*$R206))</f>
        <v>1</v>
      </c>
      <c r="V206" s="253">
        <f>(Q206-Q192*Z206)/Z206</f>
        <v>1.2531328320802004E-2</v>
      </c>
      <c r="W206" s="253">
        <f>(R206-R192*AA206)/AA206</f>
        <v>6.2578222778473091E-3</v>
      </c>
      <c r="X206" s="256">
        <f>V206*W206*S189*U189/$U$3</f>
        <v>0</v>
      </c>
      <c r="Y206" s="248">
        <f>Q206*R206*S189*U189/1000000</f>
        <v>0</v>
      </c>
      <c r="Z206" s="254">
        <f>Q206/(Q189+Q192)-0.5</f>
        <v>199.5</v>
      </c>
      <c r="AA206" s="254">
        <f>(R206/(R189+R192))-0.5</f>
        <v>399.5</v>
      </c>
    </row>
    <row r="207" spans="15:27" ht="16.5" x14ac:dyDescent="0.2">
      <c r="O207" s="18"/>
      <c r="P207" s="266"/>
      <c r="Q207" s="266"/>
      <c r="R207" s="266"/>
      <c r="S207" s="266"/>
      <c r="T207" s="266"/>
      <c r="U207" s="267"/>
      <c r="V207" s="252"/>
      <c r="W207" s="252"/>
      <c r="X207" s="278"/>
      <c r="Y207" s="241"/>
      <c r="Z207" s="279"/>
      <c r="AA207" s="280"/>
    </row>
    <row r="208" spans="15:27" ht="16.5" x14ac:dyDescent="0.2">
      <c r="O208" s="18"/>
      <c r="P208" s="281" t="s">
        <v>71</v>
      </c>
      <c r="Q208" s="271">
        <v>500</v>
      </c>
      <c r="R208" s="271">
        <v>200</v>
      </c>
      <c r="S208" s="233">
        <f>IF(P208="","",(INT((Q208/($Q189+$Q192)))*INT(((R208-$T192)/($R189+$R192)))))</f>
        <v>4000</v>
      </c>
      <c r="T208" s="263">
        <f>(Q208*R208*S189*U189)/S208/1000000</f>
        <v>0</v>
      </c>
      <c r="U208" s="264">
        <f>IF(P208="","",(($Q208*$R208)-(Q189*R189*$S208))/($Q208*$R208))</f>
        <v>1</v>
      </c>
      <c r="V208" s="253">
        <f>(Q208-Q192*Z208)/Z208</f>
        <v>2.5125628140703519E-2</v>
      </c>
      <c r="W208" s="253">
        <f>(R208-R192*AA208)/AA208</f>
        <v>6.3291139240506333E-2</v>
      </c>
      <c r="X208" s="256">
        <f>V208*W208*S189*U189/$U$3</f>
        <v>0</v>
      </c>
      <c r="Y208" s="248">
        <f>Q208*R208*S189*U189/1000000</f>
        <v>0</v>
      </c>
      <c r="Z208" s="254">
        <f>(Q208/(Q189+Q192))-0.5</f>
        <v>99.5</v>
      </c>
      <c r="AA208" s="254">
        <f>(R208/(R189+R192))-0.5</f>
        <v>39.5</v>
      </c>
    </row>
    <row r="209" spans="15:27" ht="16.5" x14ac:dyDescent="0.2">
      <c r="O209" s="18"/>
      <c r="P209" s="281" t="s">
        <v>71</v>
      </c>
      <c r="Q209" s="251">
        <f>R208</f>
        <v>200</v>
      </c>
      <c r="R209" s="251">
        <f>Q208</f>
        <v>500</v>
      </c>
      <c r="S209" s="233">
        <f>IF(P209="","",(INT((Q209/($Q189+$Q192)))*INT(((R209-$T192)/($R189+$R192)))))</f>
        <v>4000</v>
      </c>
      <c r="T209" s="263">
        <f>(Q209*R209*S189*U189)/S209/1000000</f>
        <v>0</v>
      </c>
      <c r="U209" s="264">
        <f>IF(P209="","",(($Q209*$R209)-(Q189*R189*$S209))/($Q209*$R209))</f>
        <v>1</v>
      </c>
      <c r="V209" s="253">
        <f>(Q209-Q192*Z209)/Z209</f>
        <v>6.3291139240506333E-2</v>
      </c>
      <c r="W209" s="253">
        <f>(R209-R192*AA209)/AA209</f>
        <v>2.5125628140703519E-2</v>
      </c>
      <c r="X209" s="256">
        <f>V209*W209*S189*U189/$U$3</f>
        <v>0</v>
      </c>
      <c r="Y209" s="248">
        <f>Q209*R209*S189*U189/1000000</f>
        <v>0</v>
      </c>
      <c r="Z209" s="254">
        <f>Q209/(Q189+Q192)-0.5</f>
        <v>39.5</v>
      </c>
      <c r="AA209" s="254">
        <f>(R209/(R189+R192))-0.5</f>
        <v>99.5</v>
      </c>
    </row>
    <row r="210" spans="15:27" ht="17.25" thickBot="1" x14ac:dyDescent="0.3">
      <c r="O210" s="5"/>
      <c r="P210" s="19"/>
      <c r="Q210" s="19"/>
      <c r="R210" s="19"/>
      <c r="S210" s="77" t="str">
        <f>IF(UPPER(S214)="OXYGENE","O2","NA")</f>
        <v>O2</v>
      </c>
      <c r="T210" s="255" t="str">
        <f>CONCATENATE(LOWER(T211),"-",S215,"-",T189,"-",S213,"-",S210)</f>
        <v>bystronic3015-0-acier-1-O2</v>
      </c>
      <c r="U210" s="77"/>
      <c r="V210" s="77"/>
      <c r="W210" s="77"/>
      <c r="X210" s="77"/>
      <c r="Y210" s="242"/>
    </row>
    <row r="211" spans="15:27" ht="17.25" thickBot="1" x14ac:dyDescent="0.3">
      <c r="O211" s="5"/>
      <c r="P211" s="19"/>
      <c r="Q211" s="19"/>
      <c r="R211" s="19"/>
      <c r="S211" s="19"/>
      <c r="T211" s="431" t="s">
        <v>99</v>
      </c>
      <c r="U211" s="431" t="e">
        <f>#N/A</f>
        <v>#N/A</v>
      </c>
      <c r="V211" s="432"/>
      <c r="W211" s="432"/>
      <c r="X211" s="433"/>
      <c r="Y211" s="433"/>
    </row>
    <row r="212" spans="15:27" ht="17.25" thickBot="1" x14ac:dyDescent="0.3">
      <c r="O212" s="5"/>
      <c r="P212" s="428" t="s">
        <v>103</v>
      </c>
      <c r="Q212" s="428"/>
      <c r="R212" s="428"/>
      <c r="S212" s="428"/>
      <c r="T212" s="79">
        <f>IF(ISERROR(VLOOKUP(T210,TempsLaser,2,0)),"ERREUR",VLOOKUP(T210,TempsLaser,2,0))</f>
        <v>8649.9999999999982</v>
      </c>
      <c r="U212" s="80" t="s">
        <v>104</v>
      </c>
      <c r="V212" s="81"/>
      <c r="W212" s="82"/>
      <c r="X212" s="81"/>
      <c r="Y212" s="243"/>
    </row>
    <row r="213" spans="15:27" ht="16.5" x14ac:dyDescent="0.25">
      <c r="O213" s="5"/>
      <c r="P213" s="83"/>
      <c r="Q213" s="426" t="s">
        <v>105</v>
      </c>
      <c r="R213" s="426"/>
      <c r="S213" s="84">
        <f>IF(S189&lt;1,1,IF(S189-INT(S189)=0,S189, IF(S189-INT(S189)&lt;=0.5,0.5+INT(S189),1+INT(S189))))</f>
        <v>1</v>
      </c>
      <c r="T213" s="85">
        <f>IF(ISERROR(VLOOKUP(T210,TempsLaser,3,0)),"ERREUR",VLOOKUP(T210,TempsLaser,3,0))</f>
        <v>7100</v>
      </c>
      <c r="U213" s="86" t="s">
        <v>106</v>
      </c>
      <c r="V213" s="87"/>
      <c r="W213" s="82"/>
      <c r="X213" s="87"/>
      <c r="Y213" s="243"/>
    </row>
    <row r="214" spans="15:27" ht="16.5" x14ac:dyDescent="0.25">
      <c r="O214" s="5"/>
      <c r="P214" s="83"/>
      <c r="Q214" s="426" t="s">
        <v>108</v>
      </c>
      <c r="R214" s="426"/>
      <c r="S214" s="88" t="s">
        <v>109</v>
      </c>
      <c r="T214" s="85"/>
      <c r="U214" s="86"/>
      <c r="V214" s="87"/>
      <c r="W214" s="82"/>
      <c r="X214" s="87"/>
      <c r="Y214" s="243"/>
    </row>
    <row r="215" spans="15:27" ht="16.5" x14ac:dyDescent="0.25">
      <c r="O215" s="5"/>
      <c r="P215" s="83"/>
      <c r="Q215" s="425" t="s">
        <v>110</v>
      </c>
      <c r="R215" s="425"/>
      <c r="S215" s="88">
        <v>0</v>
      </c>
      <c r="T215" s="85"/>
      <c r="U215" s="86"/>
      <c r="V215" s="87"/>
      <c r="W215" s="82"/>
      <c r="X215" s="87"/>
      <c r="Y215" s="243"/>
    </row>
    <row r="216" spans="15:27" ht="16.5" x14ac:dyDescent="0.25">
      <c r="O216" s="5"/>
      <c r="P216" s="83"/>
      <c r="Q216" s="426" t="s">
        <v>111</v>
      </c>
      <c r="R216" s="426"/>
      <c r="S216" s="89">
        <f>(Q189+R189)*2</f>
        <v>0</v>
      </c>
      <c r="T216" s="90">
        <f>(S216/T212)/60</f>
        <v>0</v>
      </c>
      <c r="U216" s="91"/>
      <c r="V216" s="92"/>
      <c r="W216" s="93"/>
      <c r="X216" s="92"/>
      <c r="Y216" s="244"/>
    </row>
    <row r="217" spans="15:27" ht="16.5" x14ac:dyDescent="0.25">
      <c r="O217" s="5"/>
      <c r="P217" s="83"/>
      <c r="Q217" s="426" t="s">
        <v>112</v>
      </c>
      <c r="R217" s="426"/>
      <c r="S217" s="89">
        <v>0</v>
      </c>
      <c r="T217" s="90">
        <f>((S217*40)/T213)/60</f>
        <v>0</v>
      </c>
      <c r="U217" s="91"/>
      <c r="V217" s="92"/>
      <c r="W217" s="93"/>
      <c r="X217" s="92"/>
      <c r="Y217" s="244"/>
    </row>
    <row r="218" spans="15:27" ht="16.5" x14ac:dyDescent="0.25">
      <c r="O218" s="5"/>
      <c r="P218" s="83"/>
      <c r="Q218" s="426" t="s">
        <v>113</v>
      </c>
      <c r="R218" s="426"/>
      <c r="S218" s="88">
        <f>S217+1</f>
        <v>1</v>
      </c>
      <c r="T218" s="90">
        <f>U218*S213*S218</f>
        <v>2.7E-4</v>
      </c>
      <c r="U218" s="91">
        <v>2.7E-4</v>
      </c>
      <c r="V218" s="92"/>
      <c r="W218" s="93"/>
      <c r="X218" s="92"/>
      <c r="Y218" s="244"/>
    </row>
    <row r="219" spans="15:27" ht="16.5" x14ac:dyDescent="0.25">
      <c r="O219" s="5"/>
      <c r="P219" s="83"/>
      <c r="Q219" s="426" t="s">
        <v>114</v>
      </c>
      <c r="R219" s="426"/>
      <c r="S219" s="88">
        <v>0</v>
      </c>
      <c r="T219" s="94">
        <v>0</v>
      </c>
      <c r="U219" s="95"/>
      <c r="V219" s="92"/>
      <c r="W219" s="93"/>
      <c r="X219" s="92"/>
      <c r="Y219" s="244"/>
    </row>
    <row r="220" spans="15:27" ht="16.5" x14ac:dyDescent="0.25">
      <c r="O220" s="96"/>
      <c r="P220" s="83"/>
      <c r="Q220" s="426" t="s">
        <v>115</v>
      </c>
      <c r="R220" s="426"/>
      <c r="S220" s="88">
        <v>0</v>
      </c>
      <c r="T220" s="90">
        <f>U220*S220</f>
        <v>0</v>
      </c>
      <c r="U220" s="91">
        <v>4.1000000000000003E-3</v>
      </c>
      <c r="V220" s="92"/>
      <c r="W220" s="93"/>
      <c r="X220" s="92"/>
      <c r="Y220" s="244"/>
    </row>
    <row r="221" spans="15:27" ht="16.5" x14ac:dyDescent="0.25">
      <c r="O221" s="96"/>
      <c r="P221" s="83"/>
      <c r="Q221" s="426" t="s">
        <v>116</v>
      </c>
      <c r="R221" s="426"/>
      <c r="S221" s="89">
        <v>0</v>
      </c>
      <c r="T221" s="90">
        <f>((S216+S217*10)/8000)/60*IF(S221,1,0)</f>
        <v>0</v>
      </c>
      <c r="U221" s="91"/>
      <c r="V221" s="92"/>
      <c r="W221" s="93"/>
      <c r="X221" s="92"/>
      <c r="Y221" s="244"/>
    </row>
    <row r="222" spans="15:27" ht="17.25" thickBot="1" x14ac:dyDescent="0.3">
      <c r="O222" s="96" t="str">
        <f>P212</f>
        <v>LASER</v>
      </c>
      <c r="P222" s="97"/>
      <c r="Q222" s="98"/>
      <c r="R222" s="98"/>
      <c r="S222" s="99" t="s">
        <v>117</v>
      </c>
      <c r="T222" s="100">
        <f>SUM(T216:T221)*1.3</f>
        <v>3.5100000000000002E-4</v>
      </c>
      <c r="U222" s="101"/>
      <c r="V222" s="102"/>
      <c r="W222" s="93"/>
      <c r="X222" s="103"/>
      <c r="Y222" s="244"/>
    </row>
    <row r="223" spans="15:27" ht="17.25" thickBot="1" x14ac:dyDescent="0.3">
      <c r="O223" s="96"/>
      <c r="P223" s="19"/>
      <c r="Q223" s="19"/>
      <c r="R223" s="19"/>
      <c r="S223" s="19"/>
      <c r="T223" s="19"/>
      <c r="U223" s="19"/>
      <c r="V223" s="19"/>
      <c r="W223" s="19"/>
      <c r="X223" s="19"/>
      <c r="Y223" s="240"/>
    </row>
    <row r="224" spans="15:27" ht="17.25" thickBot="1" x14ac:dyDescent="0.3">
      <c r="O224" s="96"/>
      <c r="P224" s="428" t="s">
        <v>118</v>
      </c>
      <c r="Q224" s="428"/>
      <c r="R224" s="428"/>
      <c r="S224" s="428"/>
      <c r="T224" s="428"/>
      <c r="U224" s="428"/>
      <c r="V224" s="19"/>
      <c r="W224" s="19"/>
      <c r="X224" s="19"/>
      <c r="Y224" s="240"/>
    </row>
    <row r="225" spans="15:27" ht="16.5" x14ac:dyDescent="0.25">
      <c r="O225" s="96"/>
      <c r="P225" s="429" t="s">
        <v>119</v>
      </c>
      <c r="Q225" s="429"/>
      <c r="R225" s="429" t="e">
        <f>#N/A</f>
        <v>#N/A</v>
      </c>
      <c r="S225" s="88">
        <v>5</v>
      </c>
      <c r="T225" s="104">
        <f>(S225/S226)*U225</f>
        <v>1.4999999999999999E-2</v>
      </c>
      <c r="U225" s="105">
        <v>3.0000000000000001E-3</v>
      </c>
      <c r="V225" s="19"/>
      <c r="W225" s="19"/>
      <c r="X225" s="19"/>
      <c r="Y225" s="240"/>
    </row>
    <row r="226" spans="15:27" ht="16.5" x14ac:dyDescent="0.25">
      <c r="O226" s="96"/>
      <c r="P226" s="429" t="s">
        <v>120</v>
      </c>
      <c r="Q226" s="429"/>
      <c r="R226" s="429"/>
      <c r="S226" s="88">
        <v>1</v>
      </c>
      <c r="T226" s="106"/>
      <c r="U226" s="91"/>
      <c r="V226" s="19"/>
      <c r="W226" s="19"/>
      <c r="X226" s="19"/>
      <c r="Y226" s="240"/>
    </row>
    <row r="227" spans="15:27" ht="16.5" x14ac:dyDescent="0.25">
      <c r="O227" s="96"/>
      <c r="P227" s="429" t="s">
        <v>121</v>
      </c>
      <c r="Q227" s="429"/>
      <c r="R227" s="429"/>
      <c r="S227" s="88">
        <f>(Q189*2+R189*2)/50+50</f>
        <v>50</v>
      </c>
      <c r="T227" s="106">
        <f>S227*U227</f>
        <v>7.000000000000001E-3</v>
      </c>
      <c r="U227" s="37">
        <v>1.4000000000000001E-4</v>
      </c>
      <c r="V227" s="19"/>
      <c r="W227" s="19"/>
      <c r="X227" s="19"/>
      <c r="Y227" s="240"/>
    </row>
    <row r="228" spans="15:27" ht="16.5" x14ac:dyDescent="0.25">
      <c r="O228" s="96"/>
      <c r="P228" s="429" t="s">
        <v>122</v>
      </c>
      <c r="Q228" s="429"/>
      <c r="R228" s="429"/>
      <c r="S228" s="88">
        <v>0</v>
      </c>
      <c r="T228" s="106">
        <f>S228*U228</f>
        <v>0</v>
      </c>
      <c r="U228" s="37">
        <v>8.0000000000000004E-4</v>
      </c>
      <c r="V228" s="19"/>
      <c r="W228" s="19"/>
      <c r="X228" s="19"/>
      <c r="Y228" s="240"/>
    </row>
    <row r="229" spans="15:27" ht="16.5" x14ac:dyDescent="0.25">
      <c r="O229" s="96"/>
      <c r="P229" s="429" t="s">
        <v>123</v>
      </c>
      <c r="Q229" s="429"/>
      <c r="R229" s="429"/>
      <c r="S229" s="88">
        <v>0</v>
      </c>
      <c r="T229" s="106">
        <f>S229*U229</f>
        <v>0</v>
      </c>
      <c r="U229" s="91">
        <v>8.0000000000000004E-4</v>
      </c>
      <c r="V229" s="19"/>
      <c r="W229" s="19"/>
      <c r="X229" s="19"/>
      <c r="Y229" s="240"/>
    </row>
    <row r="230" spans="15:27" ht="16.5" x14ac:dyDescent="0.25">
      <c r="O230" s="96"/>
      <c r="P230" s="427" t="s">
        <v>124</v>
      </c>
      <c r="Q230" s="427"/>
      <c r="R230" s="427"/>
      <c r="S230" s="88">
        <v>1</v>
      </c>
      <c r="T230" s="106">
        <f>S230*U230</f>
        <v>5.0000000000000001E-3</v>
      </c>
      <c r="U230" s="91">
        <v>5.0000000000000001E-3</v>
      </c>
      <c r="V230" s="19"/>
      <c r="W230" s="19"/>
      <c r="X230" s="19"/>
      <c r="Y230" s="240"/>
    </row>
    <row r="231" spans="15:27" ht="16.5" x14ac:dyDescent="0.25">
      <c r="O231" s="96"/>
      <c r="P231" s="427" t="s">
        <v>125</v>
      </c>
      <c r="Q231" s="427"/>
      <c r="R231" s="427"/>
      <c r="S231" s="88">
        <v>1</v>
      </c>
      <c r="T231" s="115">
        <f>U231*(S231/S226)</f>
        <v>7.0000000000000001E-3</v>
      </c>
      <c r="U231" s="91">
        <v>7.0000000000000001E-3</v>
      </c>
      <c r="V231" s="19"/>
      <c r="W231" s="19"/>
      <c r="X231" s="19"/>
      <c r="Y231" s="240"/>
    </row>
    <row r="232" spans="15:27" ht="17.25" thickBot="1" x14ac:dyDescent="0.3">
      <c r="O232" s="96" t="str">
        <f>P224</f>
        <v>Poinconnage</v>
      </c>
      <c r="P232" s="97"/>
      <c r="Q232" s="98" t="s">
        <v>129</v>
      </c>
      <c r="R232" s="122">
        <f>SUM(0.2,PRODUCT(0.08,S225))</f>
        <v>0.60000000000000009</v>
      </c>
      <c r="S232" s="99" t="s">
        <v>117</v>
      </c>
      <c r="T232" s="100">
        <f>SUM(T225:T231)*1.3</f>
        <v>4.4200000000000003E-2</v>
      </c>
      <c r="U232" s="123">
        <f>PRODUCT(T232,3600)</f>
        <v>159.12</v>
      </c>
      <c r="V232" s="19"/>
      <c r="W232" s="19"/>
      <c r="X232" s="19"/>
      <c r="Y232" s="240"/>
    </row>
    <row r="233" spans="15:27" ht="16.5" x14ac:dyDescent="0.25">
      <c r="O233" s="131"/>
      <c r="P233" s="132"/>
      <c r="Q233" s="189"/>
      <c r="R233" s="189"/>
      <c r="S233" s="189"/>
      <c r="T233" s="189"/>
      <c r="U233" s="132"/>
      <c r="V233" s="132"/>
      <c r="W233" s="132"/>
      <c r="X233" s="132"/>
      <c r="Y233" s="245"/>
    </row>
    <row r="234" spans="15:27" x14ac:dyDescent="0.2">
      <c r="O234" s="9" t="str">
        <f>CHAR(64+INT(ROW()/45)+1)</f>
        <v>F</v>
      </c>
      <c r="Q234" s="196" t="s">
        <v>45</v>
      </c>
      <c r="R234" s="196" t="s">
        <v>141</v>
      </c>
      <c r="S234" s="196" t="s">
        <v>142</v>
      </c>
      <c r="T234" s="196" t="s">
        <v>8</v>
      </c>
      <c r="U234" s="10"/>
      <c r="V234" s="2" t="s">
        <v>9</v>
      </c>
      <c r="W234" s="2" t="s">
        <v>10</v>
      </c>
      <c r="Z234" s="5">
        <v>1</v>
      </c>
    </row>
    <row r="235" spans="15:27" ht="16.5" x14ac:dyDescent="0.25">
      <c r="O235" s="18"/>
      <c r="P235" s="19"/>
      <c r="Q235" s="190">
        <v>0</v>
      </c>
      <c r="R235" s="190">
        <v>0</v>
      </c>
      <c r="S235" s="190">
        <v>0</v>
      </c>
      <c r="T235" s="190" t="s">
        <v>23</v>
      </c>
      <c r="U235" s="20">
        <f>VLOOKUP(T235,DensiteMatiere,2,0)</f>
        <v>7.8</v>
      </c>
      <c r="V235" s="19">
        <f>(Q235*R235*S235*U235)/1000000</f>
        <v>0</v>
      </c>
      <c r="W235" s="19">
        <f>Q235*R235*2/1000000</f>
        <v>0</v>
      </c>
      <c r="X235" s="19"/>
      <c r="Y235" s="240"/>
    </row>
    <row r="236" spans="15:27" ht="16.5" x14ac:dyDescent="0.25">
      <c r="O236" s="18"/>
      <c r="P236" s="19"/>
      <c r="Q236" s="19"/>
      <c r="R236" s="19"/>
      <c r="S236" s="19"/>
      <c r="T236" s="19"/>
      <c r="U236" s="19"/>
      <c r="V236" s="19"/>
      <c r="W236" s="19"/>
      <c r="X236" s="19"/>
      <c r="Y236" s="240"/>
    </row>
    <row r="237" spans="15:27" ht="16.5" x14ac:dyDescent="0.25">
      <c r="O237" s="18"/>
      <c r="P237" s="19"/>
      <c r="Q237" s="415" t="s">
        <v>143</v>
      </c>
      <c r="R237" s="415"/>
      <c r="S237" s="19"/>
      <c r="T237" s="191" t="s">
        <v>26</v>
      </c>
      <c r="U237" s="19"/>
      <c r="V237" s="19"/>
      <c r="W237" s="19"/>
      <c r="X237" s="19"/>
      <c r="Y237" s="240"/>
    </row>
    <row r="238" spans="15:27" ht="16.5" x14ac:dyDescent="0.25">
      <c r="O238" s="18"/>
      <c r="P238" s="19"/>
      <c r="Q238" s="190">
        <v>5</v>
      </c>
      <c r="R238" s="190">
        <v>5</v>
      </c>
      <c r="S238" s="35"/>
      <c r="T238" s="190">
        <v>0</v>
      </c>
      <c r="U238" s="19"/>
      <c r="V238" s="19"/>
      <c r="W238" s="19"/>
      <c r="X238" s="19"/>
      <c r="Y238" s="240"/>
    </row>
    <row r="239" spans="15:27" ht="16.5" x14ac:dyDescent="0.25">
      <c r="P239" s="19"/>
      <c r="Q239" s="19"/>
      <c r="R239" s="19"/>
      <c r="S239" s="19"/>
      <c r="T239" s="19"/>
      <c r="U239" s="19"/>
      <c r="V239" s="19"/>
      <c r="W239" s="19"/>
      <c r="X239" s="19"/>
      <c r="Y239" s="240"/>
    </row>
    <row r="240" spans="15:27" ht="16.5" x14ac:dyDescent="0.2">
      <c r="P240" s="464" t="s">
        <v>37</v>
      </c>
      <c r="Q240" s="464"/>
      <c r="R240" s="464"/>
      <c r="S240" s="240"/>
      <c r="T240" s="240"/>
      <c r="U240" s="240"/>
      <c r="V240" s="450" t="s">
        <v>38</v>
      </c>
      <c r="W240" s="450"/>
      <c r="X240" s="450"/>
      <c r="Y240" s="246"/>
      <c r="Z240" s="239"/>
      <c r="AA240" s="277"/>
    </row>
    <row r="241" spans="15:27" ht="16.5" x14ac:dyDescent="0.2">
      <c r="O241" s="44">
        <f>MIN(T245,T246,T248,T249,T251,T252)</f>
        <v>0</v>
      </c>
      <c r="P241" s="250" t="s">
        <v>44</v>
      </c>
      <c r="Q241" s="250" t="s">
        <v>45</v>
      </c>
      <c r="R241" s="250" t="s">
        <v>46</v>
      </c>
      <c r="S241" s="250" t="s">
        <v>47</v>
      </c>
      <c r="T241" s="250" t="s">
        <v>48</v>
      </c>
      <c r="U241" s="250" t="s">
        <v>49</v>
      </c>
      <c r="V241" s="233" t="s">
        <v>50</v>
      </c>
      <c r="W241" s="233" t="s">
        <v>46</v>
      </c>
      <c r="X241" s="233" t="s">
        <v>9</v>
      </c>
      <c r="Y241" s="247" t="s">
        <v>39</v>
      </c>
      <c r="Z241" s="251" t="s">
        <v>422</v>
      </c>
      <c r="AA241" s="251" t="s">
        <v>423</v>
      </c>
    </row>
    <row r="242" spans="15:27" ht="16.5" x14ac:dyDescent="0.2">
      <c r="O242" s="18"/>
      <c r="P242" s="262" t="s">
        <v>71</v>
      </c>
      <c r="Q242" s="233">
        <v>4000</v>
      </c>
      <c r="R242" s="233">
        <v>2000</v>
      </c>
      <c r="S242" s="233">
        <f>IF(P242="","",(INT((Q242/($Q235+$Q238)))*INT(((R242-$T238)/($R235+$R238)))))</f>
        <v>320000</v>
      </c>
      <c r="T242" s="263">
        <f>(Q242*R242*S235*U235)/S242/1000000</f>
        <v>0</v>
      </c>
      <c r="U242" s="264">
        <f>IF(P242="","",(($Q242*$R242)-(Q235*R235*$S242))/($Q242*$R242))</f>
        <v>1</v>
      </c>
      <c r="V242" s="253">
        <f>(Q242-Q238*Z242)/Z242</f>
        <v>3.1269543464665416E-3</v>
      </c>
      <c r="W242" s="253">
        <f>(R242-R238*AA242)/AA242</f>
        <v>6.2578222778473091E-3</v>
      </c>
      <c r="X242" s="256">
        <f>V242*W242*S235*U235/$U$3</f>
        <v>0</v>
      </c>
      <c r="Y242" s="248">
        <f>Q242*R242*S235*U235/1000000</f>
        <v>0</v>
      </c>
      <c r="Z242" s="254">
        <f>(Q242/(Q238+Q235))-0.5</f>
        <v>799.5</v>
      </c>
      <c r="AA242" s="254">
        <f>(R242/(R235+R238))-0.5</f>
        <v>399.5</v>
      </c>
    </row>
    <row r="243" spans="15:27" ht="16.5" x14ac:dyDescent="0.2">
      <c r="O243" s="18"/>
      <c r="P243" s="262" t="s">
        <v>71</v>
      </c>
      <c r="Q243" s="233">
        <v>2000</v>
      </c>
      <c r="R243" s="233">
        <v>4000</v>
      </c>
      <c r="S243" s="233">
        <f>IF(P243="","",(INT((Q243/($Q235+$Q238)))*INT(((R243-$T238)/($R235+$R238)))))</f>
        <v>320000</v>
      </c>
      <c r="T243" s="263">
        <f>(Q243*R243*S235*U235)/S243/1000000</f>
        <v>0</v>
      </c>
      <c r="U243" s="264">
        <f>IF(P243="","",(($Q243*$R243)-(Q235*R235*$S243))/($Q243*$R243))</f>
        <v>1</v>
      </c>
      <c r="V243" s="253">
        <f>(Q243-Q238*Z243)/Z243</f>
        <v>6.2578222778473091E-3</v>
      </c>
      <c r="W243" s="253">
        <f>(R243-R238*AA243)/AA243</f>
        <v>3.1269543464665416E-3</v>
      </c>
      <c r="X243" s="256">
        <f>V243*W243*S235*U235/$U$3</f>
        <v>0</v>
      </c>
      <c r="Y243" s="248">
        <f>Q243*R243*S235*U235/1000000</f>
        <v>0</v>
      </c>
      <c r="Z243" s="254">
        <f>Q243/(Q235+Q238)-0.5</f>
        <v>399.5</v>
      </c>
      <c r="AA243" s="254">
        <f>(R243/(R235+R238))-0.5</f>
        <v>799.5</v>
      </c>
    </row>
    <row r="244" spans="15:27" ht="16.5" x14ac:dyDescent="0.2">
      <c r="O244" s="18"/>
      <c r="P244" s="266"/>
      <c r="Q244" s="266"/>
      <c r="R244" s="266"/>
      <c r="S244" s="266"/>
      <c r="T244" s="266"/>
      <c r="U244" s="267"/>
      <c r="V244" s="252"/>
      <c r="W244" s="252"/>
      <c r="X244" s="278"/>
      <c r="Y244" s="241"/>
      <c r="Z244" s="279"/>
      <c r="AA244" s="280"/>
    </row>
    <row r="245" spans="15:27" ht="16.5" x14ac:dyDescent="0.2">
      <c r="O245" s="18" t="str">
        <f>IF(T245=$O241,$AE$4,"")</f>
        <v>------&gt;</v>
      </c>
      <c r="P245" s="262" t="s">
        <v>71</v>
      </c>
      <c r="Q245" s="233">
        <v>3000</v>
      </c>
      <c r="R245" s="233">
        <v>1500</v>
      </c>
      <c r="S245" s="233">
        <f>IF(P245="","",(INT((Q245/($Q235:Q235+$Q238)))*INT(((R245-$T238)/($R235+$R238)))))</f>
        <v>180000</v>
      </c>
      <c r="T245" s="263">
        <f>(Q245*R245*S235*U235)/S245/1000000</f>
        <v>0</v>
      </c>
      <c r="U245" s="264">
        <f>IF(P245="","",(($Q245:Q245*$R245)-(Q235*R235*$S245))/($Q245*$R245))</f>
        <v>1</v>
      </c>
      <c r="V245" s="253">
        <f>(Q245-Q238*Z245)/Z245</f>
        <v>4.1701417848206837E-3</v>
      </c>
      <c r="W245" s="253">
        <f>(R245-R238*AA245)/AA245</f>
        <v>8.3472454090150246E-3</v>
      </c>
      <c r="X245" s="256">
        <f>V245*W245*S235*U235/$U$3</f>
        <v>0</v>
      </c>
      <c r="Y245" s="248">
        <f>Q245*R245*S235*U235/1000000</f>
        <v>0</v>
      </c>
      <c r="Z245" s="254">
        <f>(Q245/(Q235+Q238))-0.5</f>
        <v>599.5</v>
      </c>
      <c r="AA245" s="254">
        <f>(R245/(R235+R238))-0.5</f>
        <v>299.5</v>
      </c>
    </row>
    <row r="246" spans="15:27" ht="16.5" x14ac:dyDescent="0.2">
      <c r="O246" s="18" t="str">
        <f>IF(T246=$O241,$AE$4,"")</f>
        <v>------&gt;</v>
      </c>
      <c r="P246" s="262" t="s">
        <v>71</v>
      </c>
      <c r="Q246" s="233">
        <v>1500</v>
      </c>
      <c r="R246" s="233">
        <v>3000</v>
      </c>
      <c r="S246" s="233">
        <f>IF(P246="","",(INT((Q246/($Q235+$Q238)))*INT(((R246-$T238)/($R235+$R238)))))</f>
        <v>180000</v>
      </c>
      <c r="T246" s="263">
        <f>(Q246*R246*S235*U235)/S246/1000000</f>
        <v>0</v>
      </c>
      <c r="U246" s="264">
        <f>IF(P246="","",(($Q246*$R246)-(Q235*R235*$S246))/($Q246*$R246))</f>
        <v>1</v>
      </c>
      <c r="V246" s="253">
        <f>(Q246-Q238*Z246)/Z246</f>
        <v>8.3472454090150246E-3</v>
      </c>
      <c r="W246" s="253">
        <f>(R246-R238*AA246)/AA246</f>
        <v>4.1701417848206837E-3</v>
      </c>
      <c r="X246" s="256">
        <f>V246*W246*S235*U235/$U$3</f>
        <v>0</v>
      </c>
      <c r="Y246" s="248">
        <f>Q246*R246*S235*U235/1000000</f>
        <v>0</v>
      </c>
      <c r="Z246" s="254">
        <f>Q246/(Q235+Q238)-0.5</f>
        <v>299.5</v>
      </c>
      <c r="AA246" s="254">
        <f>(R246/(R235+R238))-0.5</f>
        <v>599.5</v>
      </c>
    </row>
    <row r="247" spans="15:27" ht="16.5" x14ac:dyDescent="0.2">
      <c r="O247" s="18"/>
      <c r="P247" s="266"/>
      <c r="Q247" s="266"/>
      <c r="R247" s="266"/>
      <c r="S247" s="266"/>
      <c r="T247" s="266"/>
      <c r="U247" s="267"/>
      <c r="V247" s="252"/>
      <c r="W247" s="252"/>
      <c r="X247" s="278"/>
      <c r="Y247" s="241"/>
      <c r="Z247" s="279"/>
      <c r="AA247" s="280"/>
    </row>
    <row r="248" spans="15:27" ht="16.5" x14ac:dyDescent="0.2">
      <c r="O248" s="18" t="str">
        <f>IF(T248=$O241,$AE$4,"")</f>
        <v>------&gt;</v>
      </c>
      <c r="P248" s="262" t="s">
        <v>71</v>
      </c>
      <c r="Q248" s="233">
        <v>2500</v>
      </c>
      <c r="R248" s="233">
        <v>1250</v>
      </c>
      <c r="S248" s="233">
        <f>IF(P248="","",(INT((Q248/($Q235+$Q238)))*INT(((R248-$T238)/($R235+$R238)))))</f>
        <v>125000</v>
      </c>
      <c r="T248" s="263">
        <f>(Q248*R248*S235*U235)/S248/1000000</f>
        <v>0</v>
      </c>
      <c r="U248" s="264">
        <f>IF(P248="","",(($Q248*$R248)-(Q235*R235*$S248))/($Q248*$R248))</f>
        <v>1</v>
      </c>
      <c r="V248" s="253">
        <f>(Q248-Q238*Z248)/Z248</f>
        <v>5.005005005005005E-3</v>
      </c>
      <c r="W248" s="253">
        <f>(R248-R238*AA248)/AA248</f>
        <v>1.002004008016032E-2</v>
      </c>
      <c r="X248" s="256">
        <f>V248*W248*S235*U235/$U$3</f>
        <v>0</v>
      </c>
      <c r="Y248" s="248">
        <f>Q248*R248*S235*U235/1000000</f>
        <v>0</v>
      </c>
      <c r="Z248" s="254">
        <f>(Q248/(Q235+Q238))-0.5</f>
        <v>499.5</v>
      </c>
      <c r="AA248" s="254">
        <f>(R248/(R235+$R$8))-0.5</f>
        <v>249.5</v>
      </c>
    </row>
    <row r="249" spans="15:27" ht="16.5" x14ac:dyDescent="0.2">
      <c r="O249" s="18" t="str">
        <f>IF(T249=$O241,$AE$4,"")</f>
        <v>------&gt;</v>
      </c>
      <c r="P249" s="262" t="s">
        <v>71</v>
      </c>
      <c r="Q249" s="233">
        <v>1250</v>
      </c>
      <c r="R249" s="233">
        <v>2500</v>
      </c>
      <c r="S249" s="233">
        <f>IF(P249="","",(INT((Q249/($Q235+$Q238)))*INT(((R249-$T238)/($R235+$R238)))))</f>
        <v>125000</v>
      </c>
      <c r="T249" s="263">
        <f>(Q249*R249*S235*U235)/S249/1000000</f>
        <v>0</v>
      </c>
      <c r="U249" s="264">
        <f>IF(P249="","",(($Q249*$R249)-(Q235*R235*$S249))/($Q249*$R249))</f>
        <v>1</v>
      </c>
      <c r="V249" s="253">
        <f>(Q249-Q238*Z249)/Z249</f>
        <v>1.002004008016032E-2</v>
      </c>
      <c r="W249" s="253">
        <f>(R249-R238*AA249)/AA249</f>
        <v>5.005005005005005E-3</v>
      </c>
      <c r="X249" s="256">
        <f>V249*W249*S235*U235/$U$3</f>
        <v>0</v>
      </c>
      <c r="Y249" s="248">
        <f>Q249*R249*S235*U235/1000000</f>
        <v>0</v>
      </c>
      <c r="Z249" s="254">
        <f>Q249/(Q235+Q238)-0.5</f>
        <v>249.5</v>
      </c>
      <c r="AA249" s="254">
        <f>(R249/(R235+R238))-0.5</f>
        <v>499.5</v>
      </c>
    </row>
    <row r="250" spans="15:27" ht="16.5" x14ac:dyDescent="0.2">
      <c r="O250" s="18"/>
      <c r="P250" s="266"/>
      <c r="Q250" s="266"/>
      <c r="R250" s="266"/>
      <c r="S250" s="266"/>
      <c r="T250" s="266"/>
      <c r="U250" s="267"/>
      <c r="V250" s="252"/>
      <c r="W250" s="252"/>
      <c r="X250" s="278"/>
      <c r="Y250" s="241"/>
      <c r="Z250" s="279"/>
      <c r="AA250" s="280"/>
    </row>
    <row r="251" spans="15:27" ht="16.5" x14ac:dyDescent="0.2">
      <c r="O251" s="18" t="str">
        <f>IF(T251=$O241,$AE$4,"")</f>
        <v>------&gt;</v>
      </c>
      <c r="P251" s="262" t="s">
        <v>71</v>
      </c>
      <c r="Q251" s="233">
        <v>2000</v>
      </c>
      <c r="R251" s="233">
        <v>1000</v>
      </c>
      <c r="S251" s="233">
        <f>IF(P251="","",(INT((Q251/($Q235+$Q238)))*INT(((R251-$T238)/($R235+$R238)))))</f>
        <v>80000</v>
      </c>
      <c r="T251" s="263">
        <f>(Q251*R251*S235*U235)/S251/1000000</f>
        <v>0</v>
      </c>
      <c r="U251" s="264">
        <f>IF(P251="","",(($Q251*$R251)-(Q235*R235*$S251))/($Q251*$R251))</f>
        <v>1</v>
      </c>
      <c r="V251" s="253">
        <f>(Q251-Q238*Z251)/Z251</f>
        <v>6.2578222778473091E-3</v>
      </c>
      <c r="W251" s="253">
        <f>(R251-R238*AA251)/AA251</f>
        <v>1.2531328320802004E-2</v>
      </c>
      <c r="X251" s="256">
        <f>V251*W251*S235*U235/$U$3</f>
        <v>0</v>
      </c>
      <c r="Y251" s="248">
        <f>Q251*R251*S235*U235/1000000</f>
        <v>0</v>
      </c>
      <c r="Z251" s="254">
        <f>(Q251/(Q235+Q238))-0.5</f>
        <v>399.5</v>
      </c>
      <c r="AA251" s="254">
        <f>(R251/(R235+R238))-0.5</f>
        <v>199.5</v>
      </c>
    </row>
    <row r="252" spans="15:27" ht="16.5" x14ac:dyDescent="0.2">
      <c r="O252" s="18" t="str">
        <f>IF(T252=$O241,$AE$4,"")</f>
        <v>------&gt;</v>
      </c>
      <c r="P252" s="262" t="s">
        <v>71</v>
      </c>
      <c r="Q252" s="233">
        <v>1000</v>
      </c>
      <c r="R252" s="233">
        <v>2000</v>
      </c>
      <c r="S252" s="233">
        <f>IF(P252="","",(INT((Q252/($Q235+$Q238)))*INT(((R252-$T238)/($R235+$R238)))))</f>
        <v>80000</v>
      </c>
      <c r="T252" s="263">
        <f>(Q252*R252*S235*U235)/S252/1000000</f>
        <v>0</v>
      </c>
      <c r="U252" s="264">
        <f>IF(P252="","",(($Q252*$R252)-(Q235*R235*$S252))/($Q252*$R252))</f>
        <v>1</v>
      </c>
      <c r="V252" s="253">
        <f>(Q252-Q238*Z252)/Z252</f>
        <v>1.2531328320802004E-2</v>
      </c>
      <c r="W252" s="253">
        <f>(R252-R238*AA252)/AA252</f>
        <v>6.2578222778473091E-3</v>
      </c>
      <c r="X252" s="256">
        <f>V252*W252*S235*U235/$U$3</f>
        <v>0</v>
      </c>
      <c r="Y252" s="248">
        <f>Q252*R252*S235*U235/1000000</f>
        <v>0</v>
      </c>
      <c r="Z252" s="254">
        <f>Q252/(Q235+Q238)-0.5</f>
        <v>199.5</v>
      </c>
      <c r="AA252" s="254">
        <f>(R252/(R235+R238))-0.5</f>
        <v>399.5</v>
      </c>
    </row>
    <row r="253" spans="15:27" ht="16.5" x14ac:dyDescent="0.2">
      <c r="O253" s="18"/>
      <c r="P253" s="266"/>
      <c r="Q253" s="266"/>
      <c r="R253" s="266"/>
      <c r="S253" s="266"/>
      <c r="T253" s="266"/>
      <c r="U253" s="267"/>
      <c r="V253" s="252"/>
      <c r="W253" s="252"/>
      <c r="X253" s="278"/>
      <c r="Y253" s="241"/>
      <c r="Z253" s="279"/>
      <c r="AA253" s="280"/>
    </row>
    <row r="254" spans="15:27" ht="16.5" x14ac:dyDescent="0.2">
      <c r="O254" s="18"/>
      <c r="P254" s="281" t="s">
        <v>71</v>
      </c>
      <c r="Q254" s="271">
        <v>500</v>
      </c>
      <c r="R254" s="271">
        <v>200</v>
      </c>
      <c r="S254" s="233">
        <f>IF(P254="","",(INT((Q254/($Q235+$Q238)))*INT(((R254-$T238)/($R235+$R238)))))</f>
        <v>4000</v>
      </c>
      <c r="T254" s="263">
        <f>(Q254*R254*S235*U235)/S254/1000000</f>
        <v>0</v>
      </c>
      <c r="U254" s="264">
        <f>IF(P254="","",(($Q254*$R254)-(Q235*R235*$S254))/($Q254*$R254))</f>
        <v>1</v>
      </c>
      <c r="V254" s="253">
        <f>(Q254-Q238*Z254)/Z254</f>
        <v>2.5125628140703519E-2</v>
      </c>
      <c r="W254" s="253">
        <f>(R254-R238*AA254)/AA254</f>
        <v>6.3291139240506333E-2</v>
      </c>
      <c r="X254" s="256">
        <f>V254*W254*S235*U235/$U$3</f>
        <v>0</v>
      </c>
      <c r="Y254" s="248">
        <f>Q254*R254*S235*U235/1000000</f>
        <v>0</v>
      </c>
      <c r="Z254" s="254">
        <f>(Q254/(Q235+Q238))-0.5</f>
        <v>99.5</v>
      </c>
      <c r="AA254" s="254">
        <f>(R254/(R235+R238))-0.5</f>
        <v>39.5</v>
      </c>
    </row>
    <row r="255" spans="15:27" ht="16.5" x14ac:dyDescent="0.2">
      <c r="O255" s="18"/>
      <c r="P255" s="281" t="s">
        <v>71</v>
      </c>
      <c r="Q255" s="251">
        <f>R254</f>
        <v>200</v>
      </c>
      <c r="R255" s="251">
        <f>Q254</f>
        <v>500</v>
      </c>
      <c r="S255" s="233">
        <f>IF(P255="","",(INT((Q255/($Q235+$Q238)))*INT(((R255-$T238)/($R235+$R238)))))</f>
        <v>4000</v>
      </c>
      <c r="T255" s="263">
        <f>(Q255*R255*S235*U235)/S255/1000000</f>
        <v>0</v>
      </c>
      <c r="U255" s="264">
        <f>IF(P255="","",(($Q255*$R255)-(Q235*R235*$S255))/($Q255*$R255))</f>
        <v>1</v>
      </c>
      <c r="V255" s="253">
        <f>(Q255-Q238*Z255)/Z255</f>
        <v>6.3291139240506333E-2</v>
      </c>
      <c r="W255" s="253">
        <f>(R255-R238*AA255)/AA255</f>
        <v>2.5125628140703519E-2</v>
      </c>
      <c r="X255" s="256">
        <f>V255*W255*S235*U235/$U$3</f>
        <v>0</v>
      </c>
      <c r="Y255" s="248">
        <f>Q255*R255*S235*U235/1000000</f>
        <v>0</v>
      </c>
      <c r="Z255" s="254">
        <f>Q255/(Q235+Q238)-0.5</f>
        <v>39.5</v>
      </c>
      <c r="AA255" s="254">
        <f>(R255/(R235+R238))-0.5</f>
        <v>99.5</v>
      </c>
    </row>
    <row r="256" spans="15:27" ht="17.25" thickBot="1" x14ac:dyDescent="0.3">
      <c r="O256" s="5"/>
      <c r="P256" s="19"/>
      <c r="Q256" s="19"/>
      <c r="R256" s="19"/>
      <c r="S256" s="77" t="str">
        <f>IF(UPPER(S260)="OXYGENE","O2","NA")</f>
        <v>O2</v>
      </c>
      <c r="T256" s="255" t="str">
        <f>CONCATENATE(LOWER(T257),"-",S261,"-",T235,"-",S259,"-",S256)</f>
        <v>bystronic3015-0-acier-1-O2</v>
      </c>
      <c r="U256" s="77"/>
      <c r="V256" s="77"/>
      <c r="W256" s="77"/>
      <c r="X256" s="77"/>
      <c r="Y256" s="242"/>
    </row>
    <row r="257" spans="15:25" ht="17.25" thickBot="1" x14ac:dyDescent="0.3">
      <c r="O257" s="5"/>
      <c r="P257" s="19"/>
      <c r="Q257" s="19"/>
      <c r="R257" s="19"/>
      <c r="S257" s="19"/>
      <c r="T257" s="431" t="s">
        <v>99</v>
      </c>
      <c r="U257" s="431" t="e">
        <f>#N/A</f>
        <v>#N/A</v>
      </c>
      <c r="V257" s="432"/>
      <c r="W257" s="432"/>
      <c r="X257" s="433"/>
      <c r="Y257" s="433"/>
    </row>
    <row r="258" spans="15:25" ht="17.25" thickBot="1" x14ac:dyDescent="0.3">
      <c r="O258" s="5"/>
      <c r="P258" s="428" t="s">
        <v>103</v>
      </c>
      <c r="Q258" s="428"/>
      <c r="R258" s="428"/>
      <c r="S258" s="428"/>
      <c r="T258" s="79">
        <f>IF(ISERROR(VLOOKUP(T256,TempsLaser,2,0)),"ERREUR",VLOOKUP(T256,TempsLaser,2,0))</f>
        <v>8649.9999999999982</v>
      </c>
      <c r="U258" s="80" t="s">
        <v>104</v>
      </c>
      <c r="V258" s="81"/>
      <c r="W258" s="82"/>
      <c r="X258" s="81"/>
      <c r="Y258" s="243"/>
    </row>
    <row r="259" spans="15:25" ht="16.5" x14ac:dyDescent="0.25">
      <c r="O259" s="5"/>
      <c r="P259" s="83"/>
      <c r="Q259" s="426" t="s">
        <v>105</v>
      </c>
      <c r="R259" s="426"/>
      <c r="S259" s="84">
        <f>IF(S235&lt;1,1,IF(S235-INT(S235)=0,S235, IF(S235-INT(S235)&lt;=0.5,0.5+INT(S235),1+INT(S235))))</f>
        <v>1</v>
      </c>
      <c r="T259" s="85">
        <f>IF(ISERROR(VLOOKUP(T256,TempsLaser,3,0)),"ERREUR",VLOOKUP(T256,TempsLaser,3,0))</f>
        <v>7100</v>
      </c>
      <c r="U259" s="86" t="s">
        <v>106</v>
      </c>
      <c r="V259" s="87"/>
      <c r="W259" s="82"/>
      <c r="X259" s="87"/>
      <c r="Y259" s="243"/>
    </row>
    <row r="260" spans="15:25" ht="16.5" x14ac:dyDescent="0.25">
      <c r="O260" s="5"/>
      <c r="P260" s="83"/>
      <c r="Q260" s="426" t="s">
        <v>108</v>
      </c>
      <c r="R260" s="426"/>
      <c r="S260" s="88" t="s">
        <v>109</v>
      </c>
      <c r="T260" s="85"/>
      <c r="U260" s="86"/>
      <c r="V260" s="87"/>
      <c r="W260" s="82"/>
      <c r="X260" s="87"/>
      <c r="Y260" s="243"/>
    </row>
    <row r="261" spans="15:25" ht="16.5" x14ac:dyDescent="0.25">
      <c r="O261" s="5"/>
      <c r="P261" s="83"/>
      <c r="Q261" s="425" t="s">
        <v>110</v>
      </c>
      <c r="R261" s="425"/>
      <c r="S261" s="88">
        <v>0</v>
      </c>
      <c r="T261" s="85"/>
      <c r="U261" s="86"/>
      <c r="V261" s="87"/>
      <c r="W261" s="82"/>
      <c r="X261" s="87"/>
      <c r="Y261" s="243"/>
    </row>
    <row r="262" spans="15:25" ht="16.5" x14ac:dyDescent="0.25">
      <c r="O262" s="5"/>
      <c r="P262" s="83"/>
      <c r="Q262" s="426" t="s">
        <v>111</v>
      </c>
      <c r="R262" s="426"/>
      <c r="S262" s="89">
        <f>(Q235+R235)*2</f>
        <v>0</v>
      </c>
      <c r="T262" s="90">
        <f>(S262/T258)/60</f>
        <v>0</v>
      </c>
      <c r="U262" s="91"/>
      <c r="V262" s="92"/>
      <c r="W262" s="93"/>
      <c r="X262" s="92"/>
      <c r="Y262" s="244"/>
    </row>
    <row r="263" spans="15:25" ht="16.5" x14ac:dyDescent="0.25">
      <c r="O263" s="5"/>
      <c r="P263" s="83"/>
      <c r="Q263" s="426" t="s">
        <v>112</v>
      </c>
      <c r="R263" s="426"/>
      <c r="S263" s="89">
        <v>0</v>
      </c>
      <c r="T263" s="90">
        <f>((S263*40)/T259)/60</f>
        <v>0</v>
      </c>
      <c r="U263" s="91"/>
      <c r="V263" s="92"/>
      <c r="W263" s="93"/>
      <c r="X263" s="92"/>
      <c r="Y263" s="244"/>
    </row>
    <row r="264" spans="15:25" ht="16.5" x14ac:dyDescent="0.25">
      <c r="O264" s="5"/>
      <c r="P264" s="83"/>
      <c r="Q264" s="426" t="s">
        <v>113</v>
      </c>
      <c r="R264" s="426"/>
      <c r="S264" s="88">
        <f>S263+1</f>
        <v>1</v>
      </c>
      <c r="T264" s="90">
        <f>U264*S259*S264</f>
        <v>2.7E-4</v>
      </c>
      <c r="U264" s="91">
        <v>2.7E-4</v>
      </c>
      <c r="V264" s="92"/>
      <c r="W264" s="93"/>
      <c r="X264" s="92"/>
      <c r="Y264" s="244"/>
    </row>
    <row r="265" spans="15:25" ht="16.5" x14ac:dyDescent="0.25">
      <c r="O265" s="5"/>
      <c r="P265" s="83"/>
      <c r="Q265" s="426" t="s">
        <v>114</v>
      </c>
      <c r="R265" s="426"/>
      <c r="S265" s="88">
        <v>0</v>
      </c>
      <c r="T265" s="94">
        <v>0</v>
      </c>
      <c r="U265" s="95"/>
      <c r="V265" s="92"/>
      <c r="W265" s="93"/>
      <c r="X265" s="92"/>
      <c r="Y265" s="244"/>
    </row>
    <row r="266" spans="15:25" ht="16.5" x14ac:dyDescent="0.25">
      <c r="O266" s="96"/>
      <c r="P266" s="83"/>
      <c r="Q266" s="426" t="s">
        <v>115</v>
      </c>
      <c r="R266" s="426"/>
      <c r="S266" s="88">
        <v>0</v>
      </c>
      <c r="T266" s="90">
        <f>U266*S266</f>
        <v>0</v>
      </c>
      <c r="U266" s="91">
        <v>4.1000000000000003E-3</v>
      </c>
      <c r="V266" s="92"/>
      <c r="W266" s="93"/>
      <c r="X266" s="92"/>
      <c r="Y266" s="244"/>
    </row>
    <row r="267" spans="15:25" ht="16.5" x14ac:dyDescent="0.25">
      <c r="O267" s="96"/>
      <c r="P267" s="83"/>
      <c r="Q267" s="426" t="s">
        <v>116</v>
      </c>
      <c r="R267" s="426"/>
      <c r="S267" s="89">
        <v>0</v>
      </c>
      <c r="T267" s="90">
        <f>((S262+S263*10)/8000)/60*IF(S267,1,0)</f>
        <v>0</v>
      </c>
      <c r="U267" s="91"/>
      <c r="V267" s="92"/>
      <c r="W267" s="93"/>
      <c r="X267" s="92"/>
      <c r="Y267" s="244"/>
    </row>
    <row r="268" spans="15:25" ht="17.25" thickBot="1" x14ac:dyDescent="0.3">
      <c r="O268" s="96" t="str">
        <f>P258</f>
        <v>LASER</v>
      </c>
      <c r="P268" s="97"/>
      <c r="Q268" s="98"/>
      <c r="R268" s="98"/>
      <c r="S268" s="99" t="s">
        <v>117</v>
      </c>
      <c r="T268" s="100">
        <f>SUM(T262:T267)*1.3</f>
        <v>3.5100000000000002E-4</v>
      </c>
      <c r="U268" s="101"/>
      <c r="V268" s="102"/>
      <c r="W268" s="93"/>
      <c r="X268" s="103"/>
      <c r="Y268" s="244"/>
    </row>
    <row r="269" spans="15:25" ht="17.25" thickBot="1" x14ac:dyDescent="0.3">
      <c r="O269" s="96"/>
      <c r="P269" s="19"/>
      <c r="Q269" s="19"/>
      <c r="R269" s="19"/>
      <c r="S269" s="19"/>
      <c r="T269" s="19"/>
      <c r="U269" s="19"/>
      <c r="V269" s="19"/>
      <c r="W269" s="19"/>
      <c r="X269" s="19"/>
      <c r="Y269" s="240"/>
    </row>
    <row r="270" spans="15:25" ht="17.25" thickBot="1" x14ac:dyDescent="0.3">
      <c r="O270" s="96"/>
      <c r="P270" s="428" t="s">
        <v>118</v>
      </c>
      <c r="Q270" s="428"/>
      <c r="R270" s="428"/>
      <c r="S270" s="428"/>
      <c r="T270" s="428"/>
      <c r="U270" s="428"/>
      <c r="V270" s="19"/>
      <c r="W270" s="19"/>
      <c r="X270" s="19"/>
      <c r="Y270" s="240"/>
    </row>
    <row r="271" spans="15:25" ht="16.5" x14ac:dyDescent="0.25">
      <c r="O271" s="96"/>
      <c r="P271" s="429" t="s">
        <v>119</v>
      </c>
      <c r="Q271" s="429"/>
      <c r="R271" s="429" t="e">
        <f>#N/A</f>
        <v>#N/A</v>
      </c>
      <c r="S271" s="88">
        <v>5</v>
      </c>
      <c r="T271" s="104">
        <f>(S271/S272)*U271</f>
        <v>1.4999999999999999E-2</v>
      </c>
      <c r="U271" s="105">
        <v>3.0000000000000001E-3</v>
      </c>
      <c r="V271" s="19"/>
      <c r="W271" s="19"/>
      <c r="X271" s="19"/>
      <c r="Y271" s="240"/>
    </row>
    <row r="272" spans="15:25" ht="16.5" x14ac:dyDescent="0.25">
      <c r="O272" s="96"/>
      <c r="P272" s="429" t="s">
        <v>120</v>
      </c>
      <c r="Q272" s="429"/>
      <c r="R272" s="429"/>
      <c r="S272" s="88">
        <v>1</v>
      </c>
      <c r="T272" s="106"/>
      <c r="U272" s="91"/>
      <c r="V272" s="19"/>
      <c r="W272" s="19"/>
      <c r="X272" s="19"/>
      <c r="Y272" s="240"/>
    </row>
    <row r="273" spans="15:27" ht="16.5" x14ac:dyDescent="0.25">
      <c r="O273" s="96"/>
      <c r="P273" s="429" t="s">
        <v>121</v>
      </c>
      <c r="Q273" s="429"/>
      <c r="R273" s="429"/>
      <c r="S273" s="88">
        <f>(Q235*2+R235*2)/50+50</f>
        <v>50</v>
      </c>
      <c r="T273" s="106">
        <f>S273*U273</f>
        <v>7.000000000000001E-3</v>
      </c>
      <c r="U273" s="37">
        <v>1.4000000000000001E-4</v>
      </c>
      <c r="V273" s="19"/>
      <c r="W273" s="19"/>
      <c r="X273" s="19"/>
      <c r="Y273" s="240"/>
    </row>
    <row r="274" spans="15:27" ht="16.5" x14ac:dyDescent="0.25">
      <c r="O274" s="96"/>
      <c r="P274" s="429" t="s">
        <v>122</v>
      </c>
      <c r="Q274" s="429"/>
      <c r="R274" s="429"/>
      <c r="S274" s="88">
        <v>0</v>
      </c>
      <c r="T274" s="106">
        <f>S274*U274</f>
        <v>0</v>
      </c>
      <c r="U274" s="37">
        <v>8.0000000000000004E-4</v>
      </c>
      <c r="V274" s="19"/>
      <c r="W274" s="19"/>
      <c r="X274" s="19"/>
      <c r="Y274" s="240"/>
    </row>
    <row r="275" spans="15:27" ht="16.5" x14ac:dyDescent="0.25">
      <c r="O275" s="96"/>
      <c r="P275" s="429" t="s">
        <v>123</v>
      </c>
      <c r="Q275" s="429"/>
      <c r="R275" s="429"/>
      <c r="S275" s="88">
        <v>0</v>
      </c>
      <c r="T275" s="106">
        <f>S275*U275</f>
        <v>0</v>
      </c>
      <c r="U275" s="91">
        <v>8.0000000000000004E-4</v>
      </c>
      <c r="V275" s="19"/>
      <c r="W275" s="19"/>
      <c r="X275" s="19"/>
      <c r="Y275" s="240"/>
    </row>
    <row r="276" spans="15:27" ht="16.5" x14ac:dyDescent="0.25">
      <c r="O276" s="96"/>
      <c r="P276" s="427" t="s">
        <v>124</v>
      </c>
      <c r="Q276" s="427"/>
      <c r="R276" s="427"/>
      <c r="S276" s="88">
        <v>1</v>
      </c>
      <c r="T276" s="106">
        <f>S276*U276</f>
        <v>5.0000000000000001E-3</v>
      </c>
      <c r="U276" s="91">
        <v>5.0000000000000001E-3</v>
      </c>
      <c r="V276" s="19"/>
      <c r="W276" s="19"/>
      <c r="X276" s="19"/>
      <c r="Y276" s="240"/>
    </row>
    <row r="277" spans="15:27" ht="16.5" x14ac:dyDescent="0.25">
      <c r="O277" s="96"/>
      <c r="P277" s="427" t="s">
        <v>125</v>
      </c>
      <c r="Q277" s="427"/>
      <c r="R277" s="427"/>
      <c r="S277" s="88">
        <v>1</v>
      </c>
      <c r="T277" s="115">
        <f>U277*(S277/S272)</f>
        <v>7.0000000000000001E-3</v>
      </c>
      <c r="U277" s="91">
        <v>7.0000000000000001E-3</v>
      </c>
      <c r="V277" s="19"/>
      <c r="W277" s="19"/>
      <c r="X277" s="19"/>
      <c r="Y277" s="240"/>
    </row>
    <row r="278" spans="15:27" ht="17.25" thickBot="1" x14ac:dyDescent="0.3">
      <c r="O278" s="96" t="str">
        <f>P270</f>
        <v>Poinconnage</v>
      </c>
      <c r="P278" s="97"/>
      <c r="Q278" s="98" t="s">
        <v>129</v>
      </c>
      <c r="R278" s="122">
        <f>SUM(0.2,PRODUCT(0.08,S271))</f>
        <v>0.60000000000000009</v>
      </c>
      <c r="S278" s="99" t="s">
        <v>117</v>
      </c>
      <c r="T278" s="100">
        <f>SUM(T271:T277)*1.3</f>
        <v>4.4200000000000003E-2</v>
      </c>
      <c r="U278" s="123">
        <f>PRODUCT(T278,3600)</f>
        <v>159.12</v>
      </c>
      <c r="V278" s="19"/>
      <c r="W278" s="19"/>
      <c r="X278" s="19"/>
      <c r="Y278" s="240"/>
    </row>
    <row r="279" spans="15:27" ht="16.5" x14ac:dyDescent="0.25">
      <c r="O279" s="131"/>
      <c r="P279" s="132"/>
      <c r="Q279" s="189"/>
      <c r="R279" s="189"/>
      <c r="S279" s="189"/>
      <c r="T279" s="189"/>
      <c r="U279" s="132"/>
      <c r="V279" s="132"/>
      <c r="W279" s="132"/>
      <c r="X279" s="132"/>
      <c r="Y279" s="245"/>
    </row>
    <row r="280" spans="15:27" x14ac:dyDescent="0.2">
      <c r="O280" s="9" t="str">
        <f>CHAR(64+INT(ROW()/45)+1)</f>
        <v>G</v>
      </c>
      <c r="Q280" s="196" t="s">
        <v>45</v>
      </c>
      <c r="R280" s="196" t="s">
        <v>141</v>
      </c>
      <c r="S280" s="196" t="s">
        <v>142</v>
      </c>
      <c r="T280" s="196" t="s">
        <v>8</v>
      </c>
      <c r="U280" s="10"/>
      <c r="V280" s="2" t="s">
        <v>9</v>
      </c>
      <c r="W280" s="2" t="s">
        <v>10</v>
      </c>
      <c r="Z280" s="5">
        <v>1</v>
      </c>
    </row>
    <row r="281" spans="15:27" ht="16.5" x14ac:dyDescent="0.25">
      <c r="O281" s="18"/>
      <c r="P281" s="19"/>
      <c r="Q281" s="190">
        <v>0</v>
      </c>
      <c r="R281" s="190">
        <v>0</v>
      </c>
      <c r="S281" s="190">
        <v>0</v>
      </c>
      <c r="T281" s="190" t="s">
        <v>23</v>
      </c>
      <c r="U281" s="20">
        <f>VLOOKUP(T281,DensiteMatiere,2,0)</f>
        <v>7.8</v>
      </c>
      <c r="V281" s="19">
        <f>(Q281*R281*S281*U281)/1000000</f>
        <v>0</v>
      </c>
      <c r="W281" s="19">
        <f>Q281*R281*2/1000000</f>
        <v>0</v>
      </c>
      <c r="X281" s="19"/>
      <c r="Y281" s="240"/>
    </row>
    <row r="282" spans="15:27" ht="16.5" x14ac:dyDescent="0.25">
      <c r="O282" s="18"/>
      <c r="P282" s="19"/>
      <c r="Q282" s="19"/>
      <c r="R282" s="19"/>
      <c r="S282" s="19"/>
      <c r="T282" s="19"/>
      <c r="U282" s="19"/>
      <c r="V282" s="19"/>
      <c r="W282" s="19"/>
      <c r="X282" s="19"/>
      <c r="Y282" s="240"/>
    </row>
    <row r="283" spans="15:27" ht="16.5" x14ac:dyDescent="0.25">
      <c r="O283" s="18"/>
      <c r="P283" s="19"/>
      <c r="Q283" s="415" t="s">
        <v>143</v>
      </c>
      <c r="R283" s="415"/>
      <c r="S283" s="19"/>
      <c r="T283" s="191" t="s">
        <v>26</v>
      </c>
      <c r="U283" s="19"/>
      <c r="V283" s="19"/>
      <c r="W283" s="19"/>
      <c r="X283" s="19"/>
      <c r="Y283" s="240"/>
    </row>
    <row r="284" spans="15:27" ht="16.5" x14ac:dyDescent="0.25">
      <c r="O284" s="18"/>
      <c r="P284" s="19"/>
      <c r="Q284" s="190">
        <v>5</v>
      </c>
      <c r="R284" s="190">
        <v>5</v>
      </c>
      <c r="S284" s="35"/>
      <c r="T284" s="190">
        <v>0</v>
      </c>
      <c r="U284" s="19"/>
      <c r="V284" s="19"/>
      <c r="W284" s="19"/>
      <c r="X284" s="19"/>
      <c r="Y284" s="240"/>
    </row>
    <row r="285" spans="15:27" ht="16.5" x14ac:dyDescent="0.25">
      <c r="P285" s="19"/>
      <c r="Q285" s="19"/>
      <c r="R285" s="19"/>
      <c r="S285" s="19"/>
      <c r="T285" s="19"/>
      <c r="U285" s="19"/>
      <c r="V285" s="19"/>
      <c r="W285" s="19"/>
      <c r="X285" s="19"/>
      <c r="Y285" s="240"/>
    </row>
    <row r="286" spans="15:27" ht="16.5" x14ac:dyDescent="0.2">
      <c r="P286" s="464" t="s">
        <v>37</v>
      </c>
      <c r="Q286" s="464"/>
      <c r="R286" s="464"/>
      <c r="S286" s="240"/>
      <c r="T286" s="240"/>
      <c r="U286" s="240"/>
      <c r="V286" s="450" t="s">
        <v>38</v>
      </c>
      <c r="W286" s="450"/>
      <c r="X286" s="450"/>
      <c r="Y286" s="246"/>
      <c r="Z286" s="239"/>
      <c r="AA286" s="277"/>
    </row>
    <row r="287" spans="15:27" ht="16.5" x14ac:dyDescent="0.2">
      <c r="O287" s="44">
        <f>MIN(T291,T292,T294,T295,T297,T298)</f>
        <v>0</v>
      </c>
      <c r="P287" s="250" t="s">
        <v>44</v>
      </c>
      <c r="Q287" s="250" t="s">
        <v>45</v>
      </c>
      <c r="R287" s="250" t="s">
        <v>46</v>
      </c>
      <c r="S287" s="250" t="s">
        <v>47</v>
      </c>
      <c r="T287" s="250" t="s">
        <v>48</v>
      </c>
      <c r="U287" s="250" t="s">
        <v>49</v>
      </c>
      <c r="V287" s="233" t="s">
        <v>50</v>
      </c>
      <c r="W287" s="233" t="s">
        <v>46</v>
      </c>
      <c r="X287" s="233" t="s">
        <v>9</v>
      </c>
      <c r="Y287" s="247" t="s">
        <v>39</v>
      </c>
      <c r="Z287" s="251" t="s">
        <v>422</v>
      </c>
      <c r="AA287" s="251" t="s">
        <v>423</v>
      </c>
    </row>
    <row r="288" spans="15:27" ht="16.5" x14ac:dyDescent="0.2">
      <c r="O288" s="18"/>
      <c r="P288" s="262" t="s">
        <v>71</v>
      </c>
      <c r="Q288" s="233">
        <v>4000</v>
      </c>
      <c r="R288" s="233">
        <v>2000</v>
      </c>
      <c r="S288" s="233">
        <f>IF(P288="","",(INT((Q288/($Q281+$Q284)))*INT(((R288-$T284)/($R281+$R284)))))</f>
        <v>320000</v>
      </c>
      <c r="T288" s="263">
        <f>(Q288*R288*S281*U281)/S288/1000000</f>
        <v>0</v>
      </c>
      <c r="U288" s="264">
        <f>IF(P288="","",(($Q288*$R288)-(Q281*R281*$S288))/($Q288*$R288))</f>
        <v>1</v>
      </c>
      <c r="V288" s="253">
        <f>(Q288-Q284*Z288)/Z288</f>
        <v>3.1269543464665416E-3</v>
      </c>
      <c r="W288" s="253">
        <f>(R288-R284*AA288)/AA288</f>
        <v>6.2578222778473091E-3</v>
      </c>
      <c r="X288" s="256">
        <f>V288*W288*S281*U281/$U$3</f>
        <v>0</v>
      </c>
      <c r="Y288" s="248">
        <f>Q288*R288*S281*U281/1000000</f>
        <v>0</v>
      </c>
      <c r="Z288" s="254">
        <f>(Q288/(Q284+Q281))-0.5</f>
        <v>799.5</v>
      </c>
      <c r="AA288" s="254">
        <f>(R288/(R281+R284))-0.5</f>
        <v>399.5</v>
      </c>
    </row>
    <row r="289" spans="15:27" ht="16.5" x14ac:dyDescent="0.2">
      <c r="O289" s="18"/>
      <c r="P289" s="262" t="s">
        <v>71</v>
      </c>
      <c r="Q289" s="233">
        <v>2000</v>
      </c>
      <c r="R289" s="233">
        <v>4000</v>
      </c>
      <c r="S289" s="233">
        <f>IF(P289="","",(INT((Q289/($Q281+$Q284)))*INT(((R289-$T284)/($R281+$R284)))))</f>
        <v>320000</v>
      </c>
      <c r="T289" s="263">
        <f>(Q289*R289*S281*U281)/S289/1000000</f>
        <v>0</v>
      </c>
      <c r="U289" s="264">
        <f>IF(P289="","",(($Q289*$R289)-(Q281*R281*$S289))/($Q289*$R289))</f>
        <v>1</v>
      </c>
      <c r="V289" s="253">
        <f>(Q289-Q284*Z289)/Z289</f>
        <v>6.2578222778473091E-3</v>
      </c>
      <c r="W289" s="253">
        <f>(R289-R284*AA289)/AA289</f>
        <v>3.1269543464665416E-3</v>
      </c>
      <c r="X289" s="256">
        <f>V289*W289*S281*U281/$U$3</f>
        <v>0</v>
      </c>
      <c r="Y289" s="248">
        <f>Q289*R289*S281*U281/1000000</f>
        <v>0</v>
      </c>
      <c r="Z289" s="254">
        <f>Q289/(Q281+Q284)-0.5</f>
        <v>399.5</v>
      </c>
      <c r="AA289" s="254">
        <f>(R289/(R281+R284))-0.5</f>
        <v>799.5</v>
      </c>
    </row>
    <row r="290" spans="15:27" ht="16.5" x14ac:dyDescent="0.2">
      <c r="O290" s="18"/>
      <c r="P290" s="266"/>
      <c r="Q290" s="266"/>
      <c r="R290" s="266"/>
      <c r="S290" s="266"/>
      <c r="T290" s="266"/>
      <c r="U290" s="267"/>
      <c r="V290" s="252"/>
      <c r="W290" s="252"/>
      <c r="X290" s="278"/>
      <c r="Y290" s="241"/>
      <c r="Z290" s="279"/>
      <c r="AA290" s="280"/>
    </row>
    <row r="291" spans="15:27" ht="16.5" x14ac:dyDescent="0.2">
      <c r="O291" s="18" t="str">
        <f>IF(T291=$O287,$AE$4,"")</f>
        <v>------&gt;</v>
      </c>
      <c r="P291" s="262" t="s">
        <v>71</v>
      </c>
      <c r="Q291" s="233">
        <v>3000</v>
      </c>
      <c r="R291" s="233">
        <v>1500</v>
      </c>
      <c r="S291" s="233">
        <f>IF(P291="","",(INT((Q291/($Q281:Q281+$Q284)))*INT(((R291-$T284)/($R281+$R284)))))</f>
        <v>180000</v>
      </c>
      <c r="T291" s="263">
        <f>(Q291*R291*S281*U281)/S291/1000000</f>
        <v>0</v>
      </c>
      <c r="U291" s="264">
        <f>IF(P291="","",(($Q291:Q291*$R291)-(Q281*R281*$S291))/($Q291*$R291))</f>
        <v>1</v>
      </c>
      <c r="V291" s="253">
        <f>(Q291-Q284*Z291)/Z291</f>
        <v>4.1701417848206837E-3</v>
      </c>
      <c r="W291" s="253">
        <f>(R291-R284*AA291)/AA291</f>
        <v>8.3472454090150246E-3</v>
      </c>
      <c r="X291" s="256">
        <f>V291*W291*S281*U281/$U$3</f>
        <v>0</v>
      </c>
      <c r="Y291" s="248">
        <f>Q291*R291*S281*U281/1000000</f>
        <v>0</v>
      </c>
      <c r="Z291" s="254">
        <f>(Q291/(Q281+Q284))-0.5</f>
        <v>599.5</v>
      </c>
      <c r="AA291" s="254">
        <f>(R291/(R281+R284))-0.5</f>
        <v>299.5</v>
      </c>
    </row>
    <row r="292" spans="15:27" ht="16.5" x14ac:dyDescent="0.2">
      <c r="O292" s="18" t="str">
        <f>IF(T292=$O287,$AE$4,"")</f>
        <v>------&gt;</v>
      </c>
      <c r="P292" s="262" t="s">
        <v>71</v>
      </c>
      <c r="Q292" s="233">
        <v>1500</v>
      </c>
      <c r="R292" s="233">
        <v>3000</v>
      </c>
      <c r="S292" s="233">
        <f>IF(P292="","",(INT((Q292/($Q281+$Q284)))*INT(((R292-$T284)/($R281+$R284)))))</f>
        <v>180000</v>
      </c>
      <c r="T292" s="263">
        <f>(Q292*R292*S281*U281)/S292/1000000</f>
        <v>0</v>
      </c>
      <c r="U292" s="264">
        <f>IF(P292="","",(($Q292*$R292)-(Q281*R281*$S292))/($Q292*$R292))</f>
        <v>1</v>
      </c>
      <c r="V292" s="253">
        <f>(Q292-Q284*Z292)/Z292</f>
        <v>8.3472454090150246E-3</v>
      </c>
      <c r="W292" s="253">
        <f>(R292-R284*AA292)/AA292</f>
        <v>4.1701417848206837E-3</v>
      </c>
      <c r="X292" s="256">
        <f>V292*W292*S281*U281/$U$3</f>
        <v>0</v>
      </c>
      <c r="Y292" s="248">
        <f>Q292*R292*S281*U281/1000000</f>
        <v>0</v>
      </c>
      <c r="Z292" s="254">
        <f>Q292/(Q281+Q284)-0.5</f>
        <v>299.5</v>
      </c>
      <c r="AA292" s="254">
        <f>(R292/(R281+R284))-0.5</f>
        <v>599.5</v>
      </c>
    </row>
    <row r="293" spans="15:27" ht="16.5" x14ac:dyDescent="0.2">
      <c r="O293" s="18"/>
      <c r="P293" s="266"/>
      <c r="Q293" s="266"/>
      <c r="R293" s="266"/>
      <c r="S293" s="266"/>
      <c r="T293" s="266"/>
      <c r="U293" s="267"/>
      <c r="V293" s="252"/>
      <c r="W293" s="252"/>
      <c r="X293" s="278"/>
      <c r="Y293" s="241"/>
      <c r="Z293" s="279"/>
      <c r="AA293" s="280"/>
    </row>
    <row r="294" spans="15:27" ht="16.5" x14ac:dyDescent="0.2">
      <c r="O294" s="18" t="str">
        <f>IF(T294=$O287,$AE$4,"")</f>
        <v>------&gt;</v>
      </c>
      <c r="P294" s="262" t="s">
        <v>71</v>
      </c>
      <c r="Q294" s="233">
        <v>2500</v>
      </c>
      <c r="R294" s="233">
        <v>1250</v>
      </c>
      <c r="S294" s="233">
        <f>IF(P294="","",(INT((Q294/($Q281+$Q284)))*INT(((R294-$T284)/($R281+$R284)))))</f>
        <v>125000</v>
      </c>
      <c r="T294" s="263">
        <f>(Q294*R294*S281*U281)/S294/1000000</f>
        <v>0</v>
      </c>
      <c r="U294" s="264">
        <f>IF(P294="","",(($Q294*$R294)-(Q281*R281*$S294))/($Q294*$R294))</f>
        <v>1</v>
      </c>
      <c r="V294" s="253">
        <f>(Q294-Q284*Z294)/Z294</f>
        <v>5.005005005005005E-3</v>
      </c>
      <c r="W294" s="253">
        <f>(R294-R284*AA294)/AA294</f>
        <v>1.002004008016032E-2</v>
      </c>
      <c r="X294" s="256">
        <f>V294*W294*S281*U281/$U$3</f>
        <v>0</v>
      </c>
      <c r="Y294" s="248">
        <f>Q294*R294*S281*U281/1000000</f>
        <v>0</v>
      </c>
      <c r="Z294" s="254">
        <f>(Q294/(Q281+Q284))-0.5</f>
        <v>499.5</v>
      </c>
      <c r="AA294" s="254">
        <f>(R294/(R281+$R$8))-0.5</f>
        <v>249.5</v>
      </c>
    </row>
    <row r="295" spans="15:27" ht="16.5" x14ac:dyDescent="0.2">
      <c r="O295" s="18" t="str">
        <f>IF(T295=$O287,$AE$4,"")</f>
        <v>------&gt;</v>
      </c>
      <c r="P295" s="262" t="s">
        <v>71</v>
      </c>
      <c r="Q295" s="233">
        <v>1250</v>
      </c>
      <c r="R295" s="233">
        <v>2500</v>
      </c>
      <c r="S295" s="233">
        <f>IF(P295="","",(INT((Q295/($Q281+$Q284)))*INT(((R295-$T284)/($R281+$R284)))))</f>
        <v>125000</v>
      </c>
      <c r="T295" s="263">
        <f>(Q295*R295*S281*U281)/S295/1000000</f>
        <v>0</v>
      </c>
      <c r="U295" s="264">
        <f>IF(P295="","",(($Q295*$R295)-(Q281*R281*$S295))/($Q295*$R295))</f>
        <v>1</v>
      </c>
      <c r="V295" s="253">
        <f>(Q295-Q284*Z295)/Z295</f>
        <v>1.002004008016032E-2</v>
      </c>
      <c r="W295" s="253">
        <f>(R295-R284*AA295)/AA295</f>
        <v>5.005005005005005E-3</v>
      </c>
      <c r="X295" s="256">
        <f>V295*W295*S281*U281/$U$3</f>
        <v>0</v>
      </c>
      <c r="Y295" s="248">
        <f>Q295*R295*S281*U281/1000000</f>
        <v>0</v>
      </c>
      <c r="Z295" s="254">
        <f>Q295/(Q281+Q284)-0.5</f>
        <v>249.5</v>
      </c>
      <c r="AA295" s="254">
        <f>(R295/(R281+R284))-0.5</f>
        <v>499.5</v>
      </c>
    </row>
    <row r="296" spans="15:27" ht="16.5" x14ac:dyDescent="0.2">
      <c r="O296" s="18"/>
      <c r="P296" s="266"/>
      <c r="Q296" s="266"/>
      <c r="R296" s="266"/>
      <c r="S296" s="266"/>
      <c r="T296" s="266"/>
      <c r="U296" s="267"/>
      <c r="V296" s="252"/>
      <c r="W296" s="252"/>
      <c r="X296" s="278"/>
      <c r="Y296" s="241"/>
      <c r="Z296" s="279"/>
      <c r="AA296" s="280"/>
    </row>
    <row r="297" spans="15:27" ht="16.5" x14ac:dyDescent="0.2">
      <c r="O297" s="18" t="str">
        <f>IF(T297=$O287,$AE$4,"")</f>
        <v>------&gt;</v>
      </c>
      <c r="P297" s="262" t="s">
        <v>71</v>
      </c>
      <c r="Q297" s="233">
        <v>2000</v>
      </c>
      <c r="R297" s="233">
        <v>1000</v>
      </c>
      <c r="S297" s="233">
        <f>IF(P297="","",(INT((Q297/($Q281+$Q284)))*INT(((R297-$T284)/($R281+$R284)))))</f>
        <v>80000</v>
      </c>
      <c r="T297" s="263">
        <f>(Q297*R297*S281*U281)/S297/1000000</f>
        <v>0</v>
      </c>
      <c r="U297" s="264">
        <f>IF(P297="","",(($Q297*$R297)-(Q281*R281*$S297))/($Q297*$R297))</f>
        <v>1</v>
      </c>
      <c r="V297" s="253">
        <f>(Q297-Q284*Z297)/Z297</f>
        <v>6.2578222778473091E-3</v>
      </c>
      <c r="W297" s="253">
        <f>(R297-R284*AA297)/AA297</f>
        <v>1.2531328320802004E-2</v>
      </c>
      <c r="X297" s="256">
        <f>V297*W297*S281*U281/$U$3</f>
        <v>0</v>
      </c>
      <c r="Y297" s="248">
        <f>Q297*R297*S281*U281/1000000</f>
        <v>0</v>
      </c>
      <c r="Z297" s="254">
        <f>(Q297/(Q281+Q284))-0.5</f>
        <v>399.5</v>
      </c>
      <c r="AA297" s="254">
        <f>(R297/(R281+R284))-0.5</f>
        <v>199.5</v>
      </c>
    </row>
    <row r="298" spans="15:27" ht="16.5" x14ac:dyDescent="0.2">
      <c r="O298" s="18" t="str">
        <f>IF(T298=$O287,$AE$4,"")</f>
        <v>------&gt;</v>
      </c>
      <c r="P298" s="262" t="s">
        <v>71</v>
      </c>
      <c r="Q298" s="233">
        <v>1000</v>
      </c>
      <c r="R298" s="233">
        <v>2000</v>
      </c>
      <c r="S298" s="233">
        <f>IF(P298="","",(INT((Q298/($Q281+$Q284)))*INT(((R298-$T284)/($R281+$R284)))))</f>
        <v>80000</v>
      </c>
      <c r="T298" s="263">
        <f>(Q298*R298*S281*U281)/S298/1000000</f>
        <v>0</v>
      </c>
      <c r="U298" s="264">
        <f>IF(P298="","",(($Q298*$R298)-(Q281*R281*$S298))/($Q298*$R298))</f>
        <v>1</v>
      </c>
      <c r="V298" s="253">
        <f>(Q298-Q284*Z298)/Z298</f>
        <v>1.2531328320802004E-2</v>
      </c>
      <c r="W298" s="253">
        <f>(R298-R284*AA298)/AA298</f>
        <v>6.2578222778473091E-3</v>
      </c>
      <c r="X298" s="256">
        <f>V298*W298*S281*U281/$U$3</f>
        <v>0</v>
      </c>
      <c r="Y298" s="248">
        <f>Q298*R298*S281*U281/1000000</f>
        <v>0</v>
      </c>
      <c r="Z298" s="254">
        <f>Q298/(Q281+Q284)-0.5</f>
        <v>199.5</v>
      </c>
      <c r="AA298" s="254">
        <f>(R298/(R281+R284))-0.5</f>
        <v>399.5</v>
      </c>
    </row>
    <row r="299" spans="15:27" ht="16.5" x14ac:dyDescent="0.2">
      <c r="O299" s="18"/>
      <c r="P299" s="266"/>
      <c r="Q299" s="266"/>
      <c r="R299" s="266"/>
      <c r="S299" s="266"/>
      <c r="T299" s="266"/>
      <c r="U299" s="267"/>
      <c r="V299" s="252"/>
      <c r="W299" s="252"/>
      <c r="X299" s="278"/>
      <c r="Y299" s="241"/>
      <c r="Z299" s="279"/>
      <c r="AA299" s="280"/>
    </row>
    <row r="300" spans="15:27" ht="16.5" x14ac:dyDescent="0.2">
      <c r="O300" s="18"/>
      <c r="P300" s="281" t="s">
        <v>71</v>
      </c>
      <c r="Q300" s="271">
        <v>500</v>
      </c>
      <c r="R300" s="271">
        <v>200</v>
      </c>
      <c r="S300" s="233">
        <f>IF(P300="","",(INT((Q300/($Q281+$Q284)))*INT(((R300-$T284)/($R281+$R284)))))</f>
        <v>4000</v>
      </c>
      <c r="T300" s="263">
        <f>(Q300*R300*S281*U281)/S300/1000000</f>
        <v>0</v>
      </c>
      <c r="U300" s="264">
        <f>IF(P300="","",(($Q300*$R300)-(Q281*R281*$S300))/($Q300*$R300))</f>
        <v>1</v>
      </c>
      <c r="V300" s="253">
        <f>(Q300-Q284*Z300)/Z300</f>
        <v>2.5125628140703519E-2</v>
      </c>
      <c r="W300" s="253">
        <f>(R300-R284*AA300)/AA300</f>
        <v>6.3291139240506333E-2</v>
      </c>
      <c r="X300" s="256">
        <f>V300*W300*S281*U281/$U$3</f>
        <v>0</v>
      </c>
      <c r="Y300" s="248">
        <f>Q300*R300*S281*U281/1000000</f>
        <v>0</v>
      </c>
      <c r="Z300" s="254">
        <f>(Q300/(Q281+Q284))-0.5</f>
        <v>99.5</v>
      </c>
      <c r="AA300" s="254">
        <f>(R300/(R281+R284))-0.5</f>
        <v>39.5</v>
      </c>
    </row>
    <row r="301" spans="15:27" ht="16.5" x14ac:dyDescent="0.25">
      <c r="O301" s="18"/>
      <c r="P301" s="281" t="s">
        <v>71</v>
      </c>
      <c r="Q301" s="195">
        <f>R300</f>
        <v>200</v>
      </c>
      <c r="R301" s="195">
        <f>Q300</f>
        <v>500</v>
      </c>
      <c r="S301" s="192">
        <f>IF(P301="","",(INT((Q301/($Q281+$Q284)))*INT(((R301-$T284)/($R281+$R284)))))</f>
        <v>4000</v>
      </c>
      <c r="T301" s="193">
        <f>(Q301*R301*S281*U281)/S301/1000000</f>
        <v>0</v>
      </c>
      <c r="U301" s="194">
        <f>IF(P301="","",(($Q301*$R301)-(Q281*R281*$S301))/($Q301*$R301))</f>
        <v>1</v>
      </c>
      <c r="V301" s="253">
        <f>(Q301-Q284*Z301)/Z301</f>
        <v>6.3291139240506333E-2</v>
      </c>
      <c r="W301" s="253">
        <f>(R301-R284*AA301)/AA301</f>
        <v>2.5125628140703519E-2</v>
      </c>
      <c r="X301" s="235">
        <f>V301*W301*S281*U281/$U$3</f>
        <v>0</v>
      </c>
      <c r="Y301" s="248">
        <f>Q301*R301*S281*U281/1000000</f>
        <v>0</v>
      </c>
      <c r="Z301" s="254">
        <f>Q301/(Q281+Q284)-0.5</f>
        <v>39.5</v>
      </c>
      <c r="AA301" s="254">
        <f>(R301/(R281+R284))-0.5</f>
        <v>99.5</v>
      </c>
    </row>
    <row r="302" spans="15:27" ht="17.25" thickBot="1" x14ac:dyDescent="0.3">
      <c r="O302" s="5"/>
      <c r="P302" s="19"/>
      <c r="Q302" s="19"/>
      <c r="R302" s="19"/>
      <c r="S302" s="77" t="str">
        <f>IF(UPPER(S306)="OXYGENE","O2","NA")</f>
        <v>O2</v>
      </c>
      <c r="T302" s="255" t="str">
        <f>CONCATENATE(LOWER(T303),"-",S307,"-",T281,"-",S305,"-",S302)</f>
        <v>bystronic3015-0-acier-1-O2</v>
      </c>
      <c r="U302" s="77"/>
      <c r="V302" s="77"/>
      <c r="W302" s="77"/>
      <c r="X302" s="77"/>
      <c r="Y302" s="242"/>
    </row>
    <row r="303" spans="15:27" ht="17.25" thickBot="1" x14ac:dyDescent="0.3">
      <c r="O303" s="5"/>
      <c r="P303" s="19"/>
      <c r="Q303" s="19"/>
      <c r="R303" s="19"/>
      <c r="S303" s="19"/>
      <c r="T303" s="431" t="s">
        <v>99</v>
      </c>
      <c r="U303" s="431" t="e">
        <f>#N/A</f>
        <v>#N/A</v>
      </c>
      <c r="V303" s="432"/>
      <c r="W303" s="432"/>
      <c r="X303" s="433"/>
      <c r="Y303" s="433"/>
    </row>
    <row r="304" spans="15:27" ht="17.25" thickBot="1" x14ac:dyDescent="0.3">
      <c r="O304" s="5"/>
      <c r="P304" s="428" t="s">
        <v>103</v>
      </c>
      <c r="Q304" s="428"/>
      <c r="R304" s="428"/>
      <c r="S304" s="428"/>
      <c r="T304" s="79">
        <f>IF(ISERROR(VLOOKUP(T302,TempsLaser,2,0)),"ERREUR",VLOOKUP(T302,TempsLaser,2,0))</f>
        <v>8649.9999999999982</v>
      </c>
      <c r="U304" s="80" t="s">
        <v>104</v>
      </c>
      <c r="V304" s="81"/>
      <c r="W304" s="82"/>
      <c r="X304" s="81"/>
      <c r="Y304" s="243"/>
    </row>
    <row r="305" spans="15:25" ht="16.5" x14ac:dyDescent="0.25">
      <c r="O305" s="5"/>
      <c r="P305" s="83"/>
      <c r="Q305" s="426" t="s">
        <v>105</v>
      </c>
      <c r="R305" s="426"/>
      <c r="S305" s="84">
        <f>IF(S281&lt;1,1,IF(S281-INT(S281)=0,S281, IF(S281-INT(S281)&lt;=0.5,0.5+INT(S281),1+INT(S281))))</f>
        <v>1</v>
      </c>
      <c r="T305" s="85">
        <f>IF(ISERROR(VLOOKUP(T302,TempsLaser,3,0)),"ERREUR",VLOOKUP(T302,TempsLaser,3,0))</f>
        <v>7100</v>
      </c>
      <c r="U305" s="86" t="s">
        <v>106</v>
      </c>
      <c r="V305" s="87"/>
      <c r="W305" s="82"/>
      <c r="X305" s="87"/>
      <c r="Y305" s="243"/>
    </row>
    <row r="306" spans="15:25" ht="16.5" x14ac:dyDescent="0.25">
      <c r="O306" s="5"/>
      <c r="P306" s="83"/>
      <c r="Q306" s="426" t="s">
        <v>108</v>
      </c>
      <c r="R306" s="426"/>
      <c r="S306" s="88" t="s">
        <v>109</v>
      </c>
      <c r="T306" s="85"/>
      <c r="U306" s="86"/>
      <c r="V306" s="87"/>
      <c r="W306" s="82"/>
      <c r="X306" s="87"/>
      <c r="Y306" s="243"/>
    </row>
    <row r="307" spans="15:25" ht="16.5" x14ac:dyDescent="0.25">
      <c r="O307" s="5"/>
      <c r="P307" s="83"/>
      <c r="Q307" s="425" t="s">
        <v>110</v>
      </c>
      <c r="R307" s="425"/>
      <c r="S307" s="88">
        <v>0</v>
      </c>
      <c r="T307" s="85"/>
      <c r="U307" s="86"/>
      <c r="V307" s="87"/>
      <c r="W307" s="82"/>
      <c r="X307" s="87"/>
      <c r="Y307" s="243"/>
    </row>
    <row r="308" spans="15:25" ht="16.5" x14ac:dyDescent="0.25">
      <c r="O308" s="5"/>
      <c r="P308" s="83"/>
      <c r="Q308" s="426" t="s">
        <v>111</v>
      </c>
      <c r="R308" s="426"/>
      <c r="S308" s="89">
        <f>(Q281+R281)*2</f>
        <v>0</v>
      </c>
      <c r="T308" s="90">
        <f>(S308/T304)/60</f>
        <v>0</v>
      </c>
      <c r="U308" s="91"/>
      <c r="V308" s="92"/>
      <c r="W308" s="93"/>
      <c r="X308" s="92"/>
      <c r="Y308" s="244"/>
    </row>
    <row r="309" spans="15:25" ht="16.5" x14ac:dyDescent="0.25">
      <c r="O309" s="5"/>
      <c r="P309" s="83"/>
      <c r="Q309" s="426" t="s">
        <v>112</v>
      </c>
      <c r="R309" s="426"/>
      <c r="S309" s="89">
        <v>0</v>
      </c>
      <c r="T309" s="90">
        <f>((S309*40)/T305)/60</f>
        <v>0</v>
      </c>
      <c r="U309" s="91"/>
      <c r="V309" s="92"/>
      <c r="W309" s="93"/>
      <c r="X309" s="92"/>
      <c r="Y309" s="244"/>
    </row>
    <row r="310" spans="15:25" ht="16.5" x14ac:dyDescent="0.25">
      <c r="O310" s="5"/>
      <c r="P310" s="83"/>
      <c r="Q310" s="426" t="s">
        <v>113</v>
      </c>
      <c r="R310" s="426"/>
      <c r="S310" s="88">
        <f>S309+1</f>
        <v>1</v>
      </c>
      <c r="T310" s="90">
        <f>U310*S305*S310</f>
        <v>2.7E-4</v>
      </c>
      <c r="U310" s="91">
        <v>2.7E-4</v>
      </c>
      <c r="V310" s="92"/>
      <c r="W310" s="93"/>
      <c r="X310" s="92"/>
      <c r="Y310" s="244"/>
    </row>
    <row r="311" spans="15:25" ht="16.5" x14ac:dyDescent="0.25">
      <c r="O311" s="5"/>
      <c r="P311" s="83"/>
      <c r="Q311" s="426" t="s">
        <v>114</v>
      </c>
      <c r="R311" s="426"/>
      <c r="S311" s="88">
        <v>0</v>
      </c>
      <c r="T311" s="94">
        <v>0</v>
      </c>
      <c r="U311" s="95"/>
      <c r="V311" s="92"/>
      <c r="W311" s="93"/>
      <c r="X311" s="92"/>
      <c r="Y311" s="244"/>
    </row>
    <row r="312" spans="15:25" ht="16.5" x14ac:dyDescent="0.25">
      <c r="O312" s="96"/>
      <c r="P312" s="83"/>
      <c r="Q312" s="426" t="s">
        <v>115</v>
      </c>
      <c r="R312" s="426"/>
      <c r="S312" s="88">
        <v>0</v>
      </c>
      <c r="T312" s="90">
        <f>U312*S312</f>
        <v>0</v>
      </c>
      <c r="U312" s="91">
        <v>4.1000000000000003E-3</v>
      </c>
      <c r="V312" s="92"/>
      <c r="W312" s="93"/>
      <c r="X312" s="92"/>
      <c r="Y312" s="244"/>
    </row>
    <row r="313" spans="15:25" ht="16.5" x14ac:dyDescent="0.25">
      <c r="O313" s="96"/>
      <c r="P313" s="83"/>
      <c r="Q313" s="426" t="s">
        <v>116</v>
      </c>
      <c r="R313" s="426"/>
      <c r="S313" s="89">
        <v>0</v>
      </c>
      <c r="T313" s="90">
        <f>((S308+S309*10)/8000)/60*IF(S313,1,0)</f>
        <v>0</v>
      </c>
      <c r="U313" s="91"/>
      <c r="V313" s="92"/>
      <c r="W313" s="93"/>
      <c r="X313" s="92"/>
      <c r="Y313" s="244"/>
    </row>
    <row r="314" spans="15:25" ht="17.25" thickBot="1" x14ac:dyDescent="0.3">
      <c r="O314" s="96" t="str">
        <f>P304</f>
        <v>LASER</v>
      </c>
      <c r="P314" s="97"/>
      <c r="Q314" s="98"/>
      <c r="R314" s="98"/>
      <c r="S314" s="99" t="s">
        <v>117</v>
      </c>
      <c r="T314" s="100">
        <f>SUM(T308:T313)*1.3</f>
        <v>3.5100000000000002E-4</v>
      </c>
      <c r="U314" s="101"/>
      <c r="V314" s="102"/>
      <c r="W314" s="93"/>
      <c r="X314" s="103"/>
      <c r="Y314" s="244"/>
    </row>
    <row r="315" spans="15:25" ht="17.25" thickBot="1" x14ac:dyDescent="0.3">
      <c r="O315" s="96"/>
      <c r="P315" s="19"/>
      <c r="Q315" s="19"/>
      <c r="R315" s="19"/>
      <c r="S315" s="19"/>
      <c r="T315" s="19"/>
      <c r="U315" s="19"/>
      <c r="V315" s="19"/>
      <c r="W315" s="19"/>
      <c r="X315" s="19"/>
      <c r="Y315" s="240"/>
    </row>
    <row r="316" spans="15:25" ht="17.25" thickBot="1" x14ac:dyDescent="0.3">
      <c r="O316" s="96"/>
      <c r="P316" s="428" t="s">
        <v>118</v>
      </c>
      <c r="Q316" s="428"/>
      <c r="R316" s="428"/>
      <c r="S316" s="428"/>
      <c r="T316" s="428"/>
      <c r="U316" s="428"/>
      <c r="V316" s="19"/>
      <c r="W316" s="19"/>
      <c r="X316" s="19"/>
      <c r="Y316" s="240"/>
    </row>
    <row r="317" spans="15:25" ht="16.5" x14ac:dyDescent="0.25">
      <c r="O317" s="96"/>
      <c r="P317" s="429" t="s">
        <v>119</v>
      </c>
      <c r="Q317" s="429"/>
      <c r="R317" s="429" t="e">
        <f>#N/A</f>
        <v>#N/A</v>
      </c>
      <c r="S317" s="88">
        <v>5</v>
      </c>
      <c r="T317" s="104">
        <f>(S317/S318)*U317</f>
        <v>1.4999999999999999E-2</v>
      </c>
      <c r="U317" s="105">
        <v>3.0000000000000001E-3</v>
      </c>
      <c r="V317" s="19"/>
      <c r="W317" s="19"/>
      <c r="X317" s="19"/>
      <c r="Y317" s="240"/>
    </row>
    <row r="318" spans="15:25" ht="16.5" x14ac:dyDescent="0.25">
      <c r="O318" s="96"/>
      <c r="P318" s="429" t="s">
        <v>120</v>
      </c>
      <c r="Q318" s="429"/>
      <c r="R318" s="429"/>
      <c r="S318" s="88">
        <v>1</v>
      </c>
      <c r="T318" s="106"/>
      <c r="U318" s="91"/>
      <c r="V318" s="19"/>
      <c r="W318" s="19"/>
      <c r="X318" s="19"/>
      <c r="Y318" s="240"/>
    </row>
    <row r="319" spans="15:25" ht="16.5" x14ac:dyDescent="0.25">
      <c r="O319" s="96"/>
      <c r="P319" s="429" t="s">
        <v>121</v>
      </c>
      <c r="Q319" s="429"/>
      <c r="R319" s="429"/>
      <c r="S319" s="88">
        <f>(Q281*2+R281*2)/50+50</f>
        <v>50</v>
      </c>
      <c r="T319" s="106">
        <f>S319*U319</f>
        <v>7.000000000000001E-3</v>
      </c>
      <c r="U319" s="37">
        <v>1.4000000000000001E-4</v>
      </c>
      <c r="V319" s="19"/>
      <c r="W319" s="19"/>
      <c r="X319" s="19"/>
      <c r="Y319" s="240"/>
    </row>
    <row r="320" spans="15:25" ht="16.5" x14ac:dyDescent="0.25">
      <c r="O320" s="96"/>
      <c r="P320" s="429" t="s">
        <v>122</v>
      </c>
      <c r="Q320" s="429"/>
      <c r="R320" s="429"/>
      <c r="S320" s="88">
        <v>0</v>
      </c>
      <c r="T320" s="106">
        <f>S320*U320</f>
        <v>0</v>
      </c>
      <c r="U320" s="37">
        <v>8.0000000000000004E-4</v>
      </c>
      <c r="V320" s="19"/>
      <c r="W320" s="19"/>
      <c r="X320" s="19"/>
      <c r="Y320" s="240"/>
    </row>
    <row r="321" spans="15:29" ht="16.5" x14ac:dyDescent="0.25">
      <c r="O321" s="96"/>
      <c r="P321" s="429" t="s">
        <v>123</v>
      </c>
      <c r="Q321" s="429"/>
      <c r="R321" s="429"/>
      <c r="S321" s="88">
        <v>0</v>
      </c>
      <c r="T321" s="106">
        <f>S321*U321</f>
        <v>0</v>
      </c>
      <c r="U321" s="91">
        <v>8.0000000000000004E-4</v>
      </c>
      <c r="V321" s="19"/>
      <c r="W321" s="19"/>
      <c r="X321" s="19"/>
      <c r="Y321" s="240"/>
    </row>
    <row r="322" spans="15:29" ht="16.5" x14ac:dyDescent="0.25">
      <c r="O322" s="96"/>
      <c r="P322" s="427" t="s">
        <v>124</v>
      </c>
      <c r="Q322" s="427"/>
      <c r="R322" s="427"/>
      <c r="S322" s="88">
        <v>1</v>
      </c>
      <c r="T322" s="106">
        <f>S322*U322</f>
        <v>5.0000000000000001E-3</v>
      </c>
      <c r="U322" s="91">
        <v>5.0000000000000001E-3</v>
      </c>
      <c r="V322" s="19"/>
      <c r="W322" s="19"/>
      <c r="X322" s="19"/>
      <c r="Y322" s="240"/>
    </row>
    <row r="323" spans="15:29" ht="16.5" x14ac:dyDescent="0.25">
      <c r="O323" s="96"/>
      <c r="P323" s="427" t="s">
        <v>125</v>
      </c>
      <c r="Q323" s="427"/>
      <c r="R323" s="427"/>
      <c r="S323" s="88">
        <v>1</v>
      </c>
      <c r="T323" s="115">
        <f>U323*(S323/S318)</f>
        <v>7.0000000000000001E-3</v>
      </c>
      <c r="U323" s="91">
        <v>7.0000000000000001E-3</v>
      </c>
      <c r="V323" s="19"/>
      <c r="W323" s="19"/>
      <c r="X323" s="19"/>
      <c r="Y323" s="240"/>
    </row>
    <row r="324" spans="15:29" ht="17.25" thickBot="1" x14ac:dyDescent="0.3">
      <c r="O324" s="96" t="str">
        <f>P316</f>
        <v>Poinconnage</v>
      </c>
      <c r="P324" s="97"/>
      <c r="Q324" s="98" t="s">
        <v>129</v>
      </c>
      <c r="R324" s="122">
        <f>SUM(0.2,PRODUCT(0.08,S317))</f>
        <v>0.60000000000000009</v>
      </c>
      <c r="S324" s="99" t="s">
        <v>117</v>
      </c>
      <c r="T324" s="100">
        <f>SUM(T317:T323)*1.3</f>
        <v>4.4200000000000003E-2</v>
      </c>
      <c r="U324" s="123">
        <f>PRODUCT(T324,3600)</f>
        <v>159.12</v>
      </c>
      <c r="V324" s="19"/>
      <c r="W324" s="19"/>
      <c r="X324" s="19"/>
      <c r="Y324" s="240"/>
    </row>
    <row r="325" spans="15:29" ht="16.5" x14ac:dyDescent="0.25">
      <c r="O325" s="131"/>
      <c r="P325" s="132"/>
      <c r="Q325" s="189"/>
      <c r="R325" s="189"/>
      <c r="S325" s="189"/>
      <c r="T325" s="189"/>
      <c r="U325" s="132"/>
      <c r="V325" s="132"/>
      <c r="W325" s="132"/>
      <c r="X325" s="132"/>
      <c r="Y325" s="245"/>
      <c r="AA325" s="188"/>
      <c r="AB325" s="188"/>
      <c r="AC325" s="188"/>
    </row>
    <row r="326" spans="15:29" x14ac:dyDescent="0.2">
      <c r="O326" s="9" t="str">
        <f>CHAR(64+INT(ROW()/45)+1)</f>
        <v>H</v>
      </c>
      <c r="Q326" s="196" t="s">
        <v>45</v>
      </c>
      <c r="R326" s="196" t="s">
        <v>141</v>
      </c>
      <c r="S326" s="196" t="s">
        <v>142</v>
      </c>
      <c r="T326" s="196" t="s">
        <v>8</v>
      </c>
      <c r="U326" s="10"/>
      <c r="V326" s="2" t="s">
        <v>9</v>
      </c>
      <c r="W326" s="2" t="s">
        <v>10</v>
      </c>
      <c r="Z326" s="5">
        <v>1</v>
      </c>
      <c r="AA326" s="188"/>
      <c r="AB326" s="188"/>
      <c r="AC326" s="188"/>
    </row>
    <row r="327" spans="15:29" ht="16.5" x14ac:dyDescent="0.25">
      <c r="O327" s="18"/>
      <c r="P327" s="186"/>
      <c r="Q327" s="190">
        <v>0</v>
      </c>
      <c r="R327" s="190">
        <v>0</v>
      </c>
      <c r="S327" s="190">
        <v>0</v>
      </c>
      <c r="T327" s="190" t="s">
        <v>23</v>
      </c>
      <c r="U327" s="20">
        <f>VLOOKUP(T327,DensiteMatiere,2,0)</f>
        <v>7.8</v>
      </c>
      <c r="V327" s="186">
        <f>(Q327*R327*S327*U327)/1000000</f>
        <v>0</v>
      </c>
      <c r="W327" s="186">
        <f>Q327*R327*2/1000000</f>
        <v>0</v>
      </c>
      <c r="X327" s="186"/>
      <c r="Y327" s="240"/>
      <c r="AA327" s="188"/>
      <c r="AB327" s="188"/>
      <c r="AC327" s="188"/>
    </row>
    <row r="328" spans="15:29" ht="16.5" x14ac:dyDescent="0.25">
      <c r="O328" s="18"/>
      <c r="P328" s="186"/>
      <c r="Q328" s="186"/>
      <c r="R328" s="186"/>
      <c r="S328" s="186"/>
      <c r="T328" s="186"/>
      <c r="U328" s="186"/>
      <c r="V328" s="186"/>
      <c r="W328" s="186"/>
      <c r="X328" s="186"/>
      <c r="Y328" s="240"/>
      <c r="AA328" s="188"/>
      <c r="AB328" s="188"/>
      <c r="AC328" s="188"/>
    </row>
    <row r="329" spans="15:29" ht="16.5" x14ac:dyDescent="0.25">
      <c r="O329" s="18"/>
      <c r="P329" s="186"/>
      <c r="Q329" s="415" t="s">
        <v>143</v>
      </c>
      <c r="R329" s="415"/>
      <c r="S329" s="186"/>
      <c r="T329" s="197" t="s">
        <v>26</v>
      </c>
      <c r="U329" s="186"/>
      <c r="V329" s="186"/>
      <c r="W329" s="186"/>
      <c r="X329" s="186"/>
      <c r="Y329" s="240"/>
      <c r="AA329" s="188"/>
      <c r="AB329" s="188"/>
      <c r="AC329" s="188"/>
    </row>
    <row r="330" spans="15:29" ht="16.5" x14ac:dyDescent="0.25">
      <c r="O330" s="18"/>
      <c r="P330" s="186"/>
      <c r="Q330" s="190">
        <v>5</v>
      </c>
      <c r="R330" s="190">
        <v>5</v>
      </c>
      <c r="S330" s="35"/>
      <c r="T330" s="190">
        <v>0</v>
      </c>
      <c r="U330" s="186"/>
      <c r="V330" s="186"/>
      <c r="W330" s="186"/>
      <c r="X330" s="186"/>
      <c r="Y330" s="240"/>
      <c r="AA330" s="188"/>
      <c r="AB330" s="188"/>
      <c r="AC330" s="188"/>
    </row>
    <row r="331" spans="15:29" ht="16.5" x14ac:dyDescent="0.25">
      <c r="P331" s="186"/>
      <c r="Q331" s="186"/>
      <c r="R331" s="186"/>
      <c r="S331" s="186"/>
      <c r="T331" s="186"/>
      <c r="U331" s="186"/>
      <c r="V331" s="186"/>
      <c r="W331" s="186"/>
      <c r="X331" s="186"/>
      <c r="Y331" s="240"/>
      <c r="AA331" s="188"/>
      <c r="AB331" s="188"/>
      <c r="AC331" s="188"/>
    </row>
    <row r="332" spans="15:29" ht="16.5" x14ac:dyDescent="0.25">
      <c r="P332" s="416" t="s">
        <v>37</v>
      </c>
      <c r="Q332" s="416"/>
      <c r="R332" s="416"/>
      <c r="S332" s="186"/>
      <c r="T332" s="186"/>
      <c r="U332" s="186"/>
      <c r="V332" s="430" t="s">
        <v>38</v>
      </c>
      <c r="W332" s="430"/>
      <c r="X332" s="430"/>
      <c r="Y332" s="246"/>
      <c r="AA332" s="188"/>
      <c r="AB332" s="188"/>
      <c r="AC332" s="188"/>
    </row>
    <row r="333" spans="15:29" ht="16.5" x14ac:dyDescent="0.2">
      <c r="O333" s="44">
        <f>MIN(T337,T338,T340,T341,T343,T344)</f>
        <v>0</v>
      </c>
      <c r="P333" s="250" t="s">
        <v>44</v>
      </c>
      <c r="Q333" s="250" t="s">
        <v>45</v>
      </c>
      <c r="R333" s="250" t="s">
        <v>46</v>
      </c>
      <c r="S333" s="250" t="s">
        <v>47</v>
      </c>
      <c r="T333" s="250" t="s">
        <v>48</v>
      </c>
      <c r="U333" s="250" t="s">
        <v>49</v>
      </c>
      <c r="V333" s="233" t="s">
        <v>50</v>
      </c>
      <c r="W333" s="233" t="s">
        <v>46</v>
      </c>
      <c r="X333" s="233" t="s">
        <v>9</v>
      </c>
      <c r="Y333" s="247" t="s">
        <v>39</v>
      </c>
      <c r="Z333" s="251" t="s">
        <v>422</v>
      </c>
      <c r="AA333" s="251" t="s">
        <v>423</v>
      </c>
      <c r="AB333" s="188"/>
      <c r="AC333" s="188"/>
    </row>
    <row r="334" spans="15:29" ht="16.5" x14ac:dyDescent="0.2">
      <c r="O334" s="18"/>
      <c r="P334" s="281" t="s">
        <v>71</v>
      </c>
      <c r="Q334" s="233">
        <v>4000</v>
      </c>
      <c r="R334" s="233">
        <v>2000</v>
      </c>
      <c r="S334" s="233">
        <f>IF(P334="","",(INT((Q334/($Q327+$Q330)))*INT(((R334-$T330)/($R327+$R330)))))</f>
        <v>320000</v>
      </c>
      <c r="T334" s="263">
        <f>(Q334*R334*S327*U327)/S334/1000000</f>
        <v>0</v>
      </c>
      <c r="U334" s="264">
        <f>IF(P334="","",(($Q334*$R334)-(Q327*R327*$S334))/($Q334*$R334))</f>
        <v>1</v>
      </c>
      <c r="V334" s="253">
        <f>(Q334-Q330*Z334)/Z334</f>
        <v>3.1269543464665416E-3</v>
      </c>
      <c r="W334" s="253">
        <f>(R334-R330*AA334)/AA334</f>
        <v>6.2578222778473091E-3</v>
      </c>
      <c r="X334" s="256">
        <f>V334*W334*S327*U327/$U$3</f>
        <v>0</v>
      </c>
      <c r="Y334" s="248">
        <f>Q334*R334*S327*U327/1000000</f>
        <v>0</v>
      </c>
      <c r="Z334" s="254">
        <f>(Q334/(Q330+Q327))-0.5</f>
        <v>799.5</v>
      </c>
      <c r="AA334" s="254">
        <f>(R334/(R327+R330))-0.5</f>
        <v>399.5</v>
      </c>
      <c r="AB334" s="188"/>
      <c r="AC334" s="188"/>
    </row>
    <row r="335" spans="15:29" ht="16.5" x14ac:dyDescent="0.2">
      <c r="O335" s="18"/>
      <c r="P335" s="281" t="s">
        <v>71</v>
      </c>
      <c r="Q335" s="233">
        <v>2000</v>
      </c>
      <c r="R335" s="233">
        <v>4000</v>
      </c>
      <c r="S335" s="233">
        <f>IF(P335="","",(INT((Q335/($Q327+$Q330)))*INT(((R335-$T330)/($R327+$R330)))))</f>
        <v>320000</v>
      </c>
      <c r="T335" s="263">
        <f>(Q335*R335*S327*U327)/S335/1000000</f>
        <v>0</v>
      </c>
      <c r="U335" s="264">
        <f>IF(P335="","",(($Q335*$R335)-(Q327*R327*$S335))/($Q335*$R335))</f>
        <v>1</v>
      </c>
      <c r="V335" s="253">
        <f>(Q335-Q330*Z335)/Z335</f>
        <v>6.2578222778473091E-3</v>
      </c>
      <c r="W335" s="253">
        <f>(R335-R330*AA335)/AA335</f>
        <v>3.1269543464665416E-3</v>
      </c>
      <c r="X335" s="256">
        <f>V335*W335*S327*U327/$U$3</f>
        <v>0</v>
      </c>
      <c r="Y335" s="248">
        <f>Q335*R335*S327*U327/1000000</f>
        <v>0</v>
      </c>
      <c r="Z335" s="254">
        <f>Q335/(Q327+Q330)-0.5</f>
        <v>399.5</v>
      </c>
      <c r="AA335" s="254">
        <f>(R335/(R327+R330))-0.5</f>
        <v>799.5</v>
      </c>
      <c r="AB335" s="188"/>
      <c r="AC335" s="188"/>
    </row>
    <row r="336" spans="15:29" ht="16.5" x14ac:dyDescent="0.2">
      <c r="O336" s="18"/>
      <c r="P336" s="266"/>
      <c r="Q336" s="266"/>
      <c r="R336" s="266"/>
      <c r="S336" s="266"/>
      <c r="T336" s="266"/>
      <c r="U336" s="267"/>
      <c r="V336" s="252"/>
      <c r="W336" s="252"/>
      <c r="X336" s="278"/>
      <c r="Y336" s="241"/>
      <c r="Z336" s="279"/>
      <c r="AA336" s="280"/>
      <c r="AB336" s="188"/>
      <c r="AC336" s="188"/>
    </row>
    <row r="337" spans="15:29" ht="16.5" x14ac:dyDescent="0.2">
      <c r="O337" s="18" t="str">
        <f>IF(T337=$O333,$AE$4,"")</f>
        <v>------&gt;</v>
      </c>
      <c r="P337" s="262" t="s">
        <v>71</v>
      </c>
      <c r="Q337" s="233">
        <v>3000</v>
      </c>
      <c r="R337" s="233">
        <v>1500</v>
      </c>
      <c r="S337" s="233">
        <f>IF(P337="","",(INT((Q337/($Q327:Q327+$Q330)))*INT(((R337-$T330)/($R327+$R330)))))</f>
        <v>180000</v>
      </c>
      <c r="T337" s="263">
        <f>(Q337*R337*S327*U327)/S337/1000000</f>
        <v>0</v>
      </c>
      <c r="U337" s="264">
        <f>IF(P337="","",(($Q337:Q337*$R337)-(Q327*R327*$S337))/($Q337*$R337))</f>
        <v>1</v>
      </c>
      <c r="V337" s="253">
        <f>(Q337-Q330*Z337)/Z337</f>
        <v>4.1701417848206837E-3</v>
      </c>
      <c r="W337" s="253">
        <f>(R337-R330*AA337)/AA337</f>
        <v>8.3472454090150246E-3</v>
      </c>
      <c r="X337" s="256">
        <f>V337*W337*S327*U327/$U$3</f>
        <v>0</v>
      </c>
      <c r="Y337" s="248">
        <f>Q337*R337*S327*U327/1000000</f>
        <v>0</v>
      </c>
      <c r="Z337" s="254">
        <f>(Q337/(Q327+Q330))-0.5</f>
        <v>599.5</v>
      </c>
      <c r="AA337" s="254">
        <f>(R337/(R327+R330))-0.5</f>
        <v>299.5</v>
      </c>
      <c r="AB337" s="188"/>
      <c r="AC337" s="188"/>
    </row>
    <row r="338" spans="15:29" ht="16.5" x14ac:dyDescent="0.2">
      <c r="O338" s="18" t="str">
        <f>IF(T338=$O333,$AE$4,"")</f>
        <v>------&gt;</v>
      </c>
      <c r="P338" s="262" t="s">
        <v>71</v>
      </c>
      <c r="Q338" s="233">
        <v>1500</v>
      </c>
      <c r="R338" s="233">
        <v>3000</v>
      </c>
      <c r="S338" s="233">
        <f>IF(P338="","",(INT((Q338/($Q327+$Q330)))*INT(((R338-$T330)/($R327+$R330)))))</f>
        <v>180000</v>
      </c>
      <c r="T338" s="263">
        <f>(Q338*R338*S327*U327)/S338/1000000</f>
        <v>0</v>
      </c>
      <c r="U338" s="264">
        <f>IF(P338="","",(($Q338*$R338)-(Q327*R327*$S338))/($Q338*$R338))</f>
        <v>1</v>
      </c>
      <c r="V338" s="253">
        <f>(Q338-Q330*Z338)/Z338</f>
        <v>8.3472454090150246E-3</v>
      </c>
      <c r="W338" s="253">
        <f>(R338-R330*AA338)/AA338</f>
        <v>4.1701417848206837E-3</v>
      </c>
      <c r="X338" s="256">
        <f>V338*W338*S327*U327/$U$3</f>
        <v>0</v>
      </c>
      <c r="Y338" s="248">
        <f>Q338*R338*S327*U327/1000000</f>
        <v>0</v>
      </c>
      <c r="Z338" s="254">
        <f>Q338/(Q327+Q330)-0.5</f>
        <v>299.5</v>
      </c>
      <c r="AA338" s="254">
        <f>(R338/(R327+R330))-0.5</f>
        <v>599.5</v>
      </c>
      <c r="AB338" s="188"/>
      <c r="AC338" s="188"/>
    </row>
    <row r="339" spans="15:29" ht="16.5" x14ac:dyDescent="0.2">
      <c r="O339" s="18"/>
      <c r="P339" s="266"/>
      <c r="Q339" s="266"/>
      <c r="R339" s="266"/>
      <c r="S339" s="266"/>
      <c r="T339" s="266"/>
      <c r="U339" s="267"/>
      <c r="V339" s="252"/>
      <c r="W339" s="252"/>
      <c r="X339" s="278"/>
      <c r="Y339" s="241"/>
      <c r="Z339" s="279"/>
      <c r="AA339" s="280"/>
      <c r="AB339" s="188"/>
      <c r="AC339" s="188"/>
    </row>
    <row r="340" spans="15:29" ht="16.5" x14ac:dyDescent="0.2">
      <c r="O340" s="18" t="str">
        <f>IF(T340=$O333,$AE$4,"")</f>
        <v>------&gt;</v>
      </c>
      <c r="P340" s="262" t="s">
        <v>71</v>
      </c>
      <c r="Q340" s="233">
        <v>2500</v>
      </c>
      <c r="R340" s="233">
        <v>1250</v>
      </c>
      <c r="S340" s="233">
        <f>IF(P340="","",(INT((Q340/($Q327+$Q330)))*INT(((R340-$T330)/($R327+$R330)))))</f>
        <v>125000</v>
      </c>
      <c r="T340" s="263">
        <f>(Q340*R340*S327*U327)/S340/1000000</f>
        <v>0</v>
      </c>
      <c r="U340" s="264">
        <f>IF(P340="","",(($Q340*$R340)-(Q327*R327*$S340))/($Q340*$R340))</f>
        <v>1</v>
      </c>
      <c r="V340" s="253">
        <f>(Q340-Q330*Z340)/Z340</f>
        <v>5.005005005005005E-3</v>
      </c>
      <c r="W340" s="253">
        <f>(R340-R330*AA340)/AA340</f>
        <v>1.002004008016032E-2</v>
      </c>
      <c r="X340" s="256">
        <f>V340*W340*S327*U327/$U$3</f>
        <v>0</v>
      </c>
      <c r="Y340" s="248">
        <f>Q340*R340*S327*U327/1000000</f>
        <v>0</v>
      </c>
      <c r="Z340" s="254">
        <f>(Q340/(Q327+Q330))-0.5</f>
        <v>499.5</v>
      </c>
      <c r="AA340" s="254">
        <f>(R340/(R327+$R$8))-0.5</f>
        <v>249.5</v>
      </c>
      <c r="AB340" s="188"/>
      <c r="AC340" s="188"/>
    </row>
    <row r="341" spans="15:29" ht="16.5" x14ac:dyDescent="0.2">
      <c r="O341" s="18" t="str">
        <f>IF(T341=$O333,$AE$4,"")</f>
        <v>------&gt;</v>
      </c>
      <c r="P341" s="262" t="s">
        <v>71</v>
      </c>
      <c r="Q341" s="233">
        <v>1250</v>
      </c>
      <c r="R341" s="233">
        <v>2500</v>
      </c>
      <c r="S341" s="233">
        <f>IF(P341="","",(INT((Q341/($Q327+$Q330)))*INT(((R341-$T330)/($R327+$R330)))))</f>
        <v>125000</v>
      </c>
      <c r="T341" s="263">
        <f>(Q341*R341*S327*U327)/S341/1000000</f>
        <v>0</v>
      </c>
      <c r="U341" s="264">
        <f>IF(P341="","",(($Q341*$R341)-(Q327*R327*$S341))/($Q341*$R341))</f>
        <v>1</v>
      </c>
      <c r="V341" s="253">
        <f>(Q341-Q330*Z341)/Z341</f>
        <v>1.002004008016032E-2</v>
      </c>
      <c r="W341" s="253">
        <f>(R341-R330*AA341)/AA341</f>
        <v>5.005005005005005E-3</v>
      </c>
      <c r="X341" s="256">
        <f>V341*W341*S327*U327/$U$3</f>
        <v>0</v>
      </c>
      <c r="Y341" s="248">
        <f>Q341*R341*S327*U327/1000000</f>
        <v>0</v>
      </c>
      <c r="Z341" s="254">
        <f>Q341/(Q327+Q330)-0.5</f>
        <v>249.5</v>
      </c>
      <c r="AA341" s="254">
        <f>(R341/(R327+R330))-0.5</f>
        <v>499.5</v>
      </c>
      <c r="AB341" s="188"/>
      <c r="AC341" s="188"/>
    </row>
    <row r="342" spans="15:29" ht="16.5" x14ac:dyDescent="0.2">
      <c r="O342" s="18"/>
      <c r="P342" s="266"/>
      <c r="Q342" s="266"/>
      <c r="R342" s="266"/>
      <c r="S342" s="266"/>
      <c r="T342" s="266"/>
      <c r="U342" s="267"/>
      <c r="V342" s="252"/>
      <c r="W342" s="252"/>
      <c r="X342" s="278"/>
      <c r="Y342" s="241"/>
      <c r="Z342" s="279"/>
      <c r="AA342" s="280"/>
      <c r="AB342" s="188"/>
      <c r="AC342" s="188"/>
    </row>
    <row r="343" spans="15:29" ht="16.5" x14ac:dyDescent="0.2">
      <c r="O343" s="18" t="str">
        <f>IF(T343=$O333,$AE$4,"")</f>
        <v>------&gt;</v>
      </c>
      <c r="P343" s="262" t="s">
        <v>71</v>
      </c>
      <c r="Q343" s="233">
        <v>2000</v>
      </c>
      <c r="R343" s="233">
        <v>1000</v>
      </c>
      <c r="S343" s="233">
        <f>IF(P343="","",(INT((Q343/($Q327+$Q330)))*INT(((R343-$T330)/($R327+$R330)))))</f>
        <v>80000</v>
      </c>
      <c r="T343" s="263">
        <f>(Q343*R343*S327*U327)/S343/1000000</f>
        <v>0</v>
      </c>
      <c r="U343" s="264">
        <f>IF(P343="","",(($Q343*$R343)-(Q327*R327*$S343))/($Q343*$R343))</f>
        <v>1</v>
      </c>
      <c r="V343" s="253">
        <f>(Q343-Q330*Z343)/Z343</f>
        <v>6.2578222778473091E-3</v>
      </c>
      <c r="W343" s="253">
        <f>(R343-R330*AA343)/AA343</f>
        <v>1.2531328320802004E-2</v>
      </c>
      <c r="X343" s="256">
        <f>V343*W343*S327*U327/$U$3</f>
        <v>0</v>
      </c>
      <c r="Y343" s="248">
        <f>Q343*R343*S327*U327/1000000</f>
        <v>0</v>
      </c>
      <c r="Z343" s="254">
        <f>(Q343/(Q327+Q330))-0.5</f>
        <v>399.5</v>
      </c>
      <c r="AA343" s="254">
        <f>(R343/(R327+R330))-0.5</f>
        <v>199.5</v>
      </c>
      <c r="AB343" s="188"/>
      <c r="AC343" s="188"/>
    </row>
    <row r="344" spans="15:29" ht="16.5" x14ac:dyDescent="0.2">
      <c r="O344" s="18" t="str">
        <f>IF(T344=$O333,$AE$4,"")</f>
        <v>------&gt;</v>
      </c>
      <c r="P344" s="262" t="s">
        <v>71</v>
      </c>
      <c r="Q344" s="233">
        <v>1000</v>
      </c>
      <c r="R344" s="233">
        <v>2000</v>
      </c>
      <c r="S344" s="233">
        <f>IF(P344="","",(INT((Q344/($Q327+$Q330)))*INT(((R344-$T330)/($R327+$R330)))))</f>
        <v>80000</v>
      </c>
      <c r="T344" s="263">
        <f>(Q344*R344*S327*U327)/S344/1000000</f>
        <v>0</v>
      </c>
      <c r="U344" s="264">
        <f>IF(P344="","",(($Q344*$R344)-(Q327*R327*$S344))/($Q344*$R344))</f>
        <v>1</v>
      </c>
      <c r="V344" s="253">
        <f>(Q344-Q330*Z344)/Z344</f>
        <v>1.2531328320802004E-2</v>
      </c>
      <c r="W344" s="253">
        <f>(R344-R330*AA344)/AA344</f>
        <v>6.2578222778473091E-3</v>
      </c>
      <c r="X344" s="256">
        <f>V344*W344*S327*U327/$U$3</f>
        <v>0</v>
      </c>
      <c r="Y344" s="248">
        <f>Q344*R344*S327*U327/1000000</f>
        <v>0</v>
      </c>
      <c r="Z344" s="254">
        <f>Q344/(Q327+Q330)-0.5</f>
        <v>199.5</v>
      </c>
      <c r="AA344" s="254">
        <f>(R344/(R327+R330))-0.5</f>
        <v>399.5</v>
      </c>
      <c r="AB344" s="188"/>
      <c r="AC344" s="188"/>
    </row>
    <row r="345" spans="15:29" ht="16.5" x14ac:dyDescent="0.2">
      <c r="O345" s="18"/>
      <c r="P345" s="266"/>
      <c r="Q345" s="266"/>
      <c r="R345" s="266"/>
      <c r="S345" s="266"/>
      <c r="T345" s="266"/>
      <c r="U345" s="267"/>
      <c r="V345" s="252"/>
      <c r="W345" s="252"/>
      <c r="X345" s="278"/>
      <c r="Y345" s="241"/>
      <c r="Z345" s="279"/>
      <c r="AA345" s="280"/>
      <c r="AB345" s="188"/>
      <c r="AC345" s="188"/>
    </row>
    <row r="346" spans="15:29" ht="16.5" x14ac:dyDescent="0.2">
      <c r="O346" s="18"/>
      <c r="P346" s="281" t="s">
        <v>71</v>
      </c>
      <c r="Q346" s="271">
        <v>500</v>
      </c>
      <c r="R346" s="271">
        <v>200</v>
      </c>
      <c r="S346" s="233">
        <f>IF(P346="","",(INT((Q346/($Q327+$Q330)))*INT(((R346-$T330)/($R327+$R330)))))</f>
        <v>4000</v>
      </c>
      <c r="T346" s="263">
        <f>(Q346*R346*S327*U327)/S346/1000000</f>
        <v>0</v>
      </c>
      <c r="U346" s="264">
        <f>IF(P346="","",(($Q346*$R346)-(Q327*R327*$S346))/($Q346*$R346))</f>
        <v>1</v>
      </c>
      <c r="V346" s="253">
        <f>(Q346-Q330*Z346)/Z346</f>
        <v>2.5125628140703519E-2</v>
      </c>
      <c r="W346" s="253">
        <f>(R346-R330*AA346)/AA346</f>
        <v>6.3291139240506333E-2</v>
      </c>
      <c r="X346" s="256">
        <f>V346*W346*S327*U327/$U$3</f>
        <v>0</v>
      </c>
      <c r="Y346" s="248">
        <f>Q346*R346*S327*U327/1000000</f>
        <v>0</v>
      </c>
      <c r="Z346" s="254">
        <f>(Q346/(Q327+Q330))-0.5</f>
        <v>99.5</v>
      </c>
      <c r="AA346" s="254">
        <f>(R346/(R327+R330))-0.5</f>
        <v>39.5</v>
      </c>
      <c r="AB346" s="188"/>
      <c r="AC346" s="188"/>
    </row>
    <row r="347" spans="15:29" ht="16.5" x14ac:dyDescent="0.2">
      <c r="O347" s="18"/>
      <c r="P347" s="281" t="s">
        <v>71</v>
      </c>
      <c r="Q347" s="251">
        <f>R346</f>
        <v>200</v>
      </c>
      <c r="R347" s="251">
        <f>Q346</f>
        <v>500</v>
      </c>
      <c r="S347" s="233">
        <f>IF(P347="","",(INT((Q347/($Q327+$Q330)))*INT(((R347-$T330)/($R327+$R330)))))</f>
        <v>4000</v>
      </c>
      <c r="T347" s="263">
        <f>(Q347*R347*S327*U327)/S347/1000000</f>
        <v>0</v>
      </c>
      <c r="U347" s="264">
        <f>IF(P347="","",(($Q347*$R347)-(Q327*R327*$S347))/($Q347*$R347))</f>
        <v>1</v>
      </c>
      <c r="V347" s="253">
        <f>(Q347-Q330*Z347)/Z347</f>
        <v>6.3291139240506333E-2</v>
      </c>
      <c r="W347" s="253">
        <f>(R347-R330*AA347)/AA347</f>
        <v>2.5125628140703519E-2</v>
      </c>
      <c r="X347" s="256">
        <f>V347*W347*S327*U327/$U$3</f>
        <v>0</v>
      </c>
      <c r="Y347" s="248">
        <f>Q347*R347*S327*U327/1000000</f>
        <v>0</v>
      </c>
      <c r="Z347" s="254">
        <f>Q347/(Q327+Q330)-0.5</f>
        <v>39.5</v>
      </c>
      <c r="AA347" s="254">
        <f>(R347/(R327+R330))-0.5</f>
        <v>99.5</v>
      </c>
      <c r="AB347" s="188"/>
      <c r="AC347" s="188"/>
    </row>
    <row r="348" spans="15:29" ht="17.25" thickBot="1" x14ac:dyDescent="0.3">
      <c r="O348" s="5"/>
      <c r="P348" s="186"/>
      <c r="Q348" s="186"/>
      <c r="R348" s="186"/>
      <c r="S348" s="77" t="str">
        <f>IF(UPPER(S352)="OXYGENE","O2","NA")</f>
        <v>O2</v>
      </c>
      <c r="T348" s="255" t="str">
        <f>CONCATENATE(LOWER(T349),"-",S353,"-",T327,"-",S351,"-",S348)</f>
        <v>bystronic3015-0-acier-1-O2</v>
      </c>
      <c r="U348" s="77"/>
      <c r="V348" s="77"/>
      <c r="W348" s="77"/>
      <c r="X348" s="77"/>
      <c r="Y348" s="242"/>
      <c r="AA348" s="188"/>
      <c r="AB348" s="188"/>
      <c r="AC348" s="188"/>
    </row>
    <row r="349" spans="15:29" ht="17.25" thickBot="1" x14ac:dyDescent="0.3">
      <c r="O349" s="5"/>
      <c r="P349" s="186"/>
      <c r="Q349" s="186"/>
      <c r="R349" s="186"/>
      <c r="S349" s="186"/>
      <c r="T349" s="431" t="s">
        <v>99</v>
      </c>
      <c r="U349" s="431" t="e">
        <f>#N/A</f>
        <v>#N/A</v>
      </c>
      <c r="V349" s="432"/>
      <c r="W349" s="432"/>
      <c r="X349" s="433"/>
      <c r="Y349" s="433"/>
      <c r="AA349" s="188"/>
      <c r="AB349" s="188"/>
      <c r="AC349" s="188"/>
    </row>
    <row r="350" spans="15:29" ht="17.25" thickBot="1" x14ac:dyDescent="0.3">
      <c r="O350" s="5"/>
      <c r="P350" s="428" t="s">
        <v>103</v>
      </c>
      <c r="Q350" s="428"/>
      <c r="R350" s="428"/>
      <c r="S350" s="428"/>
      <c r="T350" s="79">
        <f>IF(ISERROR(VLOOKUP(T348,TempsLaser,2,0)),"ERREUR",VLOOKUP(T348,TempsLaser,2,0))</f>
        <v>8649.9999999999982</v>
      </c>
      <c r="U350" s="80" t="s">
        <v>104</v>
      </c>
      <c r="V350" s="81"/>
      <c r="W350" s="82"/>
      <c r="X350" s="81"/>
      <c r="Y350" s="243"/>
      <c r="AA350" s="188"/>
      <c r="AB350" s="188"/>
      <c r="AC350" s="188"/>
    </row>
    <row r="351" spans="15:29" ht="16.5" x14ac:dyDescent="0.25">
      <c r="O351" s="5"/>
      <c r="P351" s="187"/>
      <c r="Q351" s="426" t="s">
        <v>105</v>
      </c>
      <c r="R351" s="426"/>
      <c r="S351" s="84">
        <f>IF(S327&lt;1,1,IF(S327-INT(S327)=0,S327, IF(S327-INT(S327)&lt;=0.5,0.5+INT(S327),1+INT(S327))))</f>
        <v>1</v>
      </c>
      <c r="T351" s="85">
        <f>IF(ISERROR(VLOOKUP(T348,TempsLaser,3,0)),"ERREUR",VLOOKUP(T348,TempsLaser,3,0))</f>
        <v>7100</v>
      </c>
      <c r="U351" s="86" t="s">
        <v>106</v>
      </c>
      <c r="V351" s="87"/>
      <c r="W351" s="82"/>
      <c r="X351" s="87"/>
      <c r="Y351" s="243"/>
      <c r="AA351" s="188"/>
      <c r="AB351" s="188"/>
      <c r="AC351" s="188"/>
    </row>
    <row r="352" spans="15:29" ht="16.5" x14ac:dyDescent="0.25">
      <c r="O352" s="5"/>
      <c r="P352" s="187"/>
      <c r="Q352" s="426" t="s">
        <v>108</v>
      </c>
      <c r="R352" s="426"/>
      <c r="S352" s="88" t="s">
        <v>109</v>
      </c>
      <c r="T352" s="85"/>
      <c r="U352" s="86"/>
      <c r="V352" s="87"/>
      <c r="W352" s="82"/>
      <c r="X352" s="87"/>
      <c r="Y352" s="243"/>
      <c r="AA352" s="188"/>
      <c r="AB352" s="188"/>
      <c r="AC352" s="188"/>
    </row>
    <row r="353" spans="15:29" ht="16.5" x14ac:dyDescent="0.25">
      <c r="O353" s="5"/>
      <c r="P353" s="187"/>
      <c r="Q353" s="425" t="s">
        <v>110</v>
      </c>
      <c r="R353" s="425"/>
      <c r="S353" s="88">
        <v>0</v>
      </c>
      <c r="T353" s="85"/>
      <c r="U353" s="86"/>
      <c r="V353" s="87"/>
      <c r="W353" s="82"/>
      <c r="X353" s="87"/>
      <c r="Y353" s="243"/>
      <c r="AA353" s="188"/>
      <c r="AB353" s="188"/>
      <c r="AC353" s="188"/>
    </row>
    <row r="354" spans="15:29" ht="16.5" x14ac:dyDescent="0.25">
      <c r="O354" s="5"/>
      <c r="P354" s="187"/>
      <c r="Q354" s="426" t="s">
        <v>111</v>
      </c>
      <c r="R354" s="426"/>
      <c r="S354" s="89">
        <f>(Q327+R327)*2</f>
        <v>0</v>
      </c>
      <c r="T354" s="90">
        <f>(S354/T350)/60</f>
        <v>0</v>
      </c>
      <c r="U354" s="91"/>
      <c r="V354" s="92"/>
      <c r="W354" s="93"/>
      <c r="X354" s="92"/>
      <c r="Y354" s="244"/>
      <c r="AA354" s="188"/>
      <c r="AB354" s="188"/>
      <c r="AC354" s="188"/>
    </row>
    <row r="355" spans="15:29" ht="16.5" x14ac:dyDescent="0.25">
      <c r="O355" s="5"/>
      <c r="P355" s="187"/>
      <c r="Q355" s="426" t="s">
        <v>112</v>
      </c>
      <c r="R355" s="426"/>
      <c r="S355" s="89">
        <v>0</v>
      </c>
      <c r="T355" s="90">
        <f>((S355*40)/T351)/60</f>
        <v>0</v>
      </c>
      <c r="U355" s="91"/>
      <c r="V355" s="92"/>
      <c r="W355" s="93"/>
      <c r="X355" s="92"/>
      <c r="Y355" s="244"/>
      <c r="AA355" s="188"/>
      <c r="AB355" s="188"/>
      <c r="AC355" s="188"/>
    </row>
    <row r="356" spans="15:29" ht="16.5" x14ac:dyDescent="0.25">
      <c r="O356" s="5"/>
      <c r="P356" s="187"/>
      <c r="Q356" s="426" t="s">
        <v>113</v>
      </c>
      <c r="R356" s="426"/>
      <c r="S356" s="88">
        <f>S355+1</f>
        <v>1</v>
      </c>
      <c r="T356" s="90">
        <f>U356*S351*S356</f>
        <v>2.7E-4</v>
      </c>
      <c r="U356" s="91">
        <v>2.7E-4</v>
      </c>
      <c r="V356" s="92"/>
      <c r="W356" s="93"/>
      <c r="X356" s="92"/>
      <c r="Y356" s="244"/>
      <c r="AA356" s="188"/>
      <c r="AB356" s="188"/>
      <c r="AC356" s="188"/>
    </row>
    <row r="357" spans="15:29" ht="16.5" x14ac:dyDescent="0.25">
      <c r="O357" s="5"/>
      <c r="P357" s="187"/>
      <c r="Q357" s="426" t="s">
        <v>114</v>
      </c>
      <c r="R357" s="426"/>
      <c r="S357" s="88">
        <v>0</v>
      </c>
      <c r="T357" s="94">
        <v>0</v>
      </c>
      <c r="U357" s="95"/>
      <c r="V357" s="92"/>
      <c r="W357" s="93"/>
      <c r="X357" s="92"/>
      <c r="Y357" s="244"/>
      <c r="AA357" s="188"/>
      <c r="AB357" s="188"/>
      <c r="AC357" s="188"/>
    </row>
    <row r="358" spans="15:29" ht="16.5" x14ac:dyDescent="0.25">
      <c r="O358" s="96"/>
      <c r="P358" s="187"/>
      <c r="Q358" s="426" t="s">
        <v>115</v>
      </c>
      <c r="R358" s="426"/>
      <c r="S358" s="88">
        <v>0</v>
      </c>
      <c r="T358" s="90">
        <f>U358*S358</f>
        <v>0</v>
      </c>
      <c r="U358" s="91">
        <v>4.1000000000000003E-3</v>
      </c>
      <c r="V358" s="92"/>
      <c r="W358" s="93"/>
      <c r="X358" s="92"/>
      <c r="Y358" s="244"/>
      <c r="AA358" s="188"/>
      <c r="AB358" s="188"/>
      <c r="AC358" s="188"/>
    </row>
    <row r="359" spans="15:29" ht="16.5" x14ac:dyDescent="0.25">
      <c r="O359" s="96"/>
      <c r="P359" s="187"/>
      <c r="Q359" s="426" t="s">
        <v>116</v>
      </c>
      <c r="R359" s="426"/>
      <c r="S359" s="89">
        <v>0</v>
      </c>
      <c r="T359" s="90">
        <f>((S354+S355*10)/8000)/60*IF(S359,1,0)</f>
        <v>0</v>
      </c>
      <c r="U359" s="91"/>
      <c r="V359" s="92"/>
      <c r="W359" s="93"/>
      <c r="X359" s="92"/>
      <c r="Y359" s="244"/>
      <c r="AA359" s="188"/>
      <c r="AB359" s="188"/>
      <c r="AC359" s="188"/>
    </row>
    <row r="360" spans="15:29" ht="17.25" thickBot="1" x14ac:dyDescent="0.3">
      <c r="O360" s="96" t="str">
        <f>P350</f>
        <v>LASER</v>
      </c>
      <c r="P360" s="97"/>
      <c r="Q360" s="98"/>
      <c r="R360" s="98"/>
      <c r="S360" s="99" t="s">
        <v>117</v>
      </c>
      <c r="T360" s="100">
        <f>SUM(T354:T359)*1.3</f>
        <v>3.5100000000000002E-4</v>
      </c>
      <c r="U360" s="101"/>
      <c r="V360" s="102"/>
      <c r="W360" s="93"/>
      <c r="X360" s="103"/>
      <c r="Y360" s="244"/>
      <c r="AA360" s="188"/>
      <c r="AB360" s="188"/>
      <c r="AC360" s="188"/>
    </row>
    <row r="361" spans="15:29" ht="17.25" thickBot="1" x14ac:dyDescent="0.3">
      <c r="O361" s="96"/>
      <c r="P361" s="186"/>
      <c r="Q361" s="186"/>
      <c r="R361" s="186"/>
      <c r="S361" s="186"/>
      <c r="T361" s="186"/>
      <c r="U361" s="186"/>
      <c r="V361" s="186"/>
      <c r="W361" s="186"/>
      <c r="X361" s="186"/>
      <c r="Y361" s="240"/>
      <c r="AA361" s="188"/>
      <c r="AB361" s="188"/>
      <c r="AC361" s="188"/>
    </row>
    <row r="362" spans="15:29" ht="17.25" thickBot="1" x14ac:dyDescent="0.3">
      <c r="O362" s="96"/>
      <c r="P362" s="428" t="s">
        <v>118</v>
      </c>
      <c r="Q362" s="428"/>
      <c r="R362" s="428"/>
      <c r="S362" s="428"/>
      <c r="T362" s="428"/>
      <c r="U362" s="428"/>
      <c r="V362" s="186"/>
      <c r="W362" s="186"/>
      <c r="X362" s="186"/>
      <c r="Y362" s="240"/>
      <c r="AA362" s="188"/>
      <c r="AB362" s="188"/>
      <c r="AC362" s="188"/>
    </row>
    <row r="363" spans="15:29" ht="16.5" x14ac:dyDescent="0.25">
      <c r="O363" s="96"/>
      <c r="P363" s="429" t="s">
        <v>119</v>
      </c>
      <c r="Q363" s="429"/>
      <c r="R363" s="429" t="e">
        <f>#N/A</f>
        <v>#N/A</v>
      </c>
      <c r="S363" s="88">
        <v>5</v>
      </c>
      <c r="T363" s="104">
        <f>(S363/S364)*U363</f>
        <v>1.4999999999999999E-2</v>
      </c>
      <c r="U363" s="105">
        <v>3.0000000000000001E-3</v>
      </c>
      <c r="V363" s="186"/>
      <c r="W363" s="186"/>
      <c r="X363" s="186"/>
      <c r="Y363" s="240"/>
      <c r="AA363" s="188"/>
      <c r="AB363" s="188"/>
      <c r="AC363" s="188"/>
    </row>
    <row r="364" spans="15:29" ht="16.5" x14ac:dyDescent="0.25">
      <c r="O364" s="96"/>
      <c r="P364" s="429" t="s">
        <v>120</v>
      </c>
      <c r="Q364" s="429"/>
      <c r="R364" s="429"/>
      <c r="S364" s="88">
        <v>1</v>
      </c>
      <c r="T364" s="106"/>
      <c r="U364" s="91"/>
      <c r="V364" s="186"/>
      <c r="W364" s="186"/>
      <c r="X364" s="186"/>
      <c r="Y364" s="240"/>
      <c r="AA364" s="188"/>
      <c r="AB364" s="188"/>
      <c r="AC364" s="188"/>
    </row>
    <row r="365" spans="15:29" ht="16.5" x14ac:dyDescent="0.25">
      <c r="O365" s="96"/>
      <c r="P365" s="429" t="s">
        <v>121</v>
      </c>
      <c r="Q365" s="429"/>
      <c r="R365" s="429"/>
      <c r="S365" s="88">
        <f>(Q327*2+R327*2)/50+50</f>
        <v>50</v>
      </c>
      <c r="T365" s="106">
        <f>S365*U365</f>
        <v>7.000000000000001E-3</v>
      </c>
      <c r="U365" s="37">
        <v>1.4000000000000001E-4</v>
      </c>
      <c r="V365" s="186"/>
      <c r="W365" s="186"/>
      <c r="X365" s="186"/>
      <c r="Y365" s="240"/>
      <c r="AA365" s="188"/>
      <c r="AB365" s="188"/>
      <c r="AC365" s="188"/>
    </row>
    <row r="366" spans="15:29" ht="16.5" x14ac:dyDescent="0.25">
      <c r="O366" s="96"/>
      <c r="P366" s="429" t="s">
        <v>122</v>
      </c>
      <c r="Q366" s="429"/>
      <c r="R366" s="429"/>
      <c r="S366" s="88">
        <v>0</v>
      </c>
      <c r="T366" s="106">
        <f>S366*U366</f>
        <v>0</v>
      </c>
      <c r="U366" s="37">
        <v>8.0000000000000004E-4</v>
      </c>
      <c r="V366" s="186"/>
      <c r="W366" s="186"/>
      <c r="X366" s="186"/>
      <c r="Y366" s="240"/>
      <c r="AA366" s="188"/>
      <c r="AB366" s="188"/>
      <c r="AC366" s="188"/>
    </row>
    <row r="367" spans="15:29" ht="16.5" x14ac:dyDescent="0.25">
      <c r="O367" s="96"/>
      <c r="P367" s="429" t="s">
        <v>123</v>
      </c>
      <c r="Q367" s="429"/>
      <c r="R367" s="429"/>
      <c r="S367" s="88">
        <v>0</v>
      </c>
      <c r="T367" s="106">
        <f>S367*U367</f>
        <v>0</v>
      </c>
      <c r="U367" s="91">
        <v>8.0000000000000004E-4</v>
      </c>
      <c r="V367" s="186"/>
      <c r="W367" s="186"/>
      <c r="X367" s="186"/>
      <c r="Y367" s="240"/>
      <c r="AA367" s="188"/>
      <c r="AB367" s="188"/>
      <c r="AC367" s="188"/>
    </row>
    <row r="368" spans="15:29" ht="16.5" x14ac:dyDescent="0.25">
      <c r="O368" s="96"/>
      <c r="P368" s="427" t="s">
        <v>124</v>
      </c>
      <c r="Q368" s="427"/>
      <c r="R368" s="427"/>
      <c r="S368" s="88">
        <v>1</v>
      </c>
      <c r="T368" s="106">
        <f>S368*U368</f>
        <v>5.0000000000000001E-3</v>
      </c>
      <c r="U368" s="91">
        <v>5.0000000000000001E-3</v>
      </c>
      <c r="V368" s="186"/>
      <c r="W368" s="186"/>
      <c r="X368" s="186"/>
      <c r="Y368" s="240"/>
      <c r="AA368" s="188"/>
      <c r="AB368" s="188"/>
      <c r="AC368" s="188"/>
    </row>
    <row r="369" spans="15:29" ht="16.5" x14ac:dyDescent="0.25">
      <c r="O369" s="96"/>
      <c r="P369" s="427" t="s">
        <v>125</v>
      </c>
      <c r="Q369" s="427"/>
      <c r="R369" s="427"/>
      <c r="S369" s="88">
        <v>1</v>
      </c>
      <c r="T369" s="115">
        <f>U369*(S369/S364)</f>
        <v>7.0000000000000001E-3</v>
      </c>
      <c r="U369" s="91">
        <v>7.0000000000000001E-3</v>
      </c>
      <c r="V369" s="186"/>
      <c r="W369" s="186"/>
      <c r="X369" s="186"/>
      <c r="Y369" s="240"/>
      <c r="AA369" s="188"/>
      <c r="AB369" s="188"/>
      <c r="AC369" s="188"/>
    </row>
    <row r="370" spans="15:29" ht="17.25" thickBot="1" x14ac:dyDescent="0.3">
      <c r="O370" s="96" t="str">
        <f>P362</f>
        <v>Poinconnage</v>
      </c>
      <c r="P370" s="97"/>
      <c r="Q370" s="98" t="s">
        <v>129</v>
      </c>
      <c r="R370" s="122">
        <f>SUM(0.2,PRODUCT(0.08,S363))</f>
        <v>0.60000000000000009</v>
      </c>
      <c r="S370" s="99" t="s">
        <v>117</v>
      </c>
      <c r="T370" s="100">
        <f>SUM(T363:T369)*1.3</f>
        <v>4.4200000000000003E-2</v>
      </c>
      <c r="U370" s="123">
        <f>PRODUCT(T370,3600)</f>
        <v>159.12</v>
      </c>
      <c r="V370" s="186"/>
      <c r="W370" s="186"/>
      <c r="X370" s="186"/>
      <c r="Y370" s="240"/>
      <c r="AA370" s="188"/>
      <c r="AB370" s="188"/>
      <c r="AC370" s="188"/>
    </row>
  </sheetData>
  <sheetProtection selectLockedCells="1" selectUnlockedCells="1"/>
  <mergeCells count="250">
    <mergeCell ref="P323:R323"/>
    <mergeCell ref="Q311:R311"/>
    <mergeCell ref="Q312:R312"/>
    <mergeCell ref="Q313:R313"/>
    <mergeCell ref="P316:U316"/>
    <mergeCell ref="P317:R317"/>
    <mergeCell ref="P318:R318"/>
    <mergeCell ref="Q307:R307"/>
    <mergeCell ref="Q308:R308"/>
    <mergeCell ref="Q309:R309"/>
    <mergeCell ref="Q310:R310"/>
    <mergeCell ref="T303:U303"/>
    <mergeCell ref="P319:R319"/>
    <mergeCell ref="P320:R320"/>
    <mergeCell ref="P321:R321"/>
    <mergeCell ref="P322:R322"/>
    <mergeCell ref="V303:W303"/>
    <mergeCell ref="X303:Y303"/>
    <mergeCell ref="P304:S304"/>
    <mergeCell ref="P277:R277"/>
    <mergeCell ref="Q283:R283"/>
    <mergeCell ref="P286:R286"/>
    <mergeCell ref="V286:X286"/>
    <mergeCell ref="Q305:R305"/>
    <mergeCell ref="Q306:R306"/>
    <mergeCell ref="P272:R272"/>
    <mergeCell ref="P273:R273"/>
    <mergeCell ref="P274:R274"/>
    <mergeCell ref="P275:R275"/>
    <mergeCell ref="P276:R276"/>
    <mergeCell ref="Q263:R263"/>
    <mergeCell ref="Q264:R264"/>
    <mergeCell ref="Q265:R265"/>
    <mergeCell ref="Q266:R266"/>
    <mergeCell ref="Q267:R267"/>
    <mergeCell ref="P270:U270"/>
    <mergeCell ref="X257:Y257"/>
    <mergeCell ref="P258:S258"/>
    <mergeCell ref="Q259:R259"/>
    <mergeCell ref="Q260:R260"/>
    <mergeCell ref="Q261:R261"/>
    <mergeCell ref="Q262:R262"/>
    <mergeCell ref="T257:U257"/>
    <mergeCell ref="V257:W257"/>
    <mergeCell ref="P271:R271"/>
    <mergeCell ref="P229:R229"/>
    <mergeCell ref="P230:R230"/>
    <mergeCell ref="P231:R231"/>
    <mergeCell ref="Q237:R237"/>
    <mergeCell ref="P240:R240"/>
    <mergeCell ref="V240:X240"/>
    <mergeCell ref="Q221:R221"/>
    <mergeCell ref="P224:U224"/>
    <mergeCell ref="P225:R225"/>
    <mergeCell ref="P226:R226"/>
    <mergeCell ref="P227:R227"/>
    <mergeCell ref="P228:R228"/>
    <mergeCell ref="Q216:R216"/>
    <mergeCell ref="Q217:R217"/>
    <mergeCell ref="Q218:R218"/>
    <mergeCell ref="Q219:R219"/>
    <mergeCell ref="Q220:R220"/>
    <mergeCell ref="T211:U211"/>
    <mergeCell ref="V211:W211"/>
    <mergeCell ref="X211:Y211"/>
    <mergeCell ref="P212:S212"/>
    <mergeCell ref="Q213:R213"/>
    <mergeCell ref="Q214:R214"/>
    <mergeCell ref="P194:R194"/>
    <mergeCell ref="V194:X194"/>
    <mergeCell ref="P181:R181"/>
    <mergeCell ref="P182:R182"/>
    <mergeCell ref="P183:R183"/>
    <mergeCell ref="P184:R184"/>
    <mergeCell ref="P185:R185"/>
    <mergeCell ref="Q191:R191"/>
    <mergeCell ref="Q215:R215"/>
    <mergeCell ref="Q174:R174"/>
    <mergeCell ref="Q175:R175"/>
    <mergeCell ref="P178:U178"/>
    <mergeCell ref="P179:R179"/>
    <mergeCell ref="P180:R180"/>
    <mergeCell ref="Q167:R167"/>
    <mergeCell ref="Q168:R168"/>
    <mergeCell ref="Q169:R169"/>
    <mergeCell ref="Q170:R170"/>
    <mergeCell ref="Q171:R171"/>
    <mergeCell ref="Q172:R172"/>
    <mergeCell ref="T165:U165"/>
    <mergeCell ref="V165:W165"/>
    <mergeCell ref="X165:Y165"/>
    <mergeCell ref="P166:S166"/>
    <mergeCell ref="P139:R139"/>
    <mergeCell ref="Q145:R145"/>
    <mergeCell ref="P148:R148"/>
    <mergeCell ref="V148:X148"/>
    <mergeCell ref="Q173:R173"/>
    <mergeCell ref="Q124:R124"/>
    <mergeCell ref="T119:U119"/>
    <mergeCell ref="V119:W119"/>
    <mergeCell ref="P133:R133"/>
    <mergeCell ref="P134:R134"/>
    <mergeCell ref="P135:R135"/>
    <mergeCell ref="P136:R136"/>
    <mergeCell ref="P137:R137"/>
    <mergeCell ref="P138:R138"/>
    <mergeCell ref="Q125:R125"/>
    <mergeCell ref="Q126:R126"/>
    <mergeCell ref="Q127:R127"/>
    <mergeCell ref="Q128:R128"/>
    <mergeCell ref="Q129:R129"/>
    <mergeCell ref="P132:U132"/>
    <mergeCell ref="V102:X102"/>
    <mergeCell ref="Q83:R83"/>
    <mergeCell ref="P86:U86"/>
    <mergeCell ref="P87:R87"/>
    <mergeCell ref="P88:R88"/>
    <mergeCell ref="P89:R89"/>
    <mergeCell ref="P90:R90"/>
    <mergeCell ref="X119:Y119"/>
    <mergeCell ref="P120:S120"/>
    <mergeCell ref="T73:U73"/>
    <mergeCell ref="V73:W73"/>
    <mergeCell ref="X73:Y73"/>
    <mergeCell ref="P74:S74"/>
    <mergeCell ref="Q75:R75"/>
    <mergeCell ref="Q76:R76"/>
    <mergeCell ref="P91:R91"/>
    <mergeCell ref="P92:R92"/>
    <mergeCell ref="P93:R93"/>
    <mergeCell ref="V56:X56"/>
    <mergeCell ref="P43:R43"/>
    <mergeCell ref="P44:R44"/>
    <mergeCell ref="P45:R45"/>
    <mergeCell ref="P46:R46"/>
    <mergeCell ref="P47:R47"/>
    <mergeCell ref="I48:M48"/>
    <mergeCell ref="A56:K56"/>
    <mergeCell ref="A57:K62"/>
    <mergeCell ref="L49:M49"/>
    <mergeCell ref="L50:M50"/>
    <mergeCell ref="L51:M51"/>
    <mergeCell ref="L52:M52"/>
    <mergeCell ref="L53:M53"/>
    <mergeCell ref="L54:M54"/>
    <mergeCell ref="L55:M55"/>
    <mergeCell ref="Q53:R53"/>
    <mergeCell ref="P56:R56"/>
    <mergeCell ref="C18:G18"/>
    <mergeCell ref="C19:G19"/>
    <mergeCell ref="C20:G20"/>
    <mergeCell ref="C16:G16"/>
    <mergeCell ref="C17:G17"/>
    <mergeCell ref="I20:N20"/>
    <mergeCell ref="K24:L24"/>
    <mergeCell ref="V27:W27"/>
    <mergeCell ref="X27:Y27"/>
    <mergeCell ref="C21:G21"/>
    <mergeCell ref="C22:G22"/>
    <mergeCell ref="A23:G23"/>
    <mergeCell ref="I21:N21"/>
    <mergeCell ref="I22:N22"/>
    <mergeCell ref="I23:N23"/>
    <mergeCell ref="A24:F24"/>
    <mergeCell ref="I18:N18"/>
    <mergeCell ref="I19:N19"/>
    <mergeCell ref="V332:X332"/>
    <mergeCell ref="T349:U349"/>
    <mergeCell ref="V349:W349"/>
    <mergeCell ref="X349:Y349"/>
    <mergeCell ref="J5:K5"/>
    <mergeCell ref="J6:K6"/>
    <mergeCell ref="J7:K7"/>
    <mergeCell ref="Q7:R7"/>
    <mergeCell ref="J8:K8"/>
    <mergeCell ref="J9:K9"/>
    <mergeCell ref="J14:K14"/>
    <mergeCell ref="J10:K10"/>
    <mergeCell ref="P10:R10"/>
    <mergeCell ref="V10:X10"/>
    <mergeCell ref="J11:K11"/>
    <mergeCell ref="J12:K12"/>
    <mergeCell ref="J13:K13"/>
    <mergeCell ref="P28:S28"/>
    <mergeCell ref="Q35:R35"/>
    <mergeCell ref="Q36:R36"/>
    <mergeCell ref="Q37:R37"/>
    <mergeCell ref="P40:U40"/>
    <mergeCell ref="P41:R41"/>
    <mergeCell ref="P42:R42"/>
    <mergeCell ref="P368:R368"/>
    <mergeCell ref="P369:R369"/>
    <mergeCell ref="P350:S350"/>
    <mergeCell ref="Q351:R351"/>
    <mergeCell ref="Q352:R352"/>
    <mergeCell ref="Q353:R353"/>
    <mergeCell ref="Q354:R354"/>
    <mergeCell ref="Q355:R355"/>
    <mergeCell ref="Q356:R356"/>
    <mergeCell ref="Q357:R357"/>
    <mergeCell ref="Q358:R358"/>
    <mergeCell ref="Q359:R359"/>
    <mergeCell ref="P362:U362"/>
    <mergeCell ref="P363:R363"/>
    <mergeCell ref="P364:R364"/>
    <mergeCell ref="P365:R365"/>
    <mergeCell ref="P366:R366"/>
    <mergeCell ref="P367:R367"/>
    <mergeCell ref="Q329:R329"/>
    <mergeCell ref="P332:R332"/>
    <mergeCell ref="Q29:R29"/>
    <mergeCell ref="Q30:R30"/>
    <mergeCell ref="Q31:R31"/>
    <mergeCell ref="Q32:R32"/>
    <mergeCell ref="Q33:R33"/>
    <mergeCell ref="Q34:R34"/>
    <mergeCell ref="M65:N65"/>
    <mergeCell ref="M66:N66"/>
    <mergeCell ref="M67:N67"/>
    <mergeCell ref="M68:N68"/>
    <mergeCell ref="M69:N69"/>
    <mergeCell ref="Q77:R77"/>
    <mergeCell ref="Q78:R78"/>
    <mergeCell ref="Q79:R79"/>
    <mergeCell ref="Q80:R80"/>
    <mergeCell ref="Q81:R81"/>
    <mergeCell ref="Q82:R82"/>
    <mergeCell ref="Q99:R99"/>
    <mergeCell ref="P102:R102"/>
    <mergeCell ref="Q121:R121"/>
    <mergeCell ref="Q122:R122"/>
    <mergeCell ref="Q123:R123"/>
    <mergeCell ref="AE14:AI14"/>
    <mergeCell ref="AE17:AI17"/>
    <mergeCell ref="A1:B2"/>
    <mergeCell ref="C1:G2"/>
    <mergeCell ref="H1:N2"/>
    <mergeCell ref="D3:G3"/>
    <mergeCell ref="H3:J3"/>
    <mergeCell ref="C4:D4"/>
    <mergeCell ref="E4:L4"/>
    <mergeCell ref="A3:B4"/>
    <mergeCell ref="I15:N15"/>
    <mergeCell ref="I16:N16"/>
    <mergeCell ref="I17:N17"/>
    <mergeCell ref="K3:L3"/>
    <mergeCell ref="M3:N3"/>
    <mergeCell ref="M4:N4"/>
    <mergeCell ref="A14:G14"/>
    <mergeCell ref="C15:G15"/>
  </mergeCells>
  <conditionalFormatting sqref="J26:J46 L47">
    <cfRule type="cellIs" dxfId="31" priority="29" stopIfTrue="1" operator="equal">
      <formula>0</formula>
    </cfRule>
  </conditionalFormatting>
  <conditionalFormatting sqref="O12:O25">
    <cfRule type="cellIs" dxfId="30" priority="30" stopIfTrue="1" operator="notEqual">
      <formula>#N/A</formula>
    </cfRule>
    <cfRule type="cellIs" dxfId="29" priority="31" stopIfTrue="1" operator="equal">
      <formula>#N/A</formula>
    </cfRule>
  </conditionalFormatting>
  <conditionalFormatting sqref="S12:S13 S58:S59 S104:S105 S150:S151 S196:S197 S242:S243 S288:S289 S18:S19 S21:S22 S24:S25 S15:S16 S61:S62 S64:S65 S67:S68 S70:S71 S107:S108 S110:S111 S113:S114 S116:S117 S153:S154 S156:S157 S159:S160 S162:S163 S199:S200 S202:S203 S205:S206 S208:S209 S245:S246 S248:S249 S251:S252 S254:S255 S291:S292 S294:S295 S297:S298 S300:S301">
    <cfRule type="cellIs" dxfId="28" priority="32" stopIfTrue="1" operator="equal">
      <formula>0</formula>
    </cfRule>
    <cfRule type="cellIs" dxfId="27" priority="33" stopIfTrue="1" operator="greaterThan">
      <formula>0</formula>
    </cfRule>
  </conditionalFormatting>
  <conditionalFormatting sqref="B16:B22">
    <cfRule type="expression" dxfId="26" priority="34" stopIfTrue="1">
      <formula>A16=""</formula>
    </cfRule>
    <cfRule type="expression" dxfId="25" priority="35" stopIfTrue="1">
      <formula>A16&lt;&gt;""</formula>
    </cfRule>
  </conditionalFormatting>
  <conditionalFormatting sqref="S334:S335 S337:S338 S340:S341 S343:S344 S346:S347">
    <cfRule type="cellIs" dxfId="24" priority="27" stopIfTrue="1" operator="equal">
      <formula>0</formula>
    </cfRule>
    <cfRule type="cellIs" dxfId="23" priority="28" stopIfTrue="1" operator="greaterThan">
      <formula>0</formula>
    </cfRule>
  </conditionalFormatting>
  <conditionalFormatting sqref="O58:O71">
    <cfRule type="cellIs" dxfId="22" priority="17" stopIfTrue="1" operator="notEqual">
      <formula>#N/A</formula>
    </cfRule>
    <cfRule type="cellIs" dxfId="21" priority="18" stopIfTrue="1" operator="equal">
      <formula>#N/A</formula>
    </cfRule>
  </conditionalFormatting>
  <conditionalFormatting sqref="O104:O117">
    <cfRule type="cellIs" dxfId="20" priority="15" stopIfTrue="1" operator="notEqual">
      <formula>#N/A</formula>
    </cfRule>
    <cfRule type="cellIs" dxfId="19" priority="16" stopIfTrue="1" operator="equal">
      <formula>#N/A</formula>
    </cfRule>
  </conditionalFormatting>
  <conditionalFormatting sqref="O150:O163">
    <cfRule type="cellIs" dxfId="18" priority="13" stopIfTrue="1" operator="notEqual">
      <formula>#N/A</formula>
    </cfRule>
    <cfRule type="cellIs" dxfId="17" priority="14" stopIfTrue="1" operator="equal">
      <formula>#N/A</formula>
    </cfRule>
  </conditionalFormatting>
  <conditionalFormatting sqref="O196:O209">
    <cfRule type="cellIs" dxfId="16" priority="11" stopIfTrue="1" operator="notEqual">
      <formula>#N/A</formula>
    </cfRule>
    <cfRule type="cellIs" dxfId="15" priority="12" stopIfTrue="1" operator="equal">
      <formula>#N/A</formula>
    </cfRule>
  </conditionalFormatting>
  <conditionalFormatting sqref="O242:O255">
    <cfRule type="cellIs" dxfId="14" priority="9" stopIfTrue="1" operator="notEqual">
      <formula>#N/A</formula>
    </cfRule>
    <cfRule type="cellIs" dxfId="13" priority="10" stopIfTrue="1" operator="equal">
      <formula>#N/A</formula>
    </cfRule>
  </conditionalFormatting>
  <conditionalFormatting sqref="O288:O301">
    <cfRule type="cellIs" dxfId="12" priority="7" stopIfTrue="1" operator="notEqual">
      <formula>#N/A</formula>
    </cfRule>
    <cfRule type="cellIs" dxfId="11" priority="8" stopIfTrue="1" operator="equal">
      <formula>#N/A</formula>
    </cfRule>
  </conditionalFormatting>
  <conditionalFormatting sqref="O334:O347">
    <cfRule type="cellIs" dxfId="10" priority="5" stopIfTrue="1" operator="notEqual">
      <formula>#N/A</formula>
    </cfRule>
    <cfRule type="cellIs" dxfId="9" priority="6" stopIfTrue="1" operator="equal">
      <formula>#N/A</formula>
    </cfRule>
  </conditionalFormatting>
  <dataValidations count="30">
    <dataValidation type="list" operator="equal" showErrorMessage="1" errorTitle="Erreur" error="Veuillez selectionner une valeur_x000a_dans la liste déroulante" sqref="T5 T51 T97 T143 T189 T235 T281 T327">
      <formula1>TypeMatiere</formula1>
      <formula2>0</formula2>
    </dataValidation>
    <dataValidation type="list" operator="equal" allowBlank="1" sqref="A6:A13">
      <formula1>DesignationMatiere</formula1>
      <formula2>0</formula2>
    </dataValidation>
    <dataValidation type="list" operator="equal" allowBlank="1" sqref="B6:B13">
      <formula1>"1000,1250,1500,2000,2500,3000,"</formula1>
      <formula2>0</formula2>
    </dataValidation>
    <dataValidation type="list" operator="equal" allowBlank="1" sqref="C6:C13">
      <formula1>"1000,1250,1500,2000,2500,3000"</formula1>
      <formula2>0</formula2>
    </dataValidation>
    <dataValidation operator="equal" allowBlank="1" showInputMessage="1" promptTitle="Aide" prompt="70 Pour le Laser Amada" sqref="T8 T54 T100 T146 T192 T238 T284 T330">
      <formula1>0</formula1>
      <formula2>0</formula2>
    </dataValidation>
    <dataValidation type="list" operator="equal" allowBlank="1" sqref="AE16 AE19">
      <formula1>TypeMatiere</formula1>
      <formula2>0</formula2>
    </dataValidation>
    <dataValidation type="list" operator="equal" allowBlank="1" sqref="A16:A22">
      <formula1>DesignationComposant</formula1>
      <formula2>0</formula2>
    </dataValidation>
    <dataValidation type="list" operator="equal" allowBlank="1" sqref="B16:B22">
      <formula1>"0,1,2,3,4,5,6,7,8,9,10,20,50,100,150,200"</formula1>
      <formula2>0</formula2>
    </dataValidation>
    <dataValidation type="list" operator="equal" allowBlank="1" sqref="A26:A46">
      <formula1>DesignationOperation</formula1>
      <formula2>0</formula2>
    </dataValidation>
    <dataValidation type="list" operator="equal" promptTitle="aide" prompt="si aide calcul alors mettre valeur a 1" sqref="C26:C46 S34:S36 S42:S47 S80:S82 S88:S93 S126:S128 S134:S139 S172:S174 S180:S185 S218:S220 S226:S231 S264:S266 S272:S277 S310:S312 S318:S323 S356:S358 S364:S369">
      <formula1>"0,1,2,3,4,5,6,7,8,9,10,50,150,,"</formula1>
      <formula2>0</formula2>
    </dataValidation>
    <dataValidation type="list" operator="equal" allowBlank="1" sqref="E26:E46">
      <mc:AlternateContent xmlns:x12ac="http://schemas.microsoft.com/office/spreadsheetml/2011/1/ac" xmlns:mc="http://schemas.openxmlformats.org/markup-compatibility/2006">
        <mc:Choice Requires="x12ac">
          <x12ac:list>,"0,2","0,3","0,4","0,5","0,6","0,7","0,8","0,9",1</x12ac:list>
        </mc:Choice>
        <mc:Fallback>
          <formula1>",0,2,0,3,0,4,0,5,0,6,0,7,0,8,0,9,1"</formula1>
        </mc:Fallback>
      </mc:AlternateContent>
      <formula2>0</formula2>
    </dataValidation>
    <dataValidation type="decimal" errorStyle="information" operator="greaterThan" allowBlank="1" errorTitle="ERREUR" error="Verifier vos paramètres" sqref="T28:T29 V28:V29 X28:X29 T74:T75 V74:V75 X74:X75 T120:T121 V120:V121 X120:X121 T166:T167 V166:V167 X166:X167 T212:T213 V212:V213 X212:X213 T258:T259 V258:V259 X258:X259 T304:T305 V304:V305 X304:X305 T350:T351 V350:V351 X350:X351">
      <formula1>0</formula1>
      <formula2>0</formula2>
    </dataValidation>
    <dataValidation operator="equal" allowBlank="1" promptTitle="aide" prompt="si aide calcul alors mettre valeur a 1" sqref="S29 S75 S121 S167 S213 S259 S305 S351">
      <formula1>0</formula1>
      <formula2>0</formula2>
    </dataValidation>
    <dataValidation type="list" operator="equal" showErrorMessage="1" errorTitle="Erreur" error="Seules les valueurs Oxygene/Azote sont autorisées" promptTitle="aide" prompt="si aide calcul alors mettre valeur a 1" sqref="S30 S76 S122 S168 S214 S260 S306 S352">
      <formula1>"Oxygene,Azote"</formula1>
      <formula2>0</formula2>
    </dataValidation>
    <dataValidation type="list" operator="equal" showInputMessage="1" showErrorMessage="1" errorTitle="Erreur" error="Seule les valeurs 0/1 sont autorisées" promptTitle="aide" prompt="0 HighSpeed Désactivé_x000a_1 HighSpeed Activé" sqref="S31 S77 S123 S169 S215 S261 S307 S353">
      <formula1>"0,1"</formula1>
      <formula2>0</formula2>
    </dataValidation>
    <dataValidation type="list" operator="equal" allowBlank="1" sqref="S32 S78 S124 S170 S216 S262 S308 S354">
      <formula1>"100,300,600,700,750"</formula1>
      <formula2>0</formula2>
    </dataValidation>
    <dataValidation type="list" operator="equal" allowBlank="1" sqref="S33 S79 S125 S171 S217 S263 S309 S355">
      <formula1>"0,1,2,3,4,5,6,7,8,9,10,50,150"</formula1>
      <formula2>0</formula2>
    </dataValidation>
    <dataValidation type="list" operator="equal" allowBlank="1" sqref="S37 S83 S129 S175 S221 S267 S313 S359">
      <formula1>"0,1"</formula1>
      <formula2>0</formula2>
    </dataValidation>
    <dataValidation type="list" operator="equal" promptTitle="aide" prompt="si aide calcul alors mettre valeur a 1" sqref="S41 S87 S133 S179 S225 S271 S317 S363">
      <formula1>"0,1,2,3,4,5,6,7,8,9,10,11,12,13,14,15,16,17,18,19,20"</formula1>
      <formula2>0</formula2>
    </dataValidation>
    <dataValidation type="list" operator="equal" allowBlank="1" sqref="B47:E47 C48 F48 C68">
      <formula1>#N/A</formula1>
      <formula2>0</formula2>
    </dataValidation>
    <dataValidation type="list" operator="equal" allowBlank="1" sqref="B48">
      <mc:AlternateContent xmlns:x12ac="http://schemas.microsoft.com/office/spreadsheetml/2011/1/ac" xmlns:mc="http://schemas.openxmlformats.org/markup-compatibility/2006">
        <mc:Choice Requires="x12ac">
          <x12ac:list>0,"0,15","0,25","0,5","0,75",1,"1,5",2,3,4,5,6,12</x12ac:list>
        </mc:Choice>
        <mc:Fallback>
          <formula1>"0,0,15,0,25,0,5,0,75,1,1,5,2,3,4,5,6,12"</formula1>
        </mc:Fallback>
      </mc:AlternateContent>
      <formula2>0</formula2>
    </dataValidation>
    <dataValidation type="list" operator="equal" allowBlank="1" sqref="E48">
      <formula1>"5,10,15,20,25,30,40"</formula1>
      <formula2>0</formula2>
    </dataValidation>
    <dataValidation type="list" operator="equal" allowBlank="1" sqref="A49:C49">
      <formula1>DesignationTS</formula1>
      <formula2>0</formula2>
    </dataValidation>
    <dataValidation type="list" operator="equal" allowBlank="1" sqref="D49">
      <formula1>"Usinage,Usi Esti"</formula1>
      <formula2>0</formula2>
    </dataValidation>
    <dataValidation type="list" operator="equal" allowBlank="1" sqref="E50:E55">
      <formula1>DesignationDensiteMatiere</formula1>
      <formula2>0</formula2>
    </dataValidation>
    <dataValidation type="list" operator="equal" allowBlank="1" sqref="J50:J55">
      <formula1>"1,2,5,10,15,20,25,50,100,150,200"</formula1>
      <formula2>0</formula2>
    </dataValidation>
    <dataValidation type="list" operator="equal" sqref="K50:K55">
      <formula1>"6,9,11,16,19,21,26,31,36,41,46,51,56,61,100,"</formula1>
      <formula2>0</formula2>
    </dataValidation>
    <dataValidation type="list" operator="equal" allowBlank="1" sqref="M58">
      <formula1>Difficulte</formula1>
      <formula2>0</formula2>
    </dataValidation>
    <dataValidation type="list" operator="equal" allowBlank="1" sqref="M59">
      <formula1>Delai</formula1>
      <formula2>0</formula2>
    </dataValidation>
    <dataValidation type="list" operator="equal" allowBlank="1" sqref="M60">
      <formula1>Traitement</formula1>
      <formula2>0</formula2>
    </dataValidation>
  </dataValidations>
  <pageMargins left="0.19685039370078741" right="0.19685039370078741" top="0.19685039370078741" bottom="0" header="0" footer="0.19685039370078741"/>
  <pageSetup scale="57" orientation="portrait" useFirstPageNumber="1" horizontalDpi="300" verticalDpi="300" r:id="rId1"/>
  <headerFooter alignWithMargins="0"/>
  <colBreaks count="1" manualBreakCount="1">
    <brk id="15" max="36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PushButton3">
              <controlPr defaultSize="0" print="0" autoFill="0" autoLine="0" autoPict="0" macro="[0]!Chiffrage.Main" altText="">
                <anchor moveWithCells="1" sizeWithCells="1">
                  <from>
                    <xdr:col>32</xdr:col>
                    <xdr:colOff>142875</xdr:colOff>
                    <xdr:row>2</xdr:row>
                    <xdr:rowOff>0</xdr:rowOff>
                  </from>
                  <to>
                    <xdr:col>35</xdr:col>
                    <xdr:colOff>200025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3"/>
  <sheetViews>
    <sheetView zoomScaleNormal="100" workbookViewId="0"/>
  </sheetViews>
  <sheetFormatPr baseColWidth="10" defaultColWidth="11.5703125" defaultRowHeight="12.75" x14ac:dyDescent="0.2"/>
  <sheetData>
    <row r="1" spans="1:15" ht="12.75" customHeight="1" x14ac:dyDescent="0.2">
      <c r="A1" s="465" t="s">
        <v>154</v>
      </c>
      <c r="B1" s="465"/>
      <c r="C1" s="465"/>
      <c r="D1" s="465"/>
      <c r="E1" s="465"/>
      <c r="F1" s="465"/>
      <c r="G1" s="465"/>
      <c r="H1" s="465" t="str">
        <f>IF(B1="","",VLOOKUP(B1,ListeOperation,7,FALSE))</f>
        <v/>
      </c>
      <c r="I1" s="465"/>
      <c r="J1" s="465"/>
      <c r="K1" s="465"/>
      <c r="L1" s="465"/>
      <c r="M1" s="465"/>
      <c r="N1" s="465"/>
      <c r="O1" s="465"/>
    </row>
    <row r="2" spans="1:15" x14ac:dyDescent="0.2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</row>
    <row r="3" spans="1:15" x14ac:dyDescent="0.2">
      <c r="A3" s="465"/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  <c r="N3" s="465"/>
      <c r="O3" s="465"/>
    </row>
    <row r="4" spans="1:15" x14ac:dyDescent="0.2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</row>
    <row r="5" spans="1:15" x14ac:dyDescent="0.2">
      <c r="A5" s="465"/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</row>
    <row r="6" spans="1:15" x14ac:dyDescent="0.2">
      <c r="A6" s="465"/>
      <c r="B6" s="465"/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  <c r="N6" s="465"/>
      <c r="O6" s="465"/>
    </row>
    <row r="7" spans="1:15" x14ac:dyDescent="0.2">
      <c r="A7" s="465"/>
      <c r="B7" s="465"/>
      <c r="C7" s="465"/>
      <c r="D7" s="465"/>
      <c r="E7" s="465"/>
      <c r="F7" s="465"/>
      <c r="G7" s="465"/>
      <c r="H7" s="465"/>
      <c r="I7" s="465"/>
      <c r="J7" s="465"/>
      <c r="K7" s="465"/>
      <c r="L7" s="465"/>
      <c r="M7" s="465"/>
      <c r="N7" s="465"/>
      <c r="O7" s="465"/>
    </row>
    <row r="8" spans="1:15" x14ac:dyDescent="0.2">
      <c r="A8" s="465"/>
      <c r="B8" s="465"/>
      <c r="C8" s="465"/>
      <c r="D8" s="465"/>
      <c r="E8" s="465"/>
      <c r="F8" s="465"/>
      <c r="G8" s="465"/>
      <c r="H8" s="465"/>
      <c r="I8" s="465"/>
      <c r="J8" s="465"/>
      <c r="K8" s="465"/>
      <c r="L8" s="465"/>
      <c r="M8" s="465"/>
      <c r="N8" s="465"/>
      <c r="O8" s="465"/>
    </row>
    <row r="9" spans="1:15" x14ac:dyDescent="0.2">
      <c r="A9" s="465"/>
      <c r="B9" s="465"/>
      <c r="C9" s="465"/>
      <c r="D9" s="465"/>
      <c r="E9" s="465"/>
      <c r="F9" s="465"/>
      <c r="G9" s="465"/>
      <c r="H9" s="465"/>
      <c r="I9" s="465"/>
      <c r="J9" s="465"/>
      <c r="K9" s="465"/>
      <c r="L9" s="465"/>
      <c r="M9" s="465"/>
      <c r="N9" s="465"/>
      <c r="O9" s="465"/>
    </row>
    <row r="10" spans="1:15" x14ac:dyDescent="0.2">
      <c r="A10" s="465"/>
      <c r="B10" s="465"/>
      <c r="C10" s="465"/>
      <c r="D10" s="465"/>
      <c r="E10" s="465"/>
      <c r="F10" s="465"/>
      <c r="G10" s="465"/>
      <c r="H10" s="465"/>
      <c r="I10" s="465"/>
      <c r="J10" s="465"/>
      <c r="K10" s="465"/>
      <c r="L10" s="465"/>
      <c r="M10" s="465"/>
      <c r="N10" s="465"/>
      <c r="O10" s="465"/>
    </row>
    <row r="11" spans="1:15" x14ac:dyDescent="0.2">
      <c r="A11" s="465"/>
      <c r="B11" s="465"/>
      <c r="C11" s="465"/>
      <c r="D11" s="465"/>
      <c r="E11" s="465"/>
      <c r="F11" s="465"/>
      <c r="G11" s="465"/>
      <c r="H11" s="465"/>
      <c r="I11" s="465"/>
      <c r="J11" s="465"/>
      <c r="K11" s="465"/>
      <c r="L11" s="465"/>
      <c r="M11" s="465"/>
      <c r="N11" s="465"/>
      <c r="O11" s="465"/>
    </row>
    <row r="12" spans="1:15" x14ac:dyDescent="0.2">
      <c r="A12" s="465"/>
      <c r="B12" s="465"/>
      <c r="C12" s="465"/>
      <c r="D12" s="465"/>
      <c r="E12" s="465"/>
      <c r="F12" s="465"/>
      <c r="G12" s="465"/>
      <c r="H12" s="465"/>
      <c r="I12" s="465"/>
      <c r="J12" s="465"/>
      <c r="K12" s="465"/>
      <c r="L12" s="465"/>
      <c r="M12" s="465"/>
      <c r="N12" s="465"/>
      <c r="O12" s="465"/>
    </row>
    <row r="13" spans="1:15" x14ac:dyDescent="0.2">
      <c r="A13" s="465"/>
      <c r="B13" s="465"/>
      <c r="C13" s="465"/>
      <c r="D13" s="465"/>
      <c r="E13" s="465"/>
      <c r="F13" s="465"/>
      <c r="G13" s="465"/>
      <c r="H13" s="465"/>
      <c r="I13" s="465"/>
      <c r="J13" s="465"/>
      <c r="K13" s="465"/>
      <c r="L13" s="465"/>
      <c r="M13" s="465"/>
      <c r="N13" s="465"/>
      <c r="O13" s="465"/>
    </row>
    <row r="14" spans="1:15" x14ac:dyDescent="0.2">
      <c r="A14" s="465"/>
      <c r="B14" s="465"/>
      <c r="C14" s="465"/>
      <c r="D14" s="465"/>
      <c r="E14" s="465"/>
      <c r="F14" s="465"/>
      <c r="G14" s="465"/>
      <c r="H14" s="465"/>
      <c r="I14" s="465"/>
      <c r="J14" s="465"/>
      <c r="K14" s="465"/>
      <c r="L14" s="465"/>
      <c r="M14" s="465"/>
      <c r="N14" s="465"/>
      <c r="O14" s="465"/>
    </row>
    <row r="15" spans="1:15" x14ac:dyDescent="0.2">
      <c r="A15" s="465"/>
      <c r="B15" s="465"/>
      <c r="C15" s="465"/>
      <c r="D15" s="465"/>
      <c r="E15" s="465"/>
      <c r="F15" s="465"/>
      <c r="G15" s="465"/>
      <c r="H15" s="465"/>
      <c r="I15" s="465"/>
      <c r="J15" s="465"/>
      <c r="K15" s="465"/>
      <c r="L15" s="465"/>
      <c r="M15" s="465"/>
      <c r="N15" s="465"/>
      <c r="O15" s="465"/>
    </row>
    <row r="16" spans="1:15" x14ac:dyDescent="0.2">
      <c r="A16" s="465"/>
      <c r="B16" s="465"/>
      <c r="C16" s="465"/>
      <c r="D16" s="465"/>
      <c r="E16" s="465"/>
      <c r="F16" s="465"/>
      <c r="G16" s="465"/>
      <c r="H16" s="465"/>
      <c r="I16" s="465"/>
      <c r="J16" s="465"/>
      <c r="K16" s="465"/>
      <c r="L16" s="465"/>
      <c r="M16" s="465"/>
      <c r="N16" s="465"/>
      <c r="O16" s="465"/>
    </row>
    <row r="17" spans="1:15" x14ac:dyDescent="0.2">
      <c r="A17" s="465"/>
      <c r="B17" s="465"/>
      <c r="C17" s="465"/>
      <c r="D17" s="465"/>
      <c r="E17" s="465"/>
      <c r="F17" s="465"/>
      <c r="G17" s="465"/>
      <c r="H17" s="465"/>
      <c r="I17" s="465"/>
      <c r="J17" s="465"/>
      <c r="K17" s="465"/>
      <c r="L17" s="465"/>
      <c r="M17" s="465"/>
      <c r="N17" s="465"/>
      <c r="O17" s="465"/>
    </row>
    <row r="18" spans="1:15" x14ac:dyDescent="0.2">
      <c r="A18" s="465"/>
      <c r="B18" s="465"/>
      <c r="C18" s="465"/>
      <c r="D18" s="465"/>
      <c r="E18" s="465"/>
      <c r="F18" s="465"/>
      <c r="G18" s="465"/>
      <c r="H18" s="465"/>
      <c r="I18" s="465"/>
      <c r="J18" s="465"/>
      <c r="K18" s="465"/>
      <c r="L18" s="465"/>
      <c r="M18" s="465"/>
      <c r="N18" s="465"/>
      <c r="O18" s="465"/>
    </row>
    <row r="19" spans="1:15" x14ac:dyDescent="0.2">
      <c r="A19" s="465"/>
      <c r="B19" s="465"/>
      <c r="C19" s="465"/>
      <c r="D19" s="465"/>
      <c r="E19" s="465"/>
      <c r="F19" s="465"/>
      <c r="G19" s="465"/>
      <c r="H19" s="465"/>
      <c r="I19" s="465"/>
      <c r="J19" s="465"/>
      <c r="K19" s="465"/>
      <c r="L19" s="465"/>
      <c r="M19" s="465"/>
      <c r="N19" s="465"/>
      <c r="O19" s="465"/>
    </row>
    <row r="20" spans="1:15" x14ac:dyDescent="0.2">
      <c r="A20" s="465"/>
      <c r="B20" s="465"/>
      <c r="C20" s="465"/>
      <c r="D20" s="465"/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5"/>
    </row>
    <row r="21" spans="1:15" x14ac:dyDescent="0.2">
      <c r="A21" s="465"/>
      <c r="B21" s="465"/>
      <c r="C21" s="465"/>
      <c r="D21" s="465"/>
      <c r="E21" s="465"/>
      <c r="F21" s="465"/>
      <c r="G21" s="465"/>
      <c r="H21" s="465"/>
      <c r="I21" s="465"/>
      <c r="J21" s="465"/>
      <c r="K21" s="465"/>
      <c r="L21" s="465"/>
      <c r="M21" s="465"/>
      <c r="N21" s="465"/>
      <c r="O21" s="465"/>
    </row>
    <row r="22" spans="1:15" x14ac:dyDescent="0.2">
      <c r="A22" s="465"/>
      <c r="B22" s="465"/>
      <c r="C22" s="465"/>
      <c r="D22" s="465"/>
      <c r="E22" s="465"/>
      <c r="F22" s="465"/>
      <c r="G22" s="465"/>
      <c r="H22" s="465"/>
      <c r="I22" s="465"/>
      <c r="J22" s="465"/>
      <c r="K22" s="465"/>
      <c r="L22" s="465"/>
      <c r="M22" s="465"/>
      <c r="N22" s="465"/>
      <c r="O22" s="465"/>
    </row>
    <row r="23" spans="1:15" x14ac:dyDescent="0.2">
      <c r="A23" s="465"/>
      <c r="B23" s="465"/>
      <c r="C23" s="465"/>
      <c r="D23" s="465"/>
      <c r="E23" s="465"/>
      <c r="F23" s="465"/>
      <c r="G23" s="465"/>
      <c r="H23" s="465"/>
      <c r="I23" s="465"/>
      <c r="J23" s="465"/>
      <c r="K23" s="465"/>
      <c r="L23" s="465"/>
      <c r="M23" s="465"/>
      <c r="N23" s="465"/>
      <c r="O23" s="465"/>
    </row>
    <row r="24" spans="1:15" x14ac:dyDescent="0.2">
      <c r="A24" s="465"/>
      <c r="B24" s="465"/>
      <c r="C24" s="465"/>
      <c r="D24" s="465"/>
      <c r="E24" s="465"/>
      <c r="F24" s="465"/>
      <c r="G24" s="465"/>
      <c r="H24" s="465"/>
      <c r="I24" s="465"/>
      <c r="J24" s="465"/>
      <c r="K24" s="465"/>
      <c r="L24" s="465"/>
      <c r="M24" s="465"/>
      <c r="N24" s="465"/>
      <c r="O24" s="465"/>
    </row>
    <row r="25" spans="1:15" x14ac:dyDescent="0.2">
      <c r="A25" s="465"/>
      <c r="B25" s="465"/>
      <c r="C25" s="465"/>
      <c r="D25" s="465"/>
      <c r="E25" s="465"/>
      <c r="F25" s="465"/>
      <c r="G25" s="465"/>
      <c r="H25" s="465"/>
      <c r="I25" s="465"/>
      <c r="J25" s="465"/>
      <c r="K25" s="465"/>
      <c r="L25" s="465"/>
      <c r="M25" s="465"/>
      <c r="N25" s="465"/>
      <c r="O25" s="465"/>
    </row>
    <row r="26" spans="1:15" x14ac:dyDescent="0.2">
      <c r="A26" s="465"/>
      <c r="B26" s="465"/>
      <c r="C26" s="465"/>
      <c r="D26" s="465"/>
      <c r="E26" s="465"/>
      <c r="F26" s="465"/>
      <c r="G26" s="465"/>
      <c r="H26" s="465"/>
      <c r="I26" s="465"/>
      <c r="J26" s="465"/>
      <c r="K26" s="465"/>
      <c r="L26" s="465"/>
      <c r="M26" s="465"/>
      <c r="N26" s="465"/>
      <c r="O26" s="465"/>
    </row>
    <row r="27" spans="1:15" x14ac:dyDescent="0.2">
      <c r="A27" s="465"/>
      <c r="B27" s="465"/>
      <c r="C27" s="465"/>
      <c r="D27" s="465"/>
      <c r="E27" s="465"/>
      <c r="F27" s="465"/>
      <c r="G27" s="465"/>
      <c r="H27" s="465"/>
      <c r="I27" s="465"/>
      <c r="J27" s="465"/>
      <c r="K27" s="465"/>
      <c r="L27" s="465"/>
      <c r="M27" s="465"/>
      <c r="N27" s="465"/>
      <c r="O27" s="465"/>
    </row>
    <row r="28" spans="1:15" x14ac:dyDescent="0.2">
      <c r="A28" s="465"/>
      <c r="B28" s="465"/>
      <c r="C28" s="465"/>
      <c r="D28" s="465"/>
      <c r="E28" s="465"/>
      <c r="F28" s="465"/>
      <c r="G28" s="465"/>
      <c r="H28" s="465"/>
      <c r="I28" s="465"/>
      <c r="J28" s="465"/>
      <c r="K28" s="465"/>
      <c r="L28" s="465"/>
      <c r="M28" s="465"/>
      <c r="N28" s="465"/>
      <c r="O28" s="465"/>
    </row>
    <row r="29" spans="1:15" x14ac:dyDescent="0.2">
      <c r="A29" s="465"/>
      <c r="B29" s="465"/>
      <c r="C29" s="465"/>
      <c r="D29" s="465"/>
      <c r="E29" s="465"/>
      <c r="F29" s="465"/>
      <c r="G29" s="465"/>
      <c r="H29" s="465"/>
      <c r="I29" s="465"/>
      <c r="J29" s="465"/>
      <c r="K29" s="465"/>
      <c r="L29" s="465"/>
      <c r="M29" s="465"/>
      <c r="N29" s="465"/>
      <c r="O29" s="465"/>
    </row>
    <row r="30" spans="1:15" x14ac:dyDescent="0.2">
      <c r="A30" s="465"/>
      <c r="B30" s="465"/>
      <c r="C30" s="465"/>
      <c r="D30" s="465"/>
      <c r="E30" s="465"/>
      <c r="F30" s="465"/>
      <c r="G30" s="465"/>
      <c r="H30" s="465"/>
      <c r="I30" s="465"/>
      <c r="J30" s="465"/>
      <c r="K30" s="465"/>
      <c r="L30" s="465"/>
      <c r="M30" s="465"/>
      <c r="N30" s="465"/>
      <c r="O30" s="465"/>
    </row>
    <row r="31" spans="1:15" x14ac:dyDescent="0.2">
      <c r="A31" s="465"/>
      <c r="B31" s="465"/>
      <c r="C31" s="465"/>
      <c r="D31" s="465"/>
      <c r="E31" s="465"/>
      <c r="F31" s="465"/>
      <c r="G31" s="465"/>
      <c r="H31" s="465"/>
      <c r="I31" s="465"/>
      <c r="J31" s="465"/>
      <c r="K31" s="465"/>
      <c r="L31" s="465"/>
      <c r="M31" s="465"/>
      <c r="N31" s="465"/>
      <c r="O31" s="465"/>
    </row>
    <row r="32" spans="1:15" x14ac:dyDescent="0.2">
      <c r="A32" s="465"/>
      <c r="B32" s="465"/>
      <c r="C32" s="465"/>
      <c r="D32" s="465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5"/>
    </row>
    <row r="33" spans="1:15" x14ac:dyDescent="0.2">
      <c r="A33" s="465"/>
      <c r="B33" s="465"/>
      <c r="C33" s="465"/>
      <c r="D33" s="465"/>
      <c r="E33" s="465"/>
      <c r="F33" s="465"/>
      <c r="G33" s="465"/>
      <c r="H33" s="465"/>
      <c r="I33" s="465"/>
      <c r="J33" s="465"/>
      <c r="K33" s="465"/>
      <c r="L33" s="465"/>
      <c r="M33" s="465"/>
      <c r="N33" s="465"/>
      <c r="O33" s="465"/>
    </row>
    <row r="34" spans="1:15" x14ac:dyDescent="0.2">
      <c r="A34" s="465"/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</row>
    <row r="35" spans="1:15" x14ac:dyDescent="0.2">
      <c r="A35" s="465"/>
      <c r="B35" s="465"/>
      <c r="C35" s="465"/>
      <c r="D35" s="465"/>
      <c r="E35" s="465"/>
      <c r="F35" s="465"/>
      <c r="G35" s="465"/>
      <c r="H35" s="465"/>
      <c r="I35" s="465"/>
      <c r="J35" s="465"/>
      <c r="K35" s="465"/>
      <c r="L35" s="465"/>
      <c r="M35" s="465"/>
      <c r="N35" s="465"/>
      <c r="O35" s="465"/>
    </row>
    <row r="36" spans="1:15" x14ac:dyDescent="0.2">
      <c r="A36" s="465"/>
      <c r="B36" s="465"/>
      <c r="C36" s="465"/>
      <c r="D36" s="465"/>
      <c r="E36" s="465"/>
      <c r="F36" s="465"/>
      <c r="G36" s="465"/>
      <c r="H36" s="465"/>
      <c r="I36" s="465"/>
      <c r="J36" s="465"/>
      <c r="K36" s="465"/>
      <c r="L36" s="465"/>
      <c r="M36" s="465"/>
      <c r="N36" s="465"/>
      <c r="O36" s="465"/>
    </row>
    <row r="37" spans="1:15" x14ac:dyDescent="0.2">
      <c r="A37" s="465"/>
      <c r="B37" s="465"/>
      <c r="C37" s="465"/>
      <c r="D37" s="465"/>
      <c r="E37" s="465"/>
      <c r="F37" s="465"/>
      <c r="G37" s="465"/>
      <c r="H37" s="465"/>
      <c r="I37" s="465"/>
      <c r="J37" s="465"/>
      <c r="K37" s="465"/>
      <c r="L37" s="465"/>
      <c r="M37" s="465"/>
      <c r="N37" s="465"/>
      <c r="O37" s="465"/>
    </row>
    <row r="38" spans="1:15" x14ac:dyDescent="0.2">
      <c r="A38" s="465"/>
      <c r="B38" s="465"/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</row>
    <row r="39" spans="1:15" x14ac:dyDescent="0.2">
      <c r="A39" s="465"/>
      <c r="B39" s="465"/>
      <c r="C39" s="465"/>
      <c r="D39" s="465"/>
      <c r="E39" s="465"/>
      <c r="F39" s="465"/>
      <c r="G39" s="465"/>
      <c r="H39" s="465"/>
      <c r="I39" s="465"/>
      <c r="J39" s="465"/>
      <c r="K39" s="465"/>
      <c r="L39" s="465"/>
      <c r="M39" s="465"/>
      <c r="N39" s="465"/>
      <c r="O39" s="465"/>
    </row>
    <row r="40" spans="1:15" x14ac:dyDescent="0.2">
      <c r="A40" s="465"/>
      <c r="B40" s="465"/>
      <c r="C40" s="465"/>
      <c r="D40" s="465"/>
      <c r="E40" s="465"/>
      <c r="F40" s="465"/>
      <c r="G40" s="465"/>
      <c r="H40" s="465"/>
      <c r="I40" s="465"/>
      <c r="J40" s="465"/>
      <c r="K40" s="465"/>
      <c r="L40" s="465"/>
      <c r="M40" s="465"/>
      <c r="N40" s="465"/>
      <c r="O40" s="465"/>
    </row>
    <row r="41" spans="1:15" x14ac:dyDescent="0.2">
      <c r="A41" s="465"/>
      <c r="B41" s="465"/>
      <c r="C41" s="465"/>
      <c r="D41" s="465"/>
      <c r="E41" s="465"/>
      <c r="F41" s="465"/>
      <c r="G41" s="465"/>
      <c r="H41" s="465"/>
      <c r="I41" s="465"/>
      <c r="J41" s="465"/>
      <c r="K41" s="465"/>
      <c r="L41" s="465"/>
      <c r="M41" s="465"/>
      <c r="N41" s="465"/>
      <c r="O41" s="465"/>
    </row>
    <row r="42" spans="1:15" x14ac:dyDescent="0.2">
      <c r="A42" s="465"/>
      <c r="B42" s="465"/>
      <c r="C42" s="465"/>
      <c r="D42" s="465"/>
      <c r="E42" s="465"/>
      <c r="F42" s="465"/>
      <c r="G42" s="465"/>
      <c r="H42" s="465"/>
      <c r="I42" s="465"/>
      <c r="J42" s="465"/>
      <c r="K42" s="465"/>
      <c r="L42" s="465"/>
      <c r="M42" s="465"/>
      <c r="N42" s="465"/>
      <c r="O42" s="465"/>
    </row>
    <row r="43" spans="1:15" x14ac:dyDescent="0.2">
      <c r="A43" t="s">
        <v>155</v>
      </c>
    </row>
  </sheetData>
  <sheetProtection selectLockedCells="1" selectUnlockedCells="1"/>
  <mergeCells count="1">
    <mergeCell ref="A1:O42"/>
  </mergeCells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S185"/>
  <sheetViews>
    <sheetView zoomScaleNormal="100" workbookViewId="0">
      <selection activeCell="N2" sqref="N2:O2"/>
    </sheetView>
  </sheetViews>
  <sheetFormatPr baseColWidth="10" defaultColWidth="11.5703125" defaultRowHeight="12.75" x14ac:dyDescent="0.2"/>
  <cols>
    <col min="1" max="1" width="31" style="1" customWidth="1"/>
    <col min="2" max="2" width="19.28515625" style="1" customWidth="1"/>
    <col min="3" max="3" width="13.5703125" style="1" customWidth="1"/>
    <col min="4" max="7" width="11.5703125" style="1"/>
    <col min="8" max="8" width="12.42578125" style="1" bestFit="1" customWidth="1"/>
    <col min="9" max="10" width="11.5703125" style="1"/>
    <col min="11" max="11" width="15.7109375" style="1" customWidth="1"/>
    <col min="12" max="12" width="9.28515625" style="1" customWidth="1"/>
    <col min="13" max="13" width="10.7109375" style="1" customWidth="1"/>
    <col min="14" max="14" width="12.5703125" style="1" customWidth="1"/>
    <col min="15" max="15" width="11.5703125" style="1"/>
    <col min="16" max="21" width="11.5703125" style="2"/>
    <col min="22" max="22" width="11.28515625" style="2" customWidth="1"/>
    <col min="23" max="23" width="12.28515625" style="2" customWidth="1"/>
    <col min="24" max="24" width="7.140625" style="2" customWidth="1"/>
    <col min="25" max="25" width="18.28515625" style="2" customWidth="1"/>
    <col min="26" max="27" width="11.5703125" style="2"/>
    <col min="28" max="28" width="11.5703125" style="1"/>
    <col min="29" max="29" width="13.28515625" style="1" customWidth="1"/>
    <col min="30" max="30" width="11.85546875" style="1" customWidth="1"/>
    <col min="31" max="31" width="14.5703125" style="1" customWidth="1"/>
    <col min="32" max="16384" width="11.5703125" style="1"/>
  </cols>
  <sheetData>
    <row r="1" spans="1:45" ht="27.75" x14ac:dyDescent="0.4">
      <c r="A1" s="3"/>
      <c r="B1" s="469"/>
      <c r="C1" s="469"/>
      <c r="D1" s="470"/>
      <c r="E1" s="470"/>
      <c r="F1" s="470"/>
      <c r="G1" s="470"/>
      <c r="H1" s="470"/>
      <c r="I1" s="470"/>
      <c r="J1" s="470"/>
      <c r="K1" s="470"/>
      <c r="L1" s="471" t="str">
        <f>CONCATENATE("Indice ","")</f>
        <v xml:space="preserve">Indice </v>
      </c>
      <c r="M1" s="471"/>
      <c r="N1" s="472" t="s">
        <v>0</v>
      </c>
      <c r="O1" s="472"/>
      <c r="P1" s="5">
        <v>1</v>
      </c>
      <c r="AA1" s="5">
        <f>COUNTA(AA2:AA10000)</f>
        <v>4</v>
      </c>
      <c r="AB1" s="6" t="s">
        <v>1</v>
      </c>
      <c r="AC1" s="6"/>
      <c r="AE1" s="6" t="s">
        <v>2</v>
      </c>
      <c r="AF1" s="6" t="e">
        <f>VLOOKUP("Par_1",Parametre,5,0)</f>
        <v>#N/A</v>
      </c>
    </row>
    <row r="2" spans="1:45" ht="27.75" x14ac:dyDescent="0.4">
      <c r="A2" s="7"/>
      <c r="B2" s="4"/>
      <c r="C2" s="8" t="s">
        <v>3</v>
      </c>
      <c r="D2" s="473"/>
      <c r="E2" s="473"/>
      <c r="F2" s="473"/>
      <c r="G2" s="473"/>
      <c r="H2" s="473" t="s">
        <v>4</v>
      </c>
      <c r="I2" s="473"/>
      <c r="J2" s="473"/>
      <c r="K2" s="473"/>
      <c r="L2" s="473"/>
      <c r="M2" s="473">
        <v>0</v>
      </c>
      <c r="N2" s="474">
        <f ca="1">TODAY()</f>
        <v>42619</v>
      </c>
      <c r="O2" s="474"/>
      <c r="P2" s="9" t="str">
        <f>CHAR(64+INT(ROW()/45)+1)</f>
        <v>A</v>
      </c>
      <c r="R2" s="143" t="s">
        <v>45</v>
      </c>
      <c r="S2" s="143" t="s">
        <v>141</v>
      </c>
      <c r="T2" s="143" t="s">
        <v>142</v>
      </c>
      <c r="U2" s="143" t="s">
        <v>8</v>
      </c>
      <c r="V2" s="10"/>
      <c r="W2" s="2" t="s">
        <v>9</v>
      </c>
      <c r="X2" s="2" t="s">
        <v>10</v>
      </c>
      <c r="AA2" s="5">
        <v>1</v>
      </c>
      <c r="AB2" s="11" t="s">
        <v>11</v>
      </c>
      <c r="AC2" s="11" t="s">
        <v>12</v>
      </c>
      <c r="AE2" s="6" t="s">
        <v>13</v>
      </c>
      <c r="AF2" s="12" t="e">
        <f>VLOOKUP("Par_2",Parametre,5,0)</f>
        <v>#N/A</v>
      </c>
    </row>
    <row r="3" spans="1:45" ht="54" x14ac:dyDescent="0.25">
      <c r="A3" s="13"/>
      <c r="B3" s="14" t="s">
        <v>8</v>
      </c>
      <c r="C3" s="15" t="s">
        <v>14</v>
      </c>
      <c r="D3" s="15" t="s">
        <v>15</v>
      </c>
      <c r="E3" s="15" t="s">
        <v>16</v>
      </c>
      <c r="F3" s="14" t="s">
        <v>17</v>
      </c>
      <c r="G3" s="15" t="s">
        <v>18</v>
      </c>
      <c r="H3" s="15" t="s">
        <v>19</v>
      </c>
      <c r="I3" s="16" t="s">
        <v>20</v>
      </c>
      <c r="J3" s="15" t="s">
        <v>21</v>
      </c>
      <c r="K3" s="466" t="s">
        <v>22</v>
      </c>
      <c r="L3" s="466"/>
      <c r="M3" s="17" t="s">
        <v>10</v>
      </c>
      <c r="N3" s="17" t="s">
        <v>9</v>
      </c>
      <c r="P3" s="18"/>
      <c r="Q3" s="19"/>
      <c r="R3" s="34">
        <v>200</v>
      </c>
      <c r="S3" s="34">
        <v>100</v>
      </c>
      <c r="T3" s="34">
        <v>1</v>
      </c>
      <c r="U3" s="34" t="s">
        <v>23</v>
      </c>
      <c r="V3" s="20">
        <f>VLOOKUP(U3,DensiteMatiere,2,0)</f>
        <v>7.8</v>
      </c>
      <c r="W3" s="19">
        <f>(R3*S3*T3*V3)/1000000</f>
        <v>0.156</v>
      </c>
      <c r="X3" s="19">
        <f>R3*S3*2/1000000</f>
        <v>0.04</v>
      </c>
      <c r="Y3" s="19"/>
      <c r="Z3" s="19"/>
      <c r="AB3" s="21"/>
      <c r="AC3" s="22" t="e">
        <f>X3+X49+X94+X141+X187+X233+X279+X325</f>
        <v>#VALUE!</v>
      </c>
    </row>
    <row r="4" spans="1:45" ht="19.899999999999999" customHeight="1" x14ac:dyDescent="0.25">
      <c r="A4" s="23" t="str">
        <f t="shared" ref="A4:A11" si="0">IF(OR(B4="",B4="--------------"),"",CHAR(64+INT(ROW()-4)+1))</f>
        <v/>
      </c>
      <c r="B4" s="24"/>
      <c r="C4" s="24"/>
      <c r="D4" s="24"/>
      <c r="E4" s="24"/>
      <c r="F4" s="24"/>
      <c r="G4" s="25" t="s">
        <v>429</v>
      </c>
      <c r="H4" s="26" t="e">
        <f>IF(G4="","",G4*J4)</f>
        <v>#VALUE!</v>
      </c>
      <c r="I4" s="27" t="e">
        <f t="shared" ref="I4:I11" si="1">IF(H4="","",H4*F4)</f>
        <v>#VALUE!</v>
      </c>
      <c r="J4" s="26" t="str">
        <f t="shared" ref="J4:J11" si="2">IF(ISERROR(VLOOKUP(B4,DesignationDensiteMatiere,2,0)),"",VLOOKUP(B4,DesignationDensiteMatiere,2,0))</f>
        <v/>
      </c>
      <c r="K4" s="467"/>
      <c r="L4" s="467"/>
      <c r="M4" s="28"/>
      <c r="N4" s="28"/>
      <c r="P4" s="18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45" ht="19.899999999999999" customHeight="1" x14ac:dyDescent="0.25">
      <c r="A5" s="23" t="str">
        <f t="shared" si="0"/>
        <v/>
      </c>
      <c r="B5" s="24"/>
      <c r="C5" s="24"/>
      <c r="D5" s="24"/>
      <c r="E5" s="24"/>
      <c r="F5" s="24"/>
      <c r="G5" s="25" t="str">
        <f t="shared" ref="G5:G11" si="3">IF(OR($B5="--------------",$B5="",E5=""),"",CALCULPOIDS(C5,D5,E5,VLOOKUP(B5,DesignationDensiteMatiere,3,0)))</f>
        <v/>
      </c>
      <c r="H5" s="26" t="str">
        <f t="shared" ref="H5:H11" si="4">IF(G5="","",G5*J5)</f>
        <v/>
      </c>
      <c r="I5" s="27" t="str">
        <f t="shared" si="1"/>
        <v/>
      </c>
      <c r="J5" s="26" t="str">
        <f t="shared" si="2"/>
        <v/>
      </c>
      <c r="K5" s="467"/>
      <c r="L5" s="467"/>
      <c r="M5" s="28"/>
      <c r="N5" s="28"/>
      <c r="P5" s="18"/>
      <c r="Q5" s="19"/>
      <c r="R5" s="468" t="s">
        <v>143</v>
      </c>
      <c r="S5" s="468"/>
      <c r="T5" s="19"/>
      <c r="U5" s="29" t="s">
        <v>26</v>
      </c>
      <c r="V5" s="19"/>
      <c r="W5" s="19"/>
      <c r="X5" s="19"/>
      <c r="Y5" s="19"/>
      <c r="Z5" s="19"/>
      <c r="AB5" s="30"/>
      <c r="AC5" s="31"/>
      <c r="AD5" s="31" t="s">
        <v>27</v>
      </c>
      <c r="AE5" s="32">
        <v>0.15</v>
      </c>
      <c r="AF5" s="31" t="s">
        <v>28</v>
      </c>
      <c r="AG5" s="33">
        <v>2000</v>
      </c>
    </row>
    <row r="6" spans="1:45" ht="19.899999999999999" customHeight="1" x14ac:dyDescent="0.25">
      <c r="A6" s="23" t="str">
        <f t="shared" si="0"/>
        <v/>
      </c>
      <c r="B6" s="24"/>
      <c r="C6" s="24"/>
      <c r="D6" s="24"/>
      <c r="E6" s="24"/>
      <c r="F6" s="24"/>
      <c r="G6" s="25" t="str">
        <f t="shared" si="3"/>
        <v/>
      </c>
      <c r="H6" s="26" t="str">
        <f t="shared" si="4"/>
        <v/>
      </c>
      <c r="I6" s="27" t="str">
        <f t="shared" si="1"/>
        <v/>
      </c>
      <c r="J6" s="26" t="str">
        <f t="shared" si="2"/>
        <v/>
      </c>
      <c r="K6" s="467"/>
      <c r="L6" s="467"/>
      <c r="M6" s="28"/>
      <c r="N6" s="28"/>
      <c r="P6" s="18"/>
      <c r="Q6" s="19"/>
      <c r="R6" s="34">
        <v>10</v>
      </c>
      <c r="S6" s="34">
        <v>10</v>
      </c>
      <c r="T6" s="35"/>
      <c r="U6" s="34">
        <v>0</v>
      </c>
      <c r="V6" s="19"/>
      <c r="W6" s="19"/>
      <c r="X6" s="19"/>
      <c r="Y6" s="19"/>
      <c r="Z6" s="19"/>
      <c r="AB6" s="36" t="s">
        <v>29</v>
      </c>
      <c r="AC6" s="37">
        <v>3.0000000000000003E-4</v>
      </c>
      <c r="AD6" s="38">
        <f>AC6*60</f>
        <v>1.8000000000000002E-2</v>
      </c>
      <c r="AE6" s="39">
        <f>(AE5*60)/3600</f>
        <v>2.5000000000000001E-3</v>
      </c>
      <c r="AF6" s="39">
        <f>AC6*3600</f>
        <v>1.08</v>
      </c>
      <c r="AG6" s="40">
        <f>AG5/3600</f>
        <v>0.55555555555555558</v>
      </c>
      <c r="AJ6" s="41"/>
      <c r="AK6" s="41"/>
      <c r="AL6" s="41" t="s">
        <v>30</v>
      </c>
      <c r="AM6" s="41"/>
      <c r="AN6" s="41" t="s">
        <v>31</v>
      </c>
      <c r="AO6" s="41"/>
      <c r="AP6" s="41" t="s">
        <v>32</v>
      </c>
      <c r="AQ6" s="41" t="s">
        <v>3</v>
      </c>
      <c r="AR6" s="41" t="str">
        <f>CONCATENATE(AN6,CHAR(13),CHAR(13),AL6,CHAR(13),CHAR(13),AP6)</f>
        <v>Difficulte_x000D__x000D_Delai_x000D__x000D_Traitement</v>
      </c>
      <c r="AS6" s="41"/>
    </row>
    <row r="7" spans="1:45" ht="19.899999999999999" customHeight="1" x14ac:dyDescent="0.25">
      <c r="A7" s="23" t="str">
        <f t="shared" si="0"/>
        <v/>
      </c>
      <c r="B7" s="24"/>
      <c r="C7" s="24"/>
      <c r="D7" s="24"/>
      <c r="E7" s="24"/>
      <c r="F7" s="24"/>
      <c r="G7" s="25" t="str">
        <f t="shared" si="3"/>
        <v/>
      </c>
      <c r="H7" s="26" t="str">
        <f t="shared" si="4"/>
        <v/>
      </c>
      <c r="I7" s="27" t="str">
        <f t="shared" si="1"/>
        <v/>
      </c>
      <c r="J7" s="26" t="str">
        <f t="shared" si="2"/>
        <v/>
      </c>
      <c r="K7" s="467"/>
      <c r="L7" s="467"/>
      <c r="M7" s="28"/>
      <c r="N7" s="28"/>
      <c r="Q7" s="19"/>
      <c r="R7" s="19"/>
      <c r="S7" s="19"/>
      <c r="T7" s="19"/>
      <c r="U7" s="19"/>
      <c r="V7" s="19"/>
      <c r="W7" s="19"/>
      <c r="X7" s="19"/>
      <c r="Y7" s="19"/>
      <c r="Z7" s="19"/>
      <c r="AJ7" s="41"/>
      <c r="AK7" s="41"/>
      <c r="AL7" s="41" t="s">
        <v>33</v>
      </c>
      <c r="AM7" s="41"/>
      <c r="AN7" s="41" t="s">
        <v>34</v>
      </c>
      <c r="AO7" s="41"/>
      <c r="AP7" s="41" t="s">
        <v>35</v>
      </c>
      <c r="AQ7" s="41" t="s">
        <v>36</v>
      </c>
      <c r="AR7" s="41"/>
      <c r="AS7" s="41"/>
    </row>
    <row r="8" spans="1:45" ht="19.899999999999999" customHeight="1" x14ac:dyDescent="0.25">
      <c r="A8" s="23" t="str">
        <f t="shared" si="0"/>
        <v/>
      </c>
      <c r="B8" s="24"/>
      <c r="C8" s="24"/>
      <c r="D8" s="24"/>
      <c r="E8" s="24"/>
      <c r="F8" s="24"/>
      <c r="G8" s="25" t="str">
        <f t="shared" si="3"/>
        <v/>
      </c>
      <c r="H8" s="26" t="str">
        <f t="shared" si="4"/>
        <v/>
      </c>
      <c r="I8" s="27" t="str">
        <f t="shared" si="1"/>
        <v/>
      </c>
      <c r="J8" s="26" t="str">
        <f t="shared" si="2"/>
        <v/>
      </c>
      <c r="K8" s="467"/>
      <c r="L8" s="467"/>
      <c r="M8" s="28"/>
      <c r="N8" s="28"/>
      <c r="Q8" s="480" t="s">
        <v>37</v>
      </c>
      <c r="R8" s="480"/>
      <c r="S8" s="480"/>
      <c r="T8" s="19"/>
      <c r="U8" s="19"/>
      <c r="V8" s="19"/>
      <c r="W8" s="477" t="s">
        <v>38</v>
      </c>
      <c r="X8" s="477"/>
      <c r="Y8" s="477"/>
      <c r="Z8" s="43" t="s">
        <v>39</v>
      </c>
      <c r="AL8" s="1" t="s">
        <v>40</v>
      </c>
      <c r="AN8" s="1" t="s">
        <v>41</v>
      </c>
      <c r="AP8" s="1" t="s">
        <v>42</v>
      </c>
      <c r="AQ8" s="1" t="s">
        <v>43</v>
      </c>
    </row>
    <row r="9" spans="1:45" ht="19.899999999999999" customHeight="1" x14ac:dyDescent="0.25">
      <c r="A9" s="23" t="str">
        <f t="shared" si="0"/>
        <v/>
      </c>
      <c r="B9" s="24"/>
      <c r="C9" s="24"/>
      <c r="D9" s="24"/>
      <c r="E9" s="24"/>
      <c r="F9" s="24"/>
      <c r="G9" s="25" t="str">
        <f t="shared" si="3"/>
        <v/>
      </c>
      <c r="H9" s="26" t="str">
        <f t="shared" si="4"/>
        <v/>
      </c>
      <c r="I9" s="27" t="str">
        <f t="shared" si="1"/>
        <v/>
      </c>
      <c r="J9" s="26" t="str">
        <f t="shared" si="2"/>
        <v/>
      </c>
      <c r="K9" s="467"/>
      <c r="L9" s="467"/>
      <c r="M9" s="28"/>
      <c r="N9" s="28"/>
      <c r="P9" s="44" t="e">
        <f ca="1">MIN(U10,U11,U13,U14,U16,U17,U19,U20,U22,U23)</f>
        <v>#NAME?</v>
      </c>
      <c r="Q9" s="29" t="s">
        <v>44</v>
      </c>
      <c r="R9" s="29" t="s">
        <v>45</v>
      </c>
      <c r="S9" s="29" t="s">
        <v>46</v>
      </c>
      <c r="T9" s="29" t="s">
        <v>47</v>
      </c>
      <c r="U9" s="29" t="s">
        <v>48</v>
      </c>
      <c r="V9" s="29" t="s">
        <v>49</v>
      </c>
      <c r="W9" s="42" t="s">
        <v>50</v>
      </c>
      <c r="X9" s="42" t="s">
        <v>46</v>
      </c>
      <c r="Y9" s="42" t="s">
        <v>9</v>
      </c>
      <c r="Z9" s="43"/>
      <c r="AL9" s="1" t="s">
        <v>51</v>
      </c>
      <c r="AN9" s="1" t="s">
        <v>52</v>
      </c>
      <c r="AP9" s="1" t="s">
        <v>53</v>
      </c>
      <c r="AQ9" s="1" t="s">
        <v>54</v>
      </c>
    </row>
    <row r="10" spans="1:45" ht="19.899999999999999" customHeight="1" x14ac:dyDescent="0.25">
      <c r="A10" s="23" t="str">
        <f t="shared" si="0"/>
        <v/>
      </c>
      <c r="B10" s="24"/>
      <c r="C10" s="24"/>
      <c r="D10" s="24"/>
      <c r="E10" s="24"/>
      <c r="F10" s="24"/>
      <c r="G10" s="25" t="str">
        <f t="shared" si="3"/>
        <v/>
      </c>
      <c r="H10" s="26" t="str">
        <f t="shared" si="4"/>
        <v/>
      </c>
      <c r="I10" s="27" t="str">
        <f t="shared" si="1"/>
        <v/>
      </c>
      <c r="J10" s="26" t="str">
        <f t="shared" si="2"/>
        <v/>
      </c>
      <c r="K10" s="467"/>
      <c r="L10" s="467"/>
      <c r="M10" s="28"/>
      <c r="N10" s="28"/>
      <c r="P10" s="18" t="e">
        <f ca="1">IF(U10=$P9,$AF$2,"")</f>
        <v>#NAME?</v>
      </c>
      <c r="Q10" s="45"/>
      <c r="R10" s="42">
        <v>4000</v>
      </c>
      <c r="S10" s="42">
        <v>2000</v>
      </c>
      <c r="T10" s="42" t="str">
        <f>IF(Q10="","",(INT((R10/($R3+$R6)))*INT(((S10-$U6)/($S3+$S6)))))</f>
        <v/>
      </c>
      <c r="U10" s="46" t="str">
        <f>IF(OR(T10=0,T10=""),"",CALCULPOIDS(R10,S10,T3,V3)/T10)</f>
        <v/>
      </c>
      <c r="V10" s="47" t="str">
        <f>IF(Q10="","",(($R10*$S10)-(R3*S3*$T10))/($R10*$S10))</f>
        <v/>
      </c>
      <c r="W10" s="42" t="e">
        <f ca="1">CALCUL_FORMATIDEAL(R10,0,R3,R6)</f>
        <v>#NAME?</v>
      </c>
      <c r="X10" s="42" t="e">
        <f ca="1">CALCUL_FORMATIDEAL(S10,U6,S3,S6)</f>
        <v>#NAME?</v>
      </c>
      <c r="Y10" s="42" t="e">
        <f ca="1">CALCULPOIDS(W10,X10,T3,V3)</f>
        <v>#NAME?</v>
      </c>
      <c r="Z10" s="43" t="e">
        <f ca="1">CALCULPOIDS(R10,S10,T3,V3)</f>
        <v>#NAME?</v>
      </c>
      <c r="AK10" s="41"/>
      <c r="AL10" s="41" t="s">
        <v>55</v>
      </c>
      <c r="AM10" s="41"/>
      <c r="AN10" s="41"/>
      <c r="AO10" s="41"/>
      <c r="AP10" s="41" t="s">
        <v>56</v>
      </c>
      <c r="AQ10" s="41"/>
      <c r="AR10" s="41"/>
      <c r="AS10" s="41"/>
    </row>
    <row r="11" spans="1:45" ht="19.899999999999999" customHeight="1" x14ac:dyDescent="0.25">
      <c r="A11" s="23" t="str">
        <f t="shared" si="0"/>
        <v/>
      </c>
      <c r="B11" s="24"/>
      <c r="C11" s="24"/>
      <c r="D11" s="24"/>
      <c r="E11" s="24"/>
      <c r="F11" s="24"/>
      <c r="G11" s="25" t="str">
        <f t="shared" si="3"/>
        <v/>
      </c>
      <c r="H11" s="26" t="str">
        <f t="shared" si="4"/>
        <v/>
      </c>
      <c r="I11" s="27" t="str">
        <f t="shared" si="1"/>
        <v/>
      </c>
      <c r="J11" s="26" t="str">
        <f t="shared" si="2"/>
        <v/>
      </c>
      <c r="K11" s="467"/>
      <c r="L11" s="467"/>
      <c r="M11" s="28"/>
      <c r="N11" s="28"/>
      <c r="P11" s="18" t="e">
        <f ca="1">IF(U11=$P9,$AF$2,"")</f>
        <v>#NAME?</v>
      </c>
      <c r="Q11" s="45"/>
      <c r="R11" s="42">
        <v>2000</v>
      </c>
      <c r="S11" s="42">
        <v>4000</v>
      </c>
      <c r="T11" s="42" t="str">
        <f>IF(Q11="","",(INT((R11/($R3+$R6)))*INT(((S11-$U6)/($S3+$S6)))))</f>
        <v/>
      </c>
      <c r="U11" s="46" t="str">
        <f>IF(OR(T11=0,T11=""),"",CALCULPOIDS(R11,S11,T3,V3)/T11)</f>
        <v/>
      </c>
      <c r="V11" s="47" t="str">
        <f>IF(Q11="","",(($R11*$S11)-(R3*S3*$T11))/($R11*$S11))</f>
        <v/>
      </c>
      <c r="W11" s="42" t="e">
        <f ca="1">CALCUL_FORMATIDEAL(R11,0,R3,R6)</f>
        <v>#NAME?</v>
      </c>
      <c r="X11" s="42" t="e">
        <f ca="1">CALCUL_FORMATIDEAL(S11,U6,S3,S6)</f>
        <v>#NAME?</v>
      </c>
      <c r="Y11" s="42" t="e">
        <f ca="1">CALCULPOIDS(W11,X11,T3,V3)</f>
        <v>#NAME?</v>
      </c>
      <c r="Z11" s="43" t="e">
        <f ca="1">CALCULPOIDS(R11,S11,T3,V3)</f>
        <v>#NAME?</v>
      </c>
      <c r="AB11" s="380" t="s">
        <v>57</v>
      </c>
      <c r="AC11" s="380"/>
      <c r="AD11" s="380"/>
      <c r="AE11" s="380"/>
      <c r="AF11" s="380"/>
      <c r="AJ11" s="41"/>
      <c r="AK11" s="41"/>
      <c r="AL11" s="41" t="s">
        <v>58</v>
      </c>
      <c r="AM11" s="41"/>
      <c r="AN11" s="41"/>
      <c r="AO11" s="41"/>
      <c r="AP11" s="41" t="s">
        <v>59</v>
      </c>
      <c r="AQ11" s="41"/>
      <c r="AR11" s="41"/>
      <c r="AS11" s="41"/>
    </row>
    <row r="12" spans="1:45" ht="37.35" customHeight="1" x14ac:dyDescent="0.35">
      <c r="B12" s="475" t="s">
        <v>60</v>
      </c>
      <c r="C12" s="475"/>
      <c r="D12" s="475"/>
      <c r="E12" s="475"/>
      <c r="F12" s="475"/>
      <c r="G12" s="475"/>
      <c r="H12" s="475"/>
      <c r="I12" s="48" t="e">
        <f>SUM(I4:I11)</f>
        <v>#VALUE!</v>
      </c>
      <c r="J12" s="49"/>
      <c r="K12" s="476"/>
      <c r="L12" s="476"/>
      <c r="M12" s="28">
        <f>SUM(M4:M11)</f>
        <v>0</v>
      </c>
      <c r="N12" s="28">
        <f>SUM(N4:N11)</f>
        <v>0</v>
      </c>
      <c r="P12" s="18"/>
      <c r="Q12" s="477"/>
      <c r="R12" s="477"/>
      <c r="S12" s="477"/>
      <c r="T12" s="477" t="str">
        <f>IF(UPPER(Q12)="X",(INT((R12/($R$8+$R$11)))*INT(((S12-$U$11)/($S$8+$S$11)))),"")</f>
        <v/>
      </c>
      <c r="U12" s="477" t="str">
        <f>IF(OR(T12=0,T12=""),"",CALCULPOIDS(R12,S12,$T$3,V5)/T12)</f>
        <v/>
      </c>
      <c r="V12" s="47"/>
      <c r="W12" s="42"/>
      <c r="X12" s="42"/>
      <c r="Y12" s="42"/>
      <c r="Z12" s="43"/>
      <c r="AB12" t="s">
        <v>61</v>
      </c>
      <c r="AC12" t="s">
        <v>62</v>
      </c>
      <c r="AD12" t="s">
        <v>63</v>
      </c>
      <c r="AE12" t="s">
        <v>64</v>
      </c>
      <c r="AF12" t="s">
        <v>65</v>
      </c>
      <c r="AG12"/>
      <c r="AH12"/>
      <c r="AJ12" s="41"/>
      <c r="AK12" s="41"/>
      <c r="AL12" s="41" t="s">
        <v>66</v>
      </c>
      <c r="AM12" s="41"/>
      <c r="AN12" s="41"/>
      <c r="AO12" s="41"/>
      <c r="AP12" s="41" t="s">
        <v>67</v>
      </c>
      <c r="AQ12" s="41"/>
      <c r="AR12" s="41"/>
      <c r="AS12" s="41"/>
    </row>
    <row r="13" spans="1:45" ht="18" x14ac:dyDescent="0.25">
      <c r="B13" s="50" t="s">
        <v>68</v>
      </c>
      <c r="C13" s="50" t="s">
        <v>17</v>
      </c>
      <c r="D13" s="478" t="s">
        <v>69</v>
      </c>
      <c r="E13" s="478"/>
      <c r="F13" s="478"/>
      <c r="G13" s="478"/>
      <c r="H13" s="478"/>
      <c r="I13" s="51" t="s">
        <v>20</v>
      </c>
      <c r="J13" s="479" t="s">
        <v>70</v>
      </c>
      <c r="K13" s="479"/>
      <c r="L13" s="479"/>
      <c r="M13" s="479"/>
      <c r="N13" s="53"/>
      <c r="P13" s="18" t="e">
        <f ca="1">IF(U13=$P9,$AF$2,"")</f>
        <v>#NAME?</v>
      </c>
      <c r="Q13" s="45" t="s">
        <v>71</v>
      </c>
      <c r="R13" s="42">
        <v>3000</v>
      </c>
      <c r="S13" s="42">
        <v>1500</v>
      </c>
      <c r="T13" s="42">
        <f>IF(Q13="","",(INT((R13/($R3:R3+$R6)))*INT(((S13-$U6)/($S3+$S6)))))</f>
        <v>182</v>
      </c>
      <c r="U13" s="46" t="e">
        <f ca="1">IF(OR(T13=0,T13=""),"",CALCULPOIDS(R13,S13,T3,V3)/T13)</f>
        <v>#NAME?</v>
      </c>
      <c r="V13" s="47">
        <f>IF(Q13="","",(($R13:R13*$S13)-(R3*S3*$T13))/($R13*$S13))</f>
        <v>0.19111111111111112</v>
      </c>
      <c r="W13" s="42" t="e">
        <f ca="1">CALCUL_FORMATIDEAL(R13,0,R3,R6)</f>
        <v>#NAME?</v>
      </c>
      <c r="X13" s="42" t="e">
        <f ca="1">CALCUL_FORMATIDEAL(S13,U6,S3,S6)</f>
        <v>#NAME?</v>
      </c>
      <c r="Y13" s="42" t="e">
        <f ca="1">CALCULPOIDS(W13,X13,T3,V3)</f>
        <v>#NAME?</v>
      </c>
      <c r="Z13" s="43" t="e">
        <f ca="1">CALCULPOIDS(R13,S13,T3,V3)</f>
        <v>#NAME?</v>
      </c>
      <c r="AB13" s="54" t="s">
        <v>72</v>
      </c>
      <c r="AC13">
        <v>40</v>
      </c>
      <c r="AD13">
        <v>15</v>
      </c>
      <c r="AE13">
        <v>0</v>
      </c>
      <c r="AF13" s="55">
        <f>(AC13*AD13*VLOOKUP(AB13,DensiteMatiere,2,0)/1000)-IF(AE13&gt;0,((AC13-2*AE13)*(AD13-2*AE13)*VLOOKUP(AB13,DensiteMatiere,2,0)/1000),0)</f>
        <v>1.68</v>
      </c>
      <c r="AG13"/>
      <c r="AH13"/>
      <c r="AJ13" s="41"/>
      <c r="AK13" s="41"/>
      <c r="AL13" s="41" t="s">
        <v>73</v>
      </c>
      <c r="AM13" s="41"/>
      <c r="AN13" s="41"/>
      <c r="AO13" s="41"/>
      <c r="AP13" s="41" t="s">
        <v>74</v>
      </c>
      <c r="AQ13" s="41"/>
      <c r="AR13" s="41"/>
      <c r="AS13" s="41"/>
    </row>
    <row r="14" spans="1:45" ht="19.899999999999999" customHeight="1" x14ac:dyDescent="0.25">
      <c r="B14" s="24"/>
      <c r="C14" s="56"/>
      <c r="D14" s="481" t="str">
        <f t="shared" ref="D14:D20" si="5">IF(B14&lt;&gt;"",VLOOKUP(B14,PrixComposant,2,0),"")</f>
        <v/>
      </c>
      <c r="E14" s="481"/>
      <c r="F14" s="481"/>
      <c r="G14" s="481"/>
      <c r="H14" s="481"/>
      <c r="I14" s="27" t="str">
        <f t="shared" ref="I14:I20" si="6">IF(OR(C14="",C14=0),"",C14*D14)</f>
        <v/>
      </c>
      <c r="J14" s="467"/>
      <c r="K14" s="467"/>
      <c r="L14" s="467"/>
      <c r="M14" s="467"/>
      <c r="N14" s="467"/>
      <c r="P14" s="18" t="e">
        <f ca="1">IF(U14=$P9,$AF$2,"")</f>
        <v>#NAME?</v>
      </c>
      <c r="Q14" s="45" t="s">
        <v>71</v>
      </c>
      <c r="R14" s="42">
        <v>1500</v>
      </c>
      <c r="S14" s="42">
        <v>3000</v>
      </c>
      <c r="T14" s="42">
        <f>IF(Q14="","",(INT((R14/($R3+$R6)))*INT(((S14-$U6)/($S3+$S6)))))</f>
        <v>189</v>
      </c>
      <c r="U14" s="46" t="e">
        <f ca="1">IF(OR(T14=0,T14=""),"",CALCULPOIDS(R14,S14,T3,V3)/T14)</f>
        <v>#NAME?</v>
      </c>
      <c r="V14" s="47">
        <f>IF(Q14="","",(($R14*$S14)-(R3*S3*$T14))/($R14*$S14))</f>
        <v>0.16</v>
      </c>
      <c r="W14" s="42" t="e">
        <f ca="1">CALCUL_FORMATIDEAL(R14,0,R3,R6)</f>
        <v>#NAME?</v>
      </c>
      <c r="X14" s="42" t="e">
        <f ca="1">CALCUL_FORMATIDEAL(S14,U6,S3,S6)</f>
        <v>#NAME?</v>
      </c>
      <c r="Y14" s="42" t="e">
        <f ca="1">CALCULPOIDS(W14,X14,T3,V3)</f>
        <v>#NAME?</v>
      </c>
      <c r="Z14" s="43" t="e">
        <f ca="1">CALCULPOIDS(R14,S14,T3,V3)</f>
        <v>#NAME?</v>
      </c>
      <c r="AB14" s="381" t="s">
        <v>75</v>
      </c>
      <c r="AC14" s="381"/>
      <c r="AD14" s="381"/>
      <c r="AE14" s="381"/>
      <c r="AF14" s="381"/>
      <c r="AG14"/>
      <c r="AH14"/>
      <c r="AL14" s="41" t="s">
        <v>76</v>
      </c>
      <c r="AP14" s="1" t="s">
        <v>77</v>
      </c>
    </row>
    <row r="15" spans="1:45" ht="19.899999999999999" customHeight="1" x14ac:dyDescent="0.25">
      <c r="B15" s="24"/>
      <c r="C15" s="56"/>
      <c r="D15" s="481" t="str">
        <f t="shared" si="5"/>
        <v/>
      </c>
      <c r="E15" s="481"/>
      <c r="F15" s="481"/>
      <c r="G15" s="481"/>
      <c r="H15" s="481"/>
      <c r="I15" s="27" t="str">
        <f t="shared" si="6"/>
        <v/>
      </c>
      <c r="J15" s="467"/>
      <c r="K15" s="467"/>
      <c r="L15" s="467"/>
      <c r="M15" s="467"/>
      <c r="N15" s="467"/>
      <c r="P15" s="18"/>
      <c r="Q15" s="477"/>
      <c r="R15" s="477"/>
      <c r="S15" s="477"/>
      <c r="T15" s="477" t="str">
        <f>IF(Q15="","",(INT((R15/($R4:R4+$R7:R7)))*INT(((S15-$U7:U7)/($S4:S4+$S7:S7)))))</f>
        <v/>
      </c>
      <c r="U15" s="477" t="str">
        <f>IF(OR(T15=0,T15=""),"",CALCULPOIDS(R15,S15,$T$3,V8)/T15)</f>
        <v/>
      </c>
      <c r="V15" s="47"/>
      <c r="W15" s="42"/>
      <c r="X15" s="42"/>
      <c r="Y15" s="42"/>
      <c r="Z15" s="43"/>
      <c r="AB15"/>
      <c r="AC15" t="s">
        <v>78</v>
      </c>
      <c r="AD15"/>
      <c r="AE15" t="s">
        <v>64</v>
      </c>
      <c r="AF15"/>
      <c r="AG15"/>
      <c r="AH15"/>
      <c r="AL15" s="41" t="s">
        <v>79</v>
      </c>
      <c r="AP15" s="1" t="s">
        <v>80</v>
      </c>
    </row>
    <row r="16" spans="1:45" ht="19.899999999999999" customHeight="1" x14ac:dyDescent="0.25">
      <c r="B16" s="24"/>
      <c r="C16" s="56"/>
      <c r="D16" s="481" t="str">
        <f t="shared" si="5"/>
        <v/>
      </c>
      <c r="E16" s="481"/>
      <c r="F16" s="481"/>
      <c r="G16" s="481"/>
      <c r="H16" s="481"/>
      <c r="I16" s="27" t="str">
        <f t="shared" si="6"/>
        <v/>
      </c>
      <c r="J16" s="467"/>
      <c r="K16" s="467"/>
      <c r="L16" s="467"/>
      <c r="M16" s="467"/>
      <c r="N16" s="467"/>
      <c r="P16" s="18" t="e">
        <f ca="1">IF(U16=$P9,$AF$2,"")</f>
        <v>#NAME?</v>
      </c>
      <c r="Q16" s="45" t="s">
        <v>71</v>
      </c>
      <c r="R16" s="42">
        <v>2500</v>
      </c>
      <c r="S16" s="42">
        <v>1250</v>
      </c>
      <c r="T16" s="42">
        <f>IF(Q16="","",(INT((R16/($R3+$R6)))*INT(((S16-$U6)/($S3+$S6)))))</f>
        <v>121</v>
      </c>
      <c r="U16" s="46" t="e">
        <f ca="1">IF(OR(T16=0,T16=""),"",CALCULPOIDS(R16,S16,T3,V3)/T16)</f>
        <v>#NAME?</v>
      </c>
      <c r="V16" s="47">
        <f>IF(Q16="","",(($R16*$S16)-(R3*S3*$T16))/($R16*$S16))</f>
        <v>0.22559999999999999</v>
      </c>
      <c r="W16" s="42" t="e">
        <f ca="1">CALCUL_FORMATIDEAL(R16,0,R3,R6)</f>
        <v>#NAME?</v>
      </c>
      <c r="X16" s="42" t="e">
        <f ca="1">CALCUL_FORMATIDEAL(S16,U6,S3,S6)</f>
        <v>#NAME?</v>
      </c>
      <c r="Y16" s="42" t="e">
        <f ca="1">CALCULPOIDS(W16,X16,T3,V3)</f>
        <v>#NAME?</v>
      </c>
      <c r="Z16" s="43" t="e">
        <f ca="1">CALCULPOIDS(R16,S16,T3,V3)</f>
        <v>#NAME?</v>
      </c>
      <c r="AB16" s="54" t="s">
        <v>72</v>
      </c>
      <c r="AC16">
        <v>500</v>
      </c>
      <c r="AD16"/>
      <c r="AE16">
        <v>0</v>
      </c>
      <c r="AF16" s="55">
        <f>((PI()*POWER((AC16/2),2)*VLOOKUP(AB16,DensiteMatiere,2,0)/1000)-IF(AE16&gt;0,(PI()*POWER(((AC16-2*AE16)/2),2)*VLOOKUP(AB16,DensiteMatiere,2,0)/1000),0))*1.04</f>
        <v>571.76986295334234</v>
      </c>
      <c r="AG16"/>
      <c r="AH16"/>
      <c r="AL16" s="41" t="s">
        <v>81</v>
      </c>
    </row>
    <row r="17" spans="1:38" ht="19.899999999999999" customHeight="1" x14ac:dyDescent="0.25">
      <c r="B17" s="24"/>
      <c r="C17" s="56"/>
      <c r="D17" s="481" t="str">
        <f t="shared" si="5"/>
        <v/>
      </c>
      <c r="E17" s="481"/>
      <c r="F17" s="481"/>
      <c r="G17" s="481"/>
      <c r="H17" s="481"/>
      <c r="I17" s="27" t="str">
        <f t="shared" si="6"/>
        <v/>
      </c>
      <c r="J17" s="467"/>
      <c r="K17" s="467"/>
      <c r="L17" s="467"/>
      <c r="M17" s="467"/>
      <c r="N17" s="467"/>
      <c r="P17" s="18" t="e">
        <f ca="1">IF(U17=$P9,$AF$2,"")</f>
        <v>#NAME?</v>
      </c>
      <c r="Q17" s="45" t="s">
        <v>71</v>
      </c>
      <c r="R17" s="42">
        <v>1250</v>
      </c>
      <c r="S17" s="42">
        <v>2500</v>
      </c>
      <c r="T17" s="42">
        <f>IF(Q17="","",(INT((R17/($R3+$R6)))*INT(((S17-$U6)/($S3+$S6)))))</f>
        <v>110</v>
      </c>
      <c r="U17" s="46" t="e">
        <f ca="1">IF(OR(T17=0,T17=""),"",CALCULPOIDS(R17,S17,T3,V3)/T17)</f>
        <v>#NAME?</v>
      </c>
      <c r="V17" s="47">
        <f>IF(Q17="","",(($R17*$S17)-(R3*S3*$T17))/($R17*$S17))</f>
        <v>0.29599999999999999</v>
      </c>
      <c r="W17" s="42" t="e">
        <f ca="1">CALCUL_FORMATIDEAL(R17,0,R3,R6)</f>
        <v>#NAME?</v>
      </c>
      <c r="X17" s="42" t="e">
        <f ca="1">CALCUL_FORMATIDEAL(S17,U6,S3,S6)</f>
        <v>#NAME?</v>
      </c>
      <c r="Y17" s="42" t="e">
        <f ca="1">CALCULPOIDS(W17,X17,T3,V3)</f>
        <v>#NAME?</v>
      </c>
      <c r="Z17" s="43" t="e">
        <f ca="1">CALCULPOIDS(R17,S17,T3,V3)</f>
        <v>#NAME?</v>
      </c>
      <c r="AL17" s="41" t="s">
        <v>82</v>
      </c>
    </row>
    <row r="18" spans="1:38" ht="19.899999999999999" customHeight="1" x14ac:dyDescent="0.25">
      <c r="B18" s="24"/>
      <c r="C18" s="56"/>
      <c r="D18" s="481" t="str">
        <f t="shared" si="5"/>
        <v/>
      </c>
      <c r="E18" s="481"/>
      <c r="F18" s="481"/>
      <c r="G18" s="481"/>
      <c r="H18" s="481"/>
      <c r="I18" s="27" t="str">
        <f t="shared" si="6"/>
        <v/>
      </c>
      <c r="J18" s="467"/>
      <c r="K18" s="467"/>
      <c r="L18" s="467"/>
      <c r="M18" s="467"/>
      <c r="N18" s="467"/>
      <c r="P18" s="18"/>
      <c r="Q18" s="477"/>
      <c r="R18" s="477"/>
      <c r="S18" s="477"/>
      <c r="T18" s="477" t="str">
        <f>IF(UPPER(Q18)="X",(INT((R18/($R$8+$R$11)))*INT(((S18-$U$11)/($S$8+$S$11)))),"")</f>
        <v/>
      </c>
      <c r="U18" s="477" t="str">
        <f>IF(OR(T18=0,T18=""),"",CALCULPOIDS(R18,S18,$T$3,V9)/T18)</f>
        <v/>
      </c>
      <c r="V18" s="47"/>
      <c r="W18" s="42"/>
      <c r="X18" s="42"/>
      <c r="Y18" s="42"/>
      <c r="Z18" s="43"/>
    </row>
    <row r="19" spans="1:38" ht="19.899999999999999" customHeight="1" x14ac:dyDescent="0.25">
      <c r="B19" s="24"/>
      <c r="C19" s="56"/>
      <c r="D19" s="481" t="str">
        <f t="shared" si="5"/>
        <v/>
      </c>
      <c r="E19" s="481"/>
      <c r="F19" s="481"/>
      <c r="G19" s="481"/>
      <c r="H19" s="481"/>
      <c r="I19" s="27" t="str">
        <f t="shared" si="6"/>
        <v/>
      </c>
      <c r="J19" s="467"/>
      <c r="K19" s="467"/>
      <c r="L19" s="467"/>
      <c r="M19" s="467"/>
      <c r="N19" s="467"/>
      <c r="P19" s="18" t="e">
        <f ca="1">IF(U19=$P9,$AF$2,"")</f>
        <v>#NAME?</v>
      </c>
      <c r="Q19" s="45" t="s">
        <v>71</v>
      </c>
      <c r="R19" s="42">
        <v>2000</v>
      </c>
      <c r="S19" s="42">
        <v>1000</v>
      </c>
      <c r="T19" s="42">
        <f>IF(Q19="","",(INT((R19/($R3+$R6)))*INT(((S19-$U6)/($S3+$S6)))))</f>
        <v>81</v>
      </c>
      <c r="U19" s="46" t="e">
        <f ca="1">IF(OR(T19=0,T19=""),"",CALCULPOIDS(R19,S19,T3,V3)/T19)</f>
        <v>#NAME?</v>
      </c>
      <c r="V19" s="47">
        <f>IF(Q19="","",(($R19*$S19)-(R3*S3*$T19))/($R19*$S19))</f>
        <v>0.19</v>
      </c>
      <c r="W19" s="42" t="e">
        <f ca="1">CALCUL_FORMATIDEAL(R19,0,R3,R6)</f>
        <v>#NAME?</v>
      </c>
      <c r="X19" s="42" t="e">
        <f ca="1">CALCUL_FORMATIDEAL(S19,U6,S3,S6)</f>
        <v>#NAME?</v>
      </c>
      <c r="Y19" s="42" t="e">
        <f ca="1">CALCULPOIDS(W19,X19,T3,V3)</f>
        <v>#NAME?</v>
      </c>
      <c r="Z19" s="43" t="e">
        <f ca="1">CALCULPOIDS(R19,S19,T3,V3)</f>
        <v>#NAME?</v>
      </c>
    </row>
    <row r="20" spans="1:38" ht="19.899999999999999" customHeight="1" x14ac:dyDescent="0.25">
      <c r="B20" s="24"/>
      <c r="C20" s="56">
        <v>1</v>
      </c>
      <c r="D20" s="481" t="str">
        <f t="shared" si="5"/>
        <v/>
      </c>
      <c r="E20" s="481"/>
      <c r="F20" s="481"/>
      <c r="G20" s="481"/>
      <c r="H20" s="481"/>
      <c r="I20" s="57" t="e">
        <f t="shared" si="6"/>
        <v>#VALUE!</v>
      </c>
      <c r="J20" s="467"/>
      <c r="K20" s="467"/>
      <c r="L20" s="467"/>
      <c r="M20" s="467"/>
      <c r="N20" s="467"/>
      <c r="P20" s="18" t="e">
        <f ca="1">IF(U20=$P9,$AF$2,"")</f>
        <v>#NAME?</v>
      </c>
      <c r="Q20" s="45" t="s">
        <v>71</v>
      </c>
      <c r="R20" s="42">
        <v>1000</v>
      </c>
      <c r="S20" s="42">
        <v>2000</v>
      </c>
      <c r="T20" s="42">
        <f>IF(Q20="","",(INT((R20/($R3+$R6)))*INT(((S20-$U6)/($S3+$S6)))))</f>
        <v>72</v>
      </c>
      <c r="U20" s="46" t="e">
        <f ca="1">IF(OR(T20=0,T20=""),"",CALCULPOIDS(R20,S20,T3,V3)/T20)</f>
        <v>#NAME?</v>
      </c>
      <c r="V20" s="47">
        <f>IF(Q20="","",(($R20*$S20)-(R3*S3*$T20))/($R20*$S20))</f>
        <v>0.28000000000000003</v>
      </c>
      <c r="W20" s="42" t="e">
        <f ca="1">CALCUL_FORMATIDEAL(R20,0,R3,R6)</f>
        <v>#NAME?</v>
      </c>
      <c r="X20" s="42" t="e">
        <f ca="1">CALCUL_FORMATIDEAL(S20,U6,S3,S6)</f>
        <v>#NAME?</v>
      </c>
      <c r="Y20" s="42" t="e">
        <f ca="1">CALCULPOIDS(W20,X20,T3,V3)</f>
        <v>#NAME?</v>
      </c>
      <c r="Z20" s="43" t="e">
        <f ca="1">CALCULPOIDS(R20,S20,T3,V3)</f>
        <v>#NAME?</v>
      </c>
    </row>
    <row r="21" spans="1:38" ht="16.5" x14ac:dyDescent="0.25">
      <c r="B21" s="485" t="s">
        <v>83</v>
      </c>
      <c r="C21" s="485"/>
      <c r="D21" s="485"/>
      <c r="E21" s="485"/>
      <c r="F21" s="485"/>
      <c r="G21" s="485"/>
      <c r="H21" s="485"/>
      <c r="I21" s="58" t="e">
        <f>SUM(I14:I20)</f>
        <v>#VALUE!</v>
      </c>
      <c r="J21" s="486"/>
      <c r="K21" s="486"/>
      <c r="L21" s="486"/>
      <c r="M21" s="486"/>
      <c r="N21" s="486"/>
      <c r="P21" s="18"/>
      <c r="Q21" s="477"/>
      <c r="R21" s="477"/>
      <c r="S21" s="477"/>
      <c r="T21" s="477" t="str">
        <f>IF(UPPER(Q21)="X",(INT((R21/($R$8+$R$11)))*INT(((S21-$U$11)/($S$8+$S$11)))),"")</f>
        <v/>
      </c>
      <c r="U21" s="477" t="str">
        <f>IF(OR(T21=0,T21=""),"",CALCULPOIDS(R21,S21,$T$3,V12)/T21)</f>
        <v/>
      </c>
      <c r="V21" s="47"/>
      <c r="W21" s="42"/>
      <c r="X21" s="42"/>
      <c r="Y21" s="42"/>
      <c r="Z21" s="43"/>
    </row>
    <row r="22" spans="1:38" ht="38.1" customHeight="1" x14ac:dyDescent="0.35">
      <c r="A22" s="482" t="s">
        <v>84</v>
      </c>
      <c r="B22" s="482"/>
      <c r="C22" s="482"/>
      <c r="D22" s="482"/>
      <c r="E22" s="482"/>
      <c r="F22" s="482"/>
      <c r="G22" s="482"/>
      <c r="H22" s="59">
        <f>1+L22</f>
        <v>1.25</v>
      </c>
      <c r="I22" s="60" t="e">
        <f>SUM(I21,I12)*H22</f>
        <v>#VALUE!</v>
      </c>
      <c r="J22" s="61" t="e">
        <f>IF(I12=0,"PAS DE MATIERE","")</f>
        <v>#VALUE!</v>
      </c>
      <c r="K22" s="62"/>
      <c r="L22" s="483">
        <v>0.25</v>
      </c>
      <c r="M22" s="483"/>
      <c r="N22" s="63"/>
      <c r="P22" s="18" t="e">
        <f ca="1">IF(U22=$P9,$AF$2,"")</f>
        <v>#NAME?</v>
      </c>
      <c r="Q22" s="45" t="s">
        <v>71</v>
      </c>
      <c r="R22" s="24">
        <v>500</v>
      </c>
      <c r="S22" s="24">
        <v>200</v>
      </c>
      <c r="T22" s="42">
        <f>IF(Q22="","",(INT((R22/($R3+$R6)))*INT(((S22-$U6)/($S3+$S6)))))</f>
        <v>2</v>
      </c>
      <c r="U22" s="46" t="e">
        <f ca="1">IF(OR(T22=0,T22=""),"",CALCULPOIDS(R22,S22,T3,V3)/T22)</f>
        <v>#NAME?</v>
      </c>
      <c r="V22" s="47">
        <f>IF(Q22="","",(($R22*$S22)-(R3*S3*$T22))/($R22*$S22))</f>
        <v>0.6</v>
      </c>
      <c r="W22" s="42" t="e">
        <f ca="1">CALCUL_FORMATIDEAL(R22,0,R3,R6)</f>
        <v>#NAME?</v>
      </c>
      <c r="X22" s="42" t="e">
        <f ca="1">CALCUL_FORMATIDEAL(S22,0,S3,S6)</f>
        <v>#NAME?</v>
      </c>
      <c r="Y22" s="42" t="e">
        <f ca="1">CALCULPOIDS(W22,X22,T3,V3)</f>
        <v>#NAME?</v>
      </c>
      <c r="Z22" s="43" t="e">
        <f ca="1">CALCULPOIDS(R22,S22,T3,V3)</f>
        <v>#NAME?</v>
      </c>
    </row>
    <row r="23" spans="1:38" ht="36" x14ac:dyDescent="0.25">
      <c r="A23" s="64" t="s">
        <v>85</v>
      </c>
      <c r="B23" s="52" t="s">
        <v>86</v>
      </c>
      <c r="C23" s="52" t="s">
        <v>87</v>
      </c>
      <c r="D23" s="65" t="s">
        <v>88</v>
      </c>
      <c r="E23" s="66" t="s">
        <v>89</v>
      </c>
      <c r="F23" s="66" t="s">
        <v>90</v>
      </c>
      <c r="G23" s="66" t="s">
        <v>91</v>
      </c>
      <c r="H23" s="66" t="s">
        <v>92</v>
      </c>
      <c r="I23" s="66" t="s">
        <v>93</v>
      </c>
      <c r="J23" s="65" t="s">
        <v>94</v>
      </c>
      <c r="K23" s="66" t="s">
        <v>95</v>
      </c>
      <c r="L23" s="66" t="s">
        <v>96</v>
      </c>
      <c r="M23" s="65" t="s">
        <v>97</v>
      </c>
      <c r="N23" s="65" t="s">
        <v>98</v>
      </c>
      <c r="P23" s="18" t="e">
        <f ca="1">IF(U23=$P9,$AF$2,"")</f>
        <v>#NAME?</v>
      </c>
      <c r="Q23" s="45" t="s">
        <v>71</v>
      </c>
      <c r="R23" s="67">
        <f>S22</f>
        <v>200</v>
      </c>
      <c r="S23" s="67">
        <f>R22</f>
        <v>500</v>
      </c>
      <c r="T23" s="42">
        <f>IF(Q23="","",(INT((R23/($R3+$R6)))*INT(((S23-$U6)/($S3+$S6)))))</f>
        <v>0</v>
      </c>
      <c r="U23" s="46" t="str">
        <f>IF(OR(T23=0,T23=""),"",CALCULPOIDS(R23,S23,T3,V3)/T23)</f>
        <v/>
      </c>
      <c r="V23" s="47">
        <f>IF(Q23="","",(($R23*$S23)-(R3*S3*$T23))/($R23*$S23))</f>
        <v>1</v>
      </c>
      <c r="W23" s="42" t="e">
        <f ca="1">CALCUL_FORMATIDEAL(R23,U6,R3,R6)</f>
        <v>#NAME?</v>
      </c>
      <c r="X23" s="42" t="e">
        <f ca="1">CALCUL_FORMATIDEAL(S23,0,S3,S6)</f>
        <v>#NAME?</v>
      </c>
      <c r="Y23" s="42" t="e">
        <f ca="1">CALCULPOIDS(W23,X23,T3,V3)</f>
        <v>#NAME?</v>
      </c>
      <c r="Z23" s="43" t="e">
        <f ca="1">CALCULPOIDS(R23,S23,T3,V3)</f>
        <v>#NAME?</v>
      </c>
    </row>
    <row r="24" spans="1:38" ht="19.899999999999999" customHeight="1" x14ac:dyDescent="0.25">
      <c r="B24" s="24"/>
      <c r="C24" s="68" t="str">
        <f t="shared" ref="C24:C44" si="7">IF(B24="","",VLOOKUP(B24,ListeOperation,5,FALSE))</f>
        <v/>
      </c>
      <c r="D24" s="69" t="str">
        <f t="shared" ref="D24:D44" si="8">IF(B24&lt;&gt;"",1,"")</f>
        <v/>
      </c>
      <c r="E24" s="25" t="str">
        <f t="shared" ref="E24:E44" si="9">IF(OR(B24="",LEFT(B24,1)="_"),"", VLOOKUP(B24,ListeOperation,2,FALSE))</f>
        <v/>
      </c>
      <c r="F24" s="69" t="str">
        <f t="shared" ref="F24:F44" si="10">IF(OR(B24="",LEFT(B24,1)="_"),"",VLOOKUP(B24,ListeOperation,4,FALSE))</f>
        <v/>
      </c>
      <c r="G24" s="28" t="str">
        <f t="shared" ref="G24:G44" si="11">IF(B24="","",IF(LEFT(B24,1)="_",VLOOKUP(B24,ListeOperation,2,0),IF(F24="",0,PRODUCT(F24,E24))))</f>
        <v/>
      </c>
      <c r="H24" s="70" t="str">
        <f t="shared" ref="H24:H44" si="12">IF(OR(B24="",LEFT(B24,1)="_"),"",VLOOKUP(B24,ListeOperation,3,FALSE))</f>
        <v/>
      </c>
      <c r="I24" s="71" t="str">
        <f t="shared" ref="I24:I44" si="13">IF(B24="","",VLOOKUP(B24,ListeOperation,7,FALSE))</f>
        <v/>
      </c>
      <c r="J24" s="72" t="str">
        <f t="shared" ref="J24:J44" si="14">IF(OR(B24="",LEFT(B24,1)="_"),"",PRODUCT(D24,I24))</f>
        <v/>
      </c>
      <c r="K24" s="73" t="str">
        <f t="shared" ref="K24:K44" si="15">IF(OR(D24="",D24=0,B24=""),"",IF(LEFT(B24,1)="_",VLOOKUP(B24,ListeOperation,3,0)*D24,PRODUCT(I24,H24,D24)))</f>
        <v/>
      </c>
      <c r="L24" s="74" t="e">
        <f t="shared" ref="L24:L44" si="16">IF(I24*D24=0,"",60/M24)</f>
        <v>#VALUE!</v>
      </c>
      <c r="M24" s="75" t="e">
        <f t="shared" ref="M24:M44" si="17">IF(J24="","",J24*60)/IF(UPPER(LEFT(B24,3))="PEI",120,1)</f>
        <v>#VALUE!</v>
      </c>
      <c r="N24" s="76"/>
      <c r="O24" s="6">
        <f>IF(ISERROR(SEARCH("laser",B24)),0,1)+IF(ISERROR(SEARCH("t500",B24)),0,1)</f>
        <v>0</v>
      </c>
      <c r="P24" s="5"/>
      <c r="Q24" s="19"/>
      <c r="R24" s="19"/>
      <c r="S24" s="19"/>
      <c r="T24" s="77" t="str">
        <f>IF(UPPER(T28)="OXYGENE","O2","NA")</f>
        <v>O2</v>
      </c>
      <c r="U24" s="77" t="str">
        <f>CONCATENATE(LOWER(U25),"-",T29,"-",U3,"-",T27,"-",T24)</f>
        <v>bystronic3015-0-acier-1-O2</v>
      </c>
      <c r="V24" s="77"/>
      <c r="W24" s="77" t="str">
        <f>CONCATENATE(LOWER(W25),"-",T29,"-",U3,"-",T27,"-",T24)</f>
        <v>bystronic4000-0-acier-1-O2</v>
      </c>
      <c r="X24" s="77"/>
      <c r="Y24" s="77" t="str">
        <f>CONCATENATE(LOWER(Y25),"-",T29,"-",U3,"-",T27,"-",T24)</f>
        <v>amada-0-acier-1-O2</v>
      </c>
      <c r="Z24" s="77" t="str">
        <f>IF(UPPER(T28)="OXYGENE","O2","NA")</f>
        <v>O2</v>
      </c>
    </row>
    <row r="25" spans="1:38" ht="19.899999999999999" customHeight="1" x14ac:dyDescent="0.25">
      <c r="B25" s="24"/>
      <c r="C25" s="68" t="str">
        <f t="shared" si="7"/>
        <v/>
      </c>
      <c r="D25" s="69" t="str">
        <f t="shared" si="8"/>
        <v/>
      </c>
      <c r="E25" s="25" t="str">
        <f t="shared" si="9"/>
        <v/>
      </c>
      <c r="F25" s="69" t="str">
        <f t="shared" si="10"/>
        <v/>
      </c>
      <c r="G25" s="28" t="str">
        <f t="shared" si="11"/>
        <v/>
      </c>
      <c r="H25" s="70" t="str">
        <f t="shared" si="12"/>
        <v/>
      </c>
      <c r="I25" s="71" t="str">
        <f t="shared" si="13"/>
        <v/>
      </c>
      <c r="J25" s="72" t="str">
        <f t="shared" si="14"/>
        <v/>
      </c>
      <c r="K25" s="73" t="str">
        <f t="shared" si="15"/>
        <v/>
      </c>
      <c r="L25" s="74" t="e">
        <f t="shared" si="16"/>
        <v>#VALUE!</v>
      </c>
      <c r="M25" s="75" t="e">
        <f t="shared" si="17"/>
        <v>#VALUE!</v>
      </c>
      <c r="N25" s="78"/>
      <c r="O25" s="6">
        <f t="shared" ref="O25:O44" si="18">IF(ISERROR(SEARCH("laser",B25)),0,1)+IF(ISERROR(SEARCH("t500",B25)),0,1)+O24</f>
        <v>0</v>
      </c>
      <c r="P25" s="5"/>
      <c r="Q25" s="19"/>
      <c r="R25" s="19"/>
      <c r="S25" s="19"/>
      <c r="T25" s="19"/>
      <c r="U25" s="484" t="s">
        <v>99</v>
      </c>
      <c r="V25" s="484" t="e">
        <f>#N/A</f>
        <v>#N/A</v>
      </c>
      <c r="W25" s="432" t="s">
        <v>100</v>
      </c>
      <c r="X25" s="432">
        <v>0</v>
      </c>
      <c r="Y25" s="433" t="s">
        <v>101</v>
      </c>
      <c r="Z25" s="433">
        <v>0</v>
      </c>
    </row>
    <row r="26" spans="1:38" ht="19.899999999999999" customHeight="1" x14ac:dyDescent="0.25">
      <c r="B26" s="24"/>
      <c r="C26" s="68" t="str">
        <f t="shared" si="7"/>
        <v/>
      </c>
      <c r="D26" s="69" t="str">
        <f t="shared" si="8"/>
        <v/>
      </c>
      <c r="E26" s="25" t="str">
        <f t="shared" si="9"/>
        <v/>
      </c>
      <c r="F26" s="69" t="str">
        <f t="shared" si="10"/>
        <v/>
      </c>
      <c r="G26" s="28" t="str">
        <f t="shared" si="11"/>
        <v/>
      </c>
      <c r="H26" s="70" t="str">
        <f t="shared" si="12"/>
        <v/>
      </c>
      <c r="I26" s="71" t="str">
        <f t="shared" si="13"/>
        <v/>
      </c>
      <c r="J26" s="72" t="str">
        <f t="shared" si="14"/>
        <v/>
      </c>
      <c r="K26" s="73" t="str">
        <f t="shared" si="15"/>
        <v/>
      </c>
      <c r="L26" s="74" t="e">
        <f t="shared" si="16"/>
        <v>#VALUE!</v>
      </c>
      <c r="M26" s="75" t="e">
        <f t="shared" si="17"/>
        <v>#VALUE!</v>
      </c>
      <c r="N26" s="78"/>
      <c r="O26" s="6">
        <f t="shared" si="18"/>
        <v>0</v>
      </c>
      <c r="P26" s="5"/>
      <c r="Q26" s="428" t="s">
        <v>103</v>
      </c>
      <c r="R26" s="428"/>
      <c r="S26" s="428"/>
      <c r="T26" s="428"/>
      <c r="U26" s="79">
        <f>IF(ISERROR(VLOOKUP(U24,TempsLaser,2,0)),"ERREUR",VLOOKUP(U24,TempsLaser,2,0))</f>
        <v>8649.9999999999982</v>
      </c>
      <c r="V26" s="80" t="s">
        <v>104</v>
      </c>
      <c r="W26" s="81" t="str">
        <f>IF(ISERROR(VLOOKUP(W24,TempsLaser,2,0)),"ERREUR",VLOOKUP(W24,TempsLaser,2,0))</f>
        <v>ERREUR</v>
      </c>
      <c r="X26" s="82"/>
      <c r="Y26" s="81">
        <f>IF(ISERROR(VLOOKUP(Y24,TempsLaser,2,0)),"ERREUR",VLOOKUP(Y24,TempsLaser,2,0))</f>
        <v>3800</v>
      </c>
      <c r="Z26" s="82" t="s">
        <v>104</v>
      </c>
    </row>
    <row r="27" spans="1:38" ht="19.899999999999999" customHeight="1" x14ac:dyDescent="0.25">
      <c r="B27" s="24"/>
      <c r="C27" s="68" t="str">
        <f t="shared" si="7"/>
        <v/>
      </c>
      <c r="D27" s="69" t="str">
        <f t="shared" si="8"/>
        <v/>
      </c>
      <c r="E27" s="25" t="str">
        <f t="shared" si="9"/>
        <v/>
      </c>
      <c r="F27" s="69" t="str">
        <f t="shared" si="10"/>
        <v/>
      </c>
      <c r="G27" s="28" t="str">
        <f t="shared" si="11"/>
        <v/>
      </c>
      <c r="H27" s="70" t="str">
        <f t="shared" si="12"/>
        <v/>
      </c>
      <c r="I27" s="71" t="str">
        <f t="shared" si="13"/>
        <v/>
      </c>
      <c r="J27" s="72" t="str">
        <f t="shared" si="14"/>
        <v/>
      </c>
      <c r="K27" s="73" t="str">
        <f t="shared" si="15"/>
        <v/>
      </c>
      <c r="L27" s="74" t="e">
        <f t="shared" si="16"/>
        <v>#VALUE!</v>
      </c>
      <c r="M27" s="75" t="e">
        <f t="shared" si="17"/>
        <v>#VALUE!</v>
      </c>
      <c r="N27" s="78"/>
      <c r="O27" s="6">
        <f t="shared" si="18"/>
        <v>0</v>
      </c>
      <c r="P27" s="5"/>
      <c r="Q27" s="83"/>
      <c r="R27" s="426" t="s">
        <v>105</v>
      </c>
      <c r="S27" s="426"/>
      <c r="T27" s="84">
        <f>IF(T3&lt;1,1,IF(T3-INT(T3)=0,T3, IF(T3-INT(T3)&lt;=0.5,0.5+INT(T3),1+INT(T3))))</f>
        <v>1</v>
      </c>
      <c r="U27" s="85">
        <f>IF(ISERROR(VLOOKUP(U24,TempsLaser,3,0)),"ERREUR",VLOOKUP(U24,TempsLaser,3,0))</f>
        <v>7100</v>
      </c>
      <c r="V27" s="86" t="s">
        <v>106</v>
      </c>
      <c r="W27" s="87" t="str">
        <f>IF(ISERROR(VLOOKUP(W24,TempsLaser,3,0)),"ERREUR",VLOOKUP(W24,TempsLaser,3,0))</f>
        <v>ERREUR</v>
      </c>
      <c r="X27" s="82"/>
      <c r="Y27" s="87">
        <f>IF(ISERROR(VLOOKUP(Y24,TempsLaser,3,0)),"ERREUR",VLOOKUP(Y24,TempsLaser,3,0))</f>
        <v>1101</v>
      </c>
      <c r="Z27" s="82" t="s">
        <v>106</v>
      </c>
    </row>
    <row r="28" spans="1:38" ht="19.899999999999999" customHeight="1" x14ac:dyDescent="0.25">
      <c r="B28" s="24"/>
      <c r="C28" s="68" t="str">
        <f t="shared" si="7"/>
        <v/>
      </c>
      <c r="D28" s="69" t="str">
        <f t="shared" si="8"/>
        <v/>
      </c>
      <c r="E28" s="25" t="str">
        <f t="shared" si="9"/>
        <v/>
      </c>
      <c r="F28" s="69" t="str">
        <f t="shared" si="10"/>
        <v/>
      </c>
      <c r="G28" s="28" t="str">
        <f t="shared" si="11"/>
        <v/>
      </c>
      <c r="H28" s="70" t="str">
        <f t="shared" si="12"/>
        <v/>
      </c>
      <c r="I28" s="71" t="str">
        <f t="shared" si="13"/>
        <v/>
      </c>
      <c r="J28" s="72" t="str">
        <f t="shared" si="14"/>
        <v/>
      </c>
      <c r="K28" s="73" t="str">
        <f t="shared" si="15"/>
        <v/>
      </c>
      <c r="L28" s="74" t="e">
        <f t="shared" si="16"/>
        <v>#VALUE!</v>
      </c>
      <c r="M28" s="75" t="e">
        <f t="shared" si="17"/>
        <v>#VALUE!</v>
      </c>
      <c r="N28" s="78"/>
      <c r="O28" s="6">
        <f t="shared" si="18"/>
        <v>0</v>
      </c>
      <c r="P28" s="5"/>
      <c r="Q28" s="83"/>
      <c r="R28" s="426" t="s">
        <v>108</v>
      </c>
      <c r="S28" s="426"/>
      <c r="T28" s="88" t="s">
        <v>109</v>
      </c>
      <c r="U28" s="85"/>
      <c r="V28" s="86"/>
      <c r="W28" s="87"/>
      <c r="X28" s="82"/>
      <c r="Y28" s="87"/>
      <c r="Z28" s="82"/>
    </row>
    <row r="29" spans="1:38" ht="19.899999999999999" customHeight="1" x14ac:dyDescent="0.25">
      <c r="B29" s="24"/>
      <c r="C29" s="68" t="str">
        <f t="shared" si="7"/>
        <v/>
      </c>
      <c r="D29" s="69" t="str">
        <f t="shared" si="8"/>
        <v/>
      </c>
      <c r="E29" s="25" t="str">
        <f t="shared" si="9"/>
        <v/>
      </c>
      <c r="F29" s="69" t="str">
        <f t="shared" si="10"/>
        <v/>
      </c>
      <c r="G29" s="28" t="str">
        <f t="shared" si="11"/>
        <v/>
      </c>
      <c r="H29" s="70" t="str">
        <f t="shared" si="12"/>
        <v/>
      </c>
      <c r="I29" s="71" t="str">
        <f t="shared" si="13"/>
        <v/>
      </c>
      <c r="J29" s="72" t="str">
        <f t="shared" si="14"/>
        <v/>
      </c>
      <c r="K29" s="73" t="str">
        <f t="shared" si="15"/>
        <v/>
      </c>
      <c r="L29" s="74" t="e">
        <f t="shared" si="16"/>
        <v>#VALUE!</v>
      </c>
      <c r="M29" s="75" t="e">
        <f t="shared" si="17"/>
        <v>#VALUE!</v>
      </c>
      <c r="N29" s="78"/>
      <c r="O29" s="6">
        <f t="shared" si="18"/>
        <v>0</v>
      </c>
      <c r="P29" s="5"/>
      <c r="Q29" s="83"/>
      <c r="R29" s="425" t="s">
        <v>110</v>
      </c>
      <c r="S29" s="425"/>
      <c r="T29" s="88">
        <v>0</v>
      </c>
      <c r="U29" s="85"/>
      <c r="V29" s="86"/>
      <c r="W29" s="87"/>
      <c r="X29" s="82"/>
      <c r="Y29" s="87"/>
      <c r="Z29" s="82"/>
      <c r="AB29"/>
    </row>
    <row r="30" spans="1:38" ht="19.899999999999999" customHeight="1" x14ac:dyDescent="0.25">
      <c r="B30" s="24"/>
      <c r="C30" s="68" t="str">
        <f t="shared" si="7"/>
        <v/>
      </c>
      <c r="D30" s="69" t="str">
        <f t="shared" si="8"/>
        <v/>
      </c>
      <c r="E30" s="25" t="str">
        <f t="shared" si="9"/>
        <v/>
      </c>
      <c r="F30" s="69" t="str">
        <f t="shared" si="10"/>
        <v/>
      </c>
      <c r="G30" s="28" t="str">
        <f t="shared" si="11"/>
        <v/>
      </c>
      <c r="H30" s="70" t="str">
        <f t="shared" si="12"/>
        <v/>
      </c>
      <c r="I30" s="71" t="str">
        <f t="shared" si="13"/>
        <v/>
      </c>
      <c r="J30" s="72" t="str">
        <f t="shared" si="14"/>
        <v/>
      </c>
      <c r="K30" s="73" t="str">
        <f t="shared" si="15"/>
        <v/>
      </c>
      <c r="L30" s="74" t="e">
        <f t="shared" si="16"/>
        <v>#VALUE!</v>
      </c>
      <c r="M30" s="75" t="e">
        <f t="shared" si="17"/>
        <v>#VALUE!</v>
      </c>
      <c r="N30" s="78"/>
      <c r="O30" s="6">
        <f t="shared" si="18"/>
        <v>0</v>
      </c>
      <c r="P30" s="5"/>
      <c r="Q30" s="83"/>
      <c r="R30" s="426" t="s">
        <v>111</v>
      </c>
      <c r="S30" s="426"/>
      <c r="T30" s="89">
        <f>(R3+S3)*2</f>
        <v>600</v>
      </c>
      <c r="U30" s="90">
        <f>(T30/U26)/60</f>
        <v>1.15606936416185E-3</v>
      </c>
      <c r="V30" s="91"/>
      <c r="W30" s="92" t="e">
        <f>(T30/W26)/60</f>
        <v>#VALUE!</v>
      </c>
      <c r="X30" s="93"/>
      <c r="Y30" s="92">
        <f>(T30/Y26)/60</f>
        <v>2.631578947368421E-3</v>
      </c>
      <c r="Z30" s="93"/>
    </row>
    <row r="31" spans="1:38" ht="19.899999999999999" customHeight="1" x14ac:dyDescent="0.25">
      <c r="B31" s="24"/>
      <c r="C31" s="68" t="str">
        <f t="shared" si="7"/>
        <v/>
      </c>
      <c r="D31" s="69" t="str">
        <f t="shared" si="8"/>
        <v/>
      </c>
      <c r="E31" s="25" t="str">
        <f t="shared" si="9"/>
        <v/>
      </c>
      <c r="F31" s="69" t="str">
        <f t="shared" si="10"/>
        <v/>
      </c>
      <c r="G31" s="28" t="str">
        <f t="shared" si="11"/>
        <v/>
      </c>
      <c r="H31" s="70" t="str">
        <f t="shared" si="12"/>
        <v/>
      </c>
      <c r="I31" s="71" t="str">
        <f t="shared" si="13"/>
        <v/>
      </c>
      <c r="J31" s="72" t="str">
        <f t="shared" si="14"/>
        <v/>
      </c>
      <c r="K31" s="73" t="str">
        <f t="shared" si="15"/>
        <v/>
      </c>
      <c r="L31" s="74" t="e">
        <f t="shared" si="16"/>
        <v>#VALUE!</v>
      </c>
      <c r="M31" s="75" t="e">
        <f t="shared" si="17"/>
        <v>#VALUE!</v>
      </c>
      <c r="N31" s="78"/>
      <c r="O31" s="6">
        <f t="shared" si="18"/>
        <v>0</v>
      </c>
      <c r="P31" s="5"/>
      <c r="Q31" s="83"/>
      <c r="R31" s="426" t="s">
        <v>112</v>
      </c>
      <c r="S31" s="426"/>
      <c r="T31" s="89">
        <v>0</v>
      </c>
      <c r="U31" s="90">
        <f>((T31*40)/U27)/60</f>
        <v>0</v>
      </c>
      <c r="V31" s="91"/>
      <c r="W31" s="92" t="e">
        <f>((T31*40)/W27)/60</f>
        <v>#VALUE!</v>
      </c>
      <c r="X31" s="93"/>
      <c r="Y31" s="92">
        <f>((T31*40)/Y27)/60</f>
        <v>0</v>
      </c>
      <c r="Z31" s="93"/>
    </row>
    <row r="32" spans="1:38" ht="19.899999999999999" customHeight="1" x14ac:dyDescent="0.25">
      <c r="B32" s="24"/>
      <c r="C32" s="68" t="str">
        <f t="shared" si="7"/>
        <v/>
      </c>
      <c r="D32" s="69" t="str">
        <f t="shared" si="8"/>
        <v/>
      </c>
      <c r="E32" s="25" t="str">
        <f t="shared" si="9"/>
        <v/>
      </c>
      <c r="F32" s="69" t="str">
        <f t="shared" si="10"/>
        <v/>
      </c>
      <c r="G32" s="28" t="str">
        <f t="shared" si="11"/>
        <v/>
      </c>
      <c r="H32" s="70" t="str">
        <f t="shared" si="12"/>
        <v/>
      </c>
      <c r="I32" s="71" t="str">
        <f t="shared" si="13"/>
        <v/>
      </c>
      <c r="J32" s="72" t="str">
        <f t="shared" si="14"/>
        <v/>
      </c>
      <c r="K32" s="73" t="str">
        <f t="shared" si="15"/>
        <v/>
      </c>
      <c r="L32" s="74" t="e">
        <f t="shared" si="16"/>
        <v>#VALUE!</v>
      </c>
      <c r="M32" s="75" t="e">
        <f t="shared" si="17"/>
        <v>#VALUE!</v>
      </c>
      <c r="N32" s="78"/>
      <c r="O32" s="6">
        <f t="shared" si="18"/>
        <v>0</v>
      </c>
      <c r="P32" s="5"/>
      <c r="Q32" s="83"/>
      <c r="R32" s="426" t="s">
        <v>113</v>
      </c>
      <c r="S32" s="426"/>
      <c r="T32" s="88">
        <f>T31+1</f>
        <v>1</v>
      </c>
      <c r="U32" s="90">
        <f>V32*T27*T32</f>
        <v>2.7E-4</v>
      </c>
      <c r="V32" s="91">
        <v>2.7E-4</v>
      </c>
      <c r="W32" s="92">
        <f>X32*T27*T32</f>
        <v>2.7E-4</v>
      </c>
      <c r="X32" s="93">
        <v>2.7E-4</v>
      </c>
      <c r="Y32" s="92">
        <f>Z32*T27*T32</f>
        <v>2.7E-4</v>
      </c>
      <c r="Z32" s="93">
        <v>2.7E-4</v>
      </c>
    </row>
    <row r="33" spans="1:27" ht="19.899999999999999" customHeight="1" x14ac:dyDescent="0.25">
      <c r="B33" s="24"/>
      <c r="C33" s="68" t="str">
        <f t="shared" si="7"/>
        <v/>
      </c>
      <c r="D33" s="69" t="str">
        <f t="shared" si="8"/>
        <v/>
      </c>
      <c r="E33" s="25" t="str">
        <f t="shared" si="9"/>
        <v/>
      </c>
      <c r="F33" s="69" t="str">
        <f t="shared" si="10"/>
        <v/>
      </c>
      <c r="G33" s="28" t="str">
        <f t="shared" si="11"/>
        <v/>
      </c>
      <c r="H33" s="70" t="str">
        <f t="shared" si="12"/>
        <v/>
      </c>
      <c r="I33" s="71" t="str">
        <f t="shared" si="13"/>
        <v/>
      </c>
      <c r="J33" s="72" t="str">
        <f t="shared" si="14"/>
        <v/>
      </c>
      <c r="K33" s="73" t="str">
        <f t="shared" si="15"/>
        <v/>
      </c>
      <c r="L33" s="74" t="e">
        <f t="shared" si="16"/>
        <v>#VALUE!</v>
      </c>
      <c r="M33" s="75" t="e">
        <f t="shared" si="17"/>
        <v>#VALUE!</v>
      </c>
      <c r="N33" s="78"/>
      <c r="O33" s="6">
        <f t="shared" si="18"/>
        <v>0</v>
      </c>
      <c r="P33" s="5"/>
      <c r="Q33" s="83"/>
      <c r="R33" s="426" t="s">
        <v>114</v>
      </c>
      <c r="S33" s="426"/>
      <c r="T33" s="88">
        <v>0</v>
      </c>
      <c r="U33" s="94">
        <v>0</v>
      </c>
      <c r="V33" s="95"/>
      <c r="W33" s="92">
        <f>X33*T33</f>
        <v>0</v>
      </c>
      <c r="X33" s="93">
        <v>2.8E-3</v>
      </c>
      <c r="Y33" s="92">
        <f>Z33*T33</f>
        <v>0</v>
      </c>
      <c r="Z33" s="93">
        <v>2.8E-3</v>
      </c>
    </row>
    <row r="34" spans="1:27" ht="19.899999999999999" customHeight="1" x14ac:dyDescent="0.25">
      <c r="B34" s="24"/>
      <c r="C34" s="68" t="str">
        <f t="shared" si="7"/>
        <v/>
      </c>
      <c r="D34" s="69" t="str">
        <f t="shared" si="8"/>
        <v/>
      </c>
      <c r="E34" s="25" t="str">
        <f t="shared" si="9"/>
        <v/>
      </c>
      <c r="F34" s="69" t="str">
        <f t="shared" si="10"/>
        <v/>
      </c>
      <c r="G34" s="28" t="str">
        <f t="shared" si="11"/>
        <v/>
      </c>
      <c r="H34" s="70" t="str">
        <f t="shared" si="12"/>
        <v/>
      </c>
      <c r="I34" s="71" t="str">
        <f t="shared" si="13"/>
        <v/>
      </c>
      <c r="J34" s="72" t="str">
        <f t="shared" si="14"/>
        <v/>
      </c>
      <c r="K34" s="73" t="str">
        <f t="shared" si="15"/>
        <v/>
      </c>
      <c r="L34" s="74" t="e">
        <f t="shared" si="16"/>
        <v>#VALUE!</v>
      </c>
      <c r="M34" s="75" t="e">
        <f t="shared" si="17"/>
        <v>#VALUE!</v>
      </c>
      <c r="N34" s="78"/>
      <c r="O34" s="6">
        <f t="shared" si="18"/>
        <v>0</v>
      </c>
      <c r="P34" s="96"/>
      <c r="Q34" s="83"/>
      <c r="R34" s="426" t="s">
        <v>115</v>
      </c>
      <c r="S34" s="426"/>
      <c r="T34" s="88">
        <v>0</v>
      </c>
      <c r="U34" s="90">
        <f>V34*T34</f>
        <v>0</v>
      </c>
      <c r="V34" s="91">
        <f>Z34</f>
        <v>4.1000000000000003E-3</v>
      </c>
      <c r="W34" s="92">
        <f>X34*T34</f>
        <v>0</v>
      </c>
      <c r="X34" s="93">
        <v>4.1000000000000003E-3</v>
      </c>
      <c r="Y34" s="92">
        <f>Z34*T34</f>
        <v>0</v>
      </c>
      <c r="Z34" s="93">
        <v>4.1000000000000003E-3</v>
      </c>
    </row>
    <row r="35" spans="1:27" ht="19.899999999999999" customHeight="1" x14ac:dyDescent="0.25">
      <c r="B35" s="24"/>
      <c r="C35" s="68" t="str">
        <f t="shared" si="7"/>
        <v/>
      </c>
      <c r="D35" s="69" t="str">
        <f t="shared" si="8"/>
        <v/>
      </c>
      <c r="E35" s="25" t="str">
        <f t="shared" si="9"/>
        <v/>
      </c>
      <c r="F35" s="69" t="str">
        <f t="shared" si="10"/>
        <v/>
      </c>
      <c r="G35" s="28" t="str">
        <f t="shared" si="11"/>
        <v/>
      </c>
      <c r="H35" s="70" t="str">
        <f t="shared" si="12"/>
        <v/>
      </c>
      <c r="I35" s="71" t="str">
        <f t="shared" si="13"/>
        <v/>
      </c>
      <c r="J35" s="72" t="str">
        <f t="shared" si="14"/>
        <v/>
      </c>
      <c r="K35" s="73" t="str">
        <f t="shared" si="15"/>
        <v/>
      </c>
      <c r="L35" s="74" t="e">
        <f t="shared" si="16"/>
        <v>#VALUE!</v>
      </c>
      <c r="M35" s="75" t="e">
        <f t="shared" si="17"/>
        <v>#VALUE!</v>
      </c>
      <c r="N35" s="78"/>
      <c r="O35" s="6">
        <f t="shared" si="18"/>
        <v>0</v>
      </c>
      <c r="P35" s="96"/>
      <c r="Q35" s="83"/>
      <c r="R35" s="426" t="s">
        <v>116</v>
      </c>
      <c r="S35" s="426"/>
      <c r="T35" s="89">
        <v>0</v>
      </c>
      <c r="U35" s="90">
        <f>((T30+T31*10)/8000)/60*IF(T35,1,0)</f>
        <v>0</v>
      </c>
      <c r="V35" s="91"/>
      <c r="W35" s="92">
        <f>((T30+T31*10)/3700)/60*IF(T35,1,0)</f>
        <v>0</v>
      </c>
      <c r="X35" s="93"/>
      <c r="Y35" s="92">
        <f>((T30+T31*10)/3700)/60*IF(T35,1,0)</f>
        <v>0</v>
      </c>
      <c r="Z35" s="93"/>
    </row>
    <row r="36" spans="1:27" ht="19.899999999999999" customHeight="1" x14ac:dyDescent="0.25">
      <c r="B36" s="24"/>
      <c r="C36" s="68" t="str">
        <f t="shared" si="7"/>
        <v/>
      </c>
      <c r="D36" s="69" t="str">
        <f t="shared" si="8"/>
        <v/>
      </c>
      <c r="E36" s="25" t="str">
        <f t="shared" si="9"/>
        <v/>
      </c>
      <c r="F36" s="69" t="str">
        <f t="shared" si="10"/>
        <v/>
      </c>
      <c r="G36" s="28" t="str">
        <f t="shared" si="11"/>
        <v/>
      </c>
      <c r="H36" s="70" t="str">
        <f t="shared" si="12"/>
        <v/>
      </c>
      <c r="I36" s="71" t="str">
        <f t="shared" si="13"/>
        <v/>
      </c>
      <c r="J36" s="72" t="str">
        <f t="shared" si="14"/>
        <v/>
      </c>
      <c r="K36" s="73" t="str">
        <f t="shared" si="15"/>
        <v/>
      </c>
      <c r="L36" s="74" t="e">
        <f t="shared" si="16"/>
        <v>#VALUE!</v>
      </c>
      <c r="M36" s="75" t="e">
        <f t="shared" si="17"/>
        <v>#VALUE!</v>
      </c>
      <c r="N36" s="78"/>
      <c r="O36" s="6">
        <f t="shared" si="18"/>
        <v>0</v>
      </c>
      <c r="P36" s="96" t="str">
        <f>Q26</f>
        <v>LASER</v>
      </c>
      <c r="Q36" s="97"/>
      <c r="R36" s="98"/>
      <c r="S36" s="98"/>
      <c r="T36" s="99" t="s">
        <v>117</v>
      </c>
      <c r="U36" s="100">
        <f>SUM(U30:U35)*1.3</f>
        <v>1.8538901734104051E-3</v>
      </c>
      <c r="V36" s="101"/>
      <c r="W36" s="102" t="e">
        <f>SUM(W30:W35)*1.2</f>
        <v>#VALUE!</v>
      </c>
      <c r="X36" s="93"/>
      <c r="Y36" s="103">
        <f>SUM(Y30:Y35)*1.2</f>
        <v>3.4818947368421048E-3</v>
      </c>
      <c r="Z36" s="93"/>
    </row>
    <row r="37" spans="1:27" ht="19.899999999999999" customHeight="1" x14ac:dyDescent="0.25">
      <c r="B37" s="24"/>
      <c r="C37" s="68" t="str">
        <f t="shared" si="7"/>
        <v/>
      </c>
      <c r="D37" s="69" t="str">
        <f t="shared" si="8"/>
        <v/>
      </c>
      <c r="E37" s="25" t="str">
        <f t="shared" si="9"/>
        <v/>
      </c>
      <c r="F37" s="69" t="str">
        <f t="shared" si="10"/>
        <v/>
      </c>
      <c r="G37" s="28" t="str">
        <f t="shared" si="11"/>
        <v/>
      </c>
      <c r="H37" s="70" t="str">
        <f t="shared" si="12"/>
        <v/>
      </c>
      <c r="I37" s="71" t="str">
        <f t="shared" si="13"/>
        <v/>
      </c>
      <c r="J37" s="72" t="str">
        <f t="shared" si="14"/>
        <v/>
      </c>
      <c r="K37" s="73" t="str">
        <f t="shared" si="15"/>
        <v/>
      </c>
      <c r="L37" s="74" t="e">
        <f t="shared" si="16"/>
        <v>#VALUE!</v>
      </c>
      <c r="M37" s="75" t="e">
        <f t="shared" si="17"/>
        <v>#VALUE!</v>
      </c>
      <c r="N37" s="78"/>
      <c r="O37" s="6">
        <f t="shared" si="18"/>
        <v>0</v>
      </c>
      <c r="P37" s="96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7" ht="19.899999999999999" customHeight="1" x14ac:dyDescent="0.25">
      <c r="B38" s="24"/>
      <c r="C38" s="68" t="str">
        <f t="shared" si="7"/>
        <v/>
      </c>
      <c r="D38" s="69" t="str">
        <f t="shared" si="8"/>
        <v/>
      </c>
      <c r="E38" s="25" t="str">
        <f t="shared" si="9"/>
        <v/>
      </c>
      <c r="F38" s="69" t="str">
        <f t="shared" si="10"/>
        <v/>
      </c>
      <c r="G38" s="28" t="str">
        <f t="shared" si="11"/>
        <v/>
      </c>
      <c r="H38" s="70" t="str">
        <f t="shared" si="12"/>
        <v/>
      </c>
      <c r="I38" s="71" t="str">
        <f t="shared" si="13"/>
        <v/>
      </c>
      <c r="J38" s="72" t="str">
        <f t="shared" si="14"/>
        <v/>
      </c>
      <c r="K38" s="73" t="str">
        <f t="shared" si="15"/>
        <v/>
      </c>
      <c r="L38" s="74" t="e">
        <f t="shared" si="16"/>
        <v>#VALUE!</v>
      </c>
      <c r="M38" s="75" t="e">
        <f t="shared" si="17"/>
        <v>#VALUE!</v>
      </c>
      <c r="N38" s="78"/>
      <c r="O38" s="6">
        <f t="shared" si="18"/>
        <v>0</v>
      </c>
      <c r="P38" s="96"/>
      <c r="Q38" s="428" t="s">
        <v>118</v>
      </c>
      <c r="R38" s="428"/>
      <c r="S38" s="428"/>
      <c r="T38" s="428"/>
      <c r="U38" s="428"/>
      <c r="V38" s="428"/>
      <c r="W38" s="19"/>
      <c r="X38" s="19"/>
      <c r="Y38" s="19"/>
      <c r="Z38" s="19"/>
    </row>
    <row r="39" spans="1:27" ht="19.899999999999999" customHeight="1" x14ac:dyDescent="0.25">
      <c r="B39" s="24"/>
      <c r="C39" s="68" t="str">
        <f t="shared" si="7"/>
        <v/>
      </c>
      <c r="D39" s="69" t="str">
        <f t="shared" si="8"/>
        <v/>
      </c>
      <c r="E39" s="25" t="str">
        <f t="shared" si="9"/>
        <v/>
      </c>
      <c r="F39" s="69" t="str">
        <f t="shared" si="10"/>
        <v/>
      </c>
      <c r="G39" s="28" t="str">
        <f t="shared" si="11"/>
        <v/>
      </c>
      <c r="H39" s="70" t="str">
        <f t="shared" si="12"/>
        <v/>
      </c>
      <c r="I39" s="71" t="str">
        <f t="shared" si="13"/>
        <v/>
      </c>
      <c r="J39" s="72" t="str">
        <f t="shared" si="14"/>
        <v/>
      </c>
      <c r="K39" s="73" t="str">
        <f t="shared" si="15"/>
        <v/>
      </c>
      <c r="L39" s="74" t="e">
        <f t="shared" si="16"/>
        <v>#VALUE!</v>
      </c>
      <c r="M39" s="75" t="e">
        <f t="shared" si="17"/>
        <v>#VALUE!</v>
      </c>
      <c r="N39" s="78"/>
      <c r="O39" s="6">
        <f t="shared" si="18"/>
        <v>0</v>
      </c>
      <c r="P39" s="96"/>
      <c r="Q39" s="429" t="s">
        <v>119</v>
      </c>
      <c r="R39" s="429"/>
      <c r="S39" s="429" t="e">
        <f>#N/A</f>
        <v>#N/A</v>
      </c>
      <c r="T39" s="88">
        <v>5</v>
      </c>
      <c r="U39" s="104">
        <f>(T39/T40)*V39</f>
        <v>1.4999999999999999E-2</v>
      </c>
      <c r="V39" s="105">
        <v>3.0000000000000001E-3</v>
      </c>
      <c r="W39" s="19"/>
      <c r="X39" s="19"/>
      <c r="Y39" s="19"/>
      <c r="Z39" s="19"/>
    </row>
    <row r="40" spans="1:27" ht="19.899999999999999" customHeight="1" x14ac:dyDescent="0.25">
      <c r="B40" s="24"/>
      <c r="C40" s="68" t="str">
        <f t="shared" si="7"/>
        <v/>
      </c>
      <c r="D40" s="69" t="str">
        <f t="shared" si="8"/>
        <v/>
      </c>
      <c r="E40" s="25" t="str">
        <f t="shared" si="9"/>
        <v/>
      </c>
      <c r="F40" s="69" t="str">
        <f t="shared" si="10"/>
        <v/>
      </c>
      <c r="G40" s="28" t="str">
        <f t="shared" si="11"/>
        <v/>
      </c>
      <c r="H40" s="70" t="str">
        <f t="shared" si="12"/>
        <v/>
      </c>
      <c r="I40" s="71" t="str">
        <f t="shared" si="13"/>
        <v/>
      </c>
      <c r="J40" s="72" t="str">
        <f t="shared" si="14"/>
        <v/>
      </c>
      <c r="K40" s="73" t="str">
        <f t="shared" si="15"/>
        <v/>
      </c>
      <c r="L40" s="74" t="e">
        <f t="shared" si="16"/>
        <v>#VALUE!</v>
      </c>
      <c r="M40" s="75" t="e">
        <f t="shared" si="17"/>
        <v>#VALUE!</v>
      </c>
      <c r="N40" s="78"/>
      <c r="O40" s="6">
        <f t="shared" si="18"/>
        <v>0</v>
      </c>
      <c r="P40" s="96"/>
      <c r="Q40" s="429" t="s">
        <v>120</v>
      </c>
      <c r="R40" s="429"/>
      <c r="S40" s="429"/>
      <c r="T40" s="88">
        <v>1</v>
      </c>
      <c r="U40" s="106"/>
      <c r="V40" s="91"/>
      <c r="W40" s="19"/>
      <c r="X40" s="19"/>
      <c r="Y40" s="19"/>
      <c r="Z40" s="19"/>
    </row>
    <row r="41" spans="1:27" ht="19.899999999999999" customHeight="1" x14ac:dyDescent="0.25">
      <c r="B41" s="24"/>
      <c r="C41" s="68" t="str">
        <f t="shared" si="7"/>
        <v/>
      </c>
      <c r="D41" s="69" t="str">
        <f t="shared" si="8"/>
        <v/>
      </c>
      <c r="E41" s="25" t="str">
        <f t="shared" si="9"/>
        <v/>
      </c>
      <c r="F41" s="69" t="str">
        <f t="shared" si="10"/>
        <v/>
      </c>
      <c r="G41" s="28" t="str">
        <f t="shared" si="11"/>
        <v/>
      </c>
      <c r="H41" s="70" t="str">
        <f t="shared" si="12"/>
        <v/>
      </c>
      <c r="I41" s="71" t="str">
        <f t="shared" si="13"/>
        <v/>
      </c>
      <c r="J41" s="72" t="str">
        <f t="shared" si="14"/>
        <v/>
      </c>
      <c r="K41" s="73" t="str">
        <f t="shared" si="15"/>
        <v/>
      </c>
      <c r="L41" s="74" t="e">
        <f t="shared" si="16"/>
        <v>#VALUE!</v>
      </c>
      <c r="M41" s="75" t="e">
        <f t="shared" si="17"/>
        <v>#VALUE!</v>
      </c>
      <c r="N41" s="78"/>
      <c r="O41" s="6">
        <f t="shared" si="18"/>
        <v>0</v>
      </c>
      <c r="P41" s="96"/>
      <c r="Q41" s="429" t="s">
        <v>121</v>
      </c>
      <c r="R41" s="429"/>
      <c r="S41" s="429"/>
      <c r="T41" s="88">
        <f>(R3*2+S3*2)/50+50</f>
        <v>62</v>
      </c>
      <c r="U41" s="106">
        <f>T41*V41</f>
        <v>8.6800000000000002E-3</v>
      </c>
      <c r="V41" s="37">
        <v>1.4000000000000001E-4</v>
      </c>
      <c r="W41" s="19"/>
      <c r="X41" s="19"/>
      <c r="Y41" s="19"/>
      <c r="Z41" s="19"/>
    </row>
    <row r="42" spans="1:27" ht="19.899999999999999" customHeight="1" x14ac:dyDescent="0.25">
      <c r="B42" s="24"/>
      <c r="C42" s="68" t="str">
        <f t="shared" si="7"/>
        <v/>
      </c>
      <c r="D42" s="69" t="str">
        <f t="shared" si="8"/>
        <v/>
      </c>
      <c r="E42" s="25" t="str">
        <f t="shared" si="9"/>
        <v/>
      </c>
      <c r="F42" s="69" t="str">
        <f t="shared" si="10"/>
        <v/>
      </c>
      <c r="G42" s="28" t="str">
        <f t="shared" si="11"/>
        <v/>
      </c>
      <c r="H42" s="70" t="str">
        <f t="shared" si="12"/>
        <v/>
      </c>
      <c r="I42" s="71" t="str">
        <f t="shared" si="13"/>
        <v/>
      </c>
      <c r="J42" s="72" t="str">
        <f t="shared" si="14"/>
        <v/>
      </c>
      <c r="K42" s="73" t="str">
        <f t="shared" si="15"/>
        <v/>
      </c>
      <c r="L42" s="74" t="e">
        <f t="shared" si="16"/>
        <v>#VALUE!</v>
      </c>
      <c r="M42" s="75" t="e">
        <f t="shared" si="17"/>
        <v>#VALUE!</v>
      </c>
      <c r="N42" s="78"/>
      <c r="O42" s="6">
        <f t="shared" si="18"/>
        <v>0</v>
      </c>
      <c r="P42" s="96"/>
      <c r="Q42" s="429" t="s">
        <v>122</v>
      </c>
      <c r="R42" s="429"/>
      <c r="S42" s="429"/>
      <c r="T42" s="88">
        <v>0</v>
      </c>
      <c r="U42" s="106">
        <f>T42*V42</f>
        <v>0</v>
      </c>
      <c r="V42" s="37">
        <v>8.0000000000000004E-4</v>
      </c>
      <c r="W42" s="19"/>
      <c r="X42" s="19"/>
      <c r="Y42" s="19"/>
      <c r="Z42" s="19"/>
    </row>
    <row r="43" spans="1:27" ht="19.899999999999999" customHeight="1" x14ac:dyDescent="0.25">
      <c r="B43" s="24"/>
      <c r="C43" s="68" t="str">
        <f t="shared" si="7"/>
        <v/>
      </c>
      <c r="D43" s="69" t="str">
        <f t="shared" si="8"/>
        <v/>
      </c>
      <c r="E43" s="25" t="str">
        <f t="shared" si="9"/>
        <v/>
      </c>
      <c r="F43" s="69" t="str">
        <f t="shared" si="10"/>
        <v/>
      </c>
      <c r="G43" s="28" t="str">
        <f t="shared" si="11"/>
        <v/>
      </c>
      <c r="H43" s="70" t="str">
        <f t="shared" si="12"/>
        <v/>
      </c>
      <c r="I43" s="71" t="str">
        <f t="shared" si="13"/>
        <v/>
      </c>
      <c r="J43" s="72" t="str">
        <f t="shared" si="14"/>
        <v/>
      </c>
      <c r="K43" s="73" t="str">
        <f t="shared" si="15"/>
        <v/>
      </c>
      <c r="L43" s="74" t="e">
        <f t="shared" si="16"/>
        <v>#VALUE!</v>
      </c>
      <c r="M43" s="75" t="e">
        <f t="shared" si="17"/>
        <v>#VALUE!</v>
      </c>
      <c r="N43" s="78"/>
      <c r="O43" s="6">
        <f t="shared" si="18"/>
        <v>0</v>
      </c>
      <c r="P43" s="96"/>
      <c r="Q43" s="429" t="s">
        <v>123</v>
      </c>
      <c r="R43" s="429"/>
      <c r="S43" s="429"/>
      <c r="T43" s="88">
        <v>0</v>
      </c>
      <c r="U43" s="106">
        <f>T43*V43</f>
        <v>0</v>
      </c>
      <c r="V43" s="91">
        <v>8.0000000000000004E-4</v>
      </c>
      <c r="W43" s="19"/>
      <c r="X43" s="19"/>
      <c r="Y43" s="19"/>
      <c r="Z43" s="19"/>
    </row>
    <row r="44" spans="1:27" ht="19.899999999999999" customHeight="1" x14ac:dyDescent="0.25">
      <c r="B44" s="24"/>
      <c r="C44" s="68" t="str">
        <f t="shared" si="7"/>
        <v/>
      </c>
      <c r="D44" s="69" t="str">
        <f t="shared" si="8"/>
        <v/>
      </c>
      <c r="E44" s="25" t="str">
        <f t="shared" si="9"/>
        <v/>
      </c>
      <c r="F44" s="69" t="str">
        <f t="shared" si="10"/>
        <v/>
      </c>
      <c r="G44" s="28" t="str">
        <f t="shared" si="11"/>
        <v/>
      </c>
      <c r="H44" s="70" t="str">
        <f t="shared" si="12"/>
        <v/>
      </c>
      <c r="I44" s="71" t="str">
        <f t="shared" si="13"/>
        <v/>
      </c>
      <c r="J44" s="72" t="str">
        <f t="shared" si="14"/>
        <v/>
      </c>
      <c r="K44" s="73" t="str">
        <f t="shared" si="15"/>
        <v/>
      </c>
      <c r="L44" s="74" t="e">
        <f t="shared" si="16"/>
        <v>#VALUE!</v>
      </c>
      <c r="M44" s="75" t="e">
        <f t="shared" si="17"/>
        <v>#VALUE!</v>
      </c>
      <c r="N44" s="78"/>
      <c r="O44" s="6">
        <f t="shared" si="18"/>
        <v>0</v>
      </c>
      <c r="P44" s="96"/>
      <c r="Q44" s="427" t="s">
        <v>124</v>
      </c>
      <c r="R44" s="427"/>
      <c r="S44" s="427"/>
      <c r="T44" s="88">
        <v>1</v>
      </c>
      <c r="U44" s="106">
        <f>T44*V44</f>
        <v>5.0000000000000001E-3</v>
      </c>
      <c r="V44" s="91">
        <v>5.0000000000000001E-3</v>
      </c>
      <c r="W44" s="19"/>
      <c r="X44" s="19"/>
      <c r="Y44" s="19"/>
      <c r="Z44" s="19"/>
    </row>
    <row r="45" spans="1:27" ht="28.35" customHeight="1" x14ac:dyDescent="0.25">
      <c r="B45" s="107"/>
      <c r="C45" s="108"/>
      <c r="D45" s="107"/>
      <c r="E45" s="109"/>
      <c r="F45" s="110">
        <f>SUM(F24:F44)</f>
        <v>0</v>
      </c>
      <c r="G45" s="111">
        <f>SUM(G24:G44)</f>
        <v>0</v>
      </c>
      <c r="H45" s="109"/>
      <c r="I45" s="112"/>
      <c r="J45" s="113">
        <f>SUM(J24:J44)</f>
        <v>0</v>
      </c>
      <c r="K45" s="111">
        <f>SUM(K24:K44)</f>
        <v>0</v>
      </c>
      <c r="L45" s="109"/>
      <c r="M45" s="75">
        <f>IF(J45="","",J45*60)*IF(LEFT(B45,3)="pei",0.5,1)</f>
        <v>0</v>
      </c>
      <c r="N45" s="114"/>
      <c r="O45" s="6"/>
      <c r="P45" s="96"/>
      <c r="Q45" s="427" t="s">
        <v>125</v>
      </c>
      <c r="R45" s="427"/>
      <c r="S45" s="427"/>
      <c r="T45" s="88">
        <v>1</v>
      </c>
      <c r="U45" s="115">
        <f>V45*(T45/T40)</f>
        <v>7.0000000000000001E-3</v>
      </c>
      <c r="V45" s="91">
        <v>7.0000000000000001E-3</v>
      </c>
      <c r="W45" s="19"/>
      <c r="X45" s="19"/>
      <c r="Y45" s="19"/>
      <c r="Z45" s="19"/>
    </row>
    <row r="46" spans="1:27" ht="16.5" x14ac:dyDescent="0.25">
      <c r="B46" s="116" t="s">
        <v>126</v>
      </c>
      <c r="C46" s="117">
        <v>0.08</v>
      </c>
      <c r="D46" s="118">
        <f>PRODUCT(C46,60)</f>
        <v>4.8</v>
      </c>
      <c r="E46" s="119" t="s">
        <v>127</v>
      </c>
      <c r="F46" s="117">
        <v>5</v>
      </c>
      <c r="G46" s="120"/>
      <c r="H46" s="119" t="s">
        <v>128</v>
      </c>
      <c r="I46" s="121"/>
      <c r="J46" s="488"/>
      <c r="K46" s="488"/>
      <c r="L46" s="488"/>
      <c r="M46" s="488"/>
      <c r="N46" s="488"/>
      <c r="O46" s="6"/>
      <c r="P46" s="96" t="str">
        <f>Q38</f>
        <v>Poinconnage</v>
      </c>
      <c r="Q46" s="97"/>
      <c r="R46" s="98" t="s">
        <v>129</v>
      </c>
      <c r="S46" s="122">
        <f>SUM(0.2,PRODUCT(0.08,T39))</f>
        <v>0.60000000000000009</v>
      </c>
      <c r="T46" s="99" t="s">
        <v>117</v>
      </c>
      <c r="U46" s="100">
        <f>SUM(U39:U45)*1.3</f>
        <v>4.6384000000000009E-2</v>
      </c>
      <c r="V46" s="123">
        <f>PRODUCT(U46,3600)</f>
        <v>166.98240000000004</v>
      </c>
      <c r="W46" s="19"/>
      <c r="X46" s="19"/>
      <c r="Y46" s="19"/>
      <c r="Z46" s="19"/>
    </row>
    <row r="47" spans="1:27" ht="31.5" x14ac:dyDescent="0.25">
      <c r="A47" s="116"/>
      <c r="B47" s="124" t="s">
        <v>156</v>
      </c>
      <c r="C47" s="125" t="s">
        <v>131</v>
      </c>
      <c r="D47" s="125" t="s">
        <v>132</v>
      </c>
      <c r="E47" s="124" t="s">
        <v>133</v>
      </c>
      <c r="F47" s="126" t="s">
        <v>134</v>
      </c>
      <c r="G47" s="126" t="s">
        <v>135</v>
      </c>
      <c r="H47" s="127" t="s">
        <v>136</v>
      </c>
      <c r="I47" s="127" t="s">
        <v>137</v>
      </c>
      <c r="J47" s="127" t="s">
        <v>138</v>
      </c>
      <c r="K47" s="128" t="s">
        <v>17</v>
      </c>
      <c r="L47" s="129" t="s">
        <v>139</v>
      </c>
      <c r="M47" s="130" t="s">
        <v>140</v>
      </c>
      <c r="N47" s="130" t="s">
        <v>157</v>
      </c>
      <c r="P47" s="131"/>
      <c r="Q47" s="132"/>
      <c r="R47" s="132"/>
      <c r="S47" s="132"/>
      <c r="T47" s="132"/>
      <c r="U47" s="132"/>
      <c r="V47" s="132"/>
      <c r="W47" s="132"/>
      <c r="X47" s="132"/>
      <c r="Y47" s="132"/>
      <c r="Z47" s="132"/>
    </row>
    <row r="48" spans="1:27" ht="19.899999999999999" customHeight="1" x14ac:dyDescent="0.3">
      <c r="B48" s="133"/>
      <c r="C48" s="133"/>
      <c r="D48" s="133"/>
      <c r="E48" s="133"/>
      <c r="F48" s="134" t="e">
        <f t="shared" ref="F48:F53" si="19">IF(AND(K48&gt;0,J48&lt;&gt;0),(B48+C48+D48+E48)/J48,"")</f>
        <v>#VALUE!</v>
      </c>
      <c r="G48" s="134" t="e">
        <f t="shared" ref="G48:G53" si="20">IF(AND(K48&gt;0,J48&lt;&gt;0),(($I$22*(1-$L$22))+B48+C48+D48+E48)/J48,"")</f>
        <v>#VALUE!</v>
      </c>
      <c r="H48" s="135">
        <f t="shared" ref="H48:H53" si="21">IF(K48&gt;0,PRODUCT($J$45,K48)+$F$45/K48,"")</f>
        <v>0</v>
      </c>
      <c r="I48" s="136" t="e">
        <f t="shared" ref="I48:I53" si="22">IF(K48&gt;0,M48*K48,"")</f>
        <v>#VALUE!</v>
      </c>
      <c r="J48" s="137" t="e">
        <f t="shared" ref="J48:J53" si="23">IF(K48&gt;0,SUM(C67,((B48+C48+D48+E48)*1.25),$K$45,$I$22),"")</f>
        <v>#VALUE!</v>
      </c>
      <c r="K48" s="138">
        <v>1</v>
      </c>
      <c r="L48" s="139">
        <v>40</v>
      </c>
      <c r="M48" s="140" t="e">
        <f t="shared" ref="M48:M53" si="24">IF(K48&gt;0,(J48*L48%)+J48,"")</f>
        <v>#VALUE!</v>
      </c>
      <c r="N48" s="141"/>
      <c r="O48" s="142" t="str">
        <f>IF(N12=0,"",M48/N12)</f>
        <v/>
      </c>
      <c r="P48" s="9" t="str">
        <f>CHAR(64+INT(ROW()/45)+1)</f>
        <v>B</v>
      </c>
      <c r="R48" s="143" t="s">
        <v>45</v>
      </c>
      <c r="S48" s="143" t="s">
        <v>141</v>
      </c>
      <c r="T48" s="143" t="s">
        <v>142</v>
      </c>
      <c r="U48" s="143" t="s">
        <v>8</v>
      </c>
      <c r="V48" s="10"/>
      <c r="W48" s="2" t="s">
        <v>9</v>
      </c>
      <c r="X48" s="2" t="s">
        <v>10</v>
      </c>
      <c r="AA48" s="5">
        <v>1</v>
      </c>
    </row>
    <row r="49" spans="1:26" ht="19.899999999999999" customHeight="1" x14ac:dyDescent="0.3">
      <c r="B49" s="133"/>
      <c r="C49" s="133"/>
      <c r="D49" s="133"/>
      <c r="E49" s="133"/>
      <c r="F49" s="134" t="e">
        <f t="shared" si="19"/>
        <v>#VALUE!</v>
      </c>
      <c r="G49" s="134" t="e">
        <f t="shared" si="20"/>
        <v>#VALUE!</v>
      </c>
      <c r="H49" s="135">
        <f t="shared" si="21"/>
        <v>0</v>
      </c>
      <c r="I49" s="136" t="e">
        <f t="shared" si="22"/>
        <v>#VALUE!</v>
      </c>
      <c r="J49" s="137" t="e">
        <f t="shared" si="23"/>
        <v>#VALUE!</v>
      </c>
      <c r="K49" s="138">
        <v>5</v>
      </c>
      <c r="L49" s="139">
        <v>35</v>
      </c>
      <c r="M49" s="140" t="e">
        <f t="shared" si="24"/>
        <v>#VALUE!</v>
      </c>
      <c r="N49" s="141"/>
      <c r="O49" s="142" t="str">
        <f>IF(N12=0,"",M49/N12)</f>
        <v/>
      </c>
      <c r="P49" s="18"/>
      <c r="Q49" s="19"/>
      <c r="R49" s="34">
        <v>200</v>
      </c>
      <c r="S49" s="34">
        <v>100</v>
      </c>
      <c r="T49" s="34">
        <v>1</v>
      </c>
      <c r="U49" s="34" t="s">
        <v>23</v>
      </c>
      <c r="V49" s="20">
        <f>VLOOKUP(U49,DensiteMatiere,2,0)</f>
        <v>7.8</v>
      </c>
      <c r="W49" s="19">
        <f>(R49*S49*T49*V49)/1000000</f>
        <v>0.156</v>
      </c>
      <c r="X49" s="19">
        <f>R49*S49*2/1000000</f>
        <v>0.04</v>
      </c>
      <c r="Y49" s="19"/>
      <c r="Z49" s="19"/>
    </row>
    <row r="50" spans="1:26" ht="19.899999999999999" customHeight="1" x14ac:dyDescent="0.3">
      <c r="B50" s="133"/>
      <c r="C50" s="133"/>
      <c r="D50" s="133"/>
      <c r="E50" s="133"/>
      <c r="F50" s="134" t="e">
        <f t="shared" si="19"/>
        <v>#VALUE!</v>
      </c>
      <c r="G50" s="134" t="e">
        <f t="shared" si="20"/>
        <v>#VALUE!</v>
      </c>
      <c r="H50" s="135">
        <f t="shared" si="21"/>
        <v>0</v>
      </c>
      <c r="I50" s="136" t="e">
        <f t="shared" si="22"/>
        <v>#VALUE!</v>
      </c>
      <c r="J50" s="137" t="e">
        <f t="shared" si="23"/>
        <v>#VALUE!</v>
      </c>
      <c r="K50" s="138">
        <v>10</v>
      </c>
      <c r="L50" s="139">
        <v>30</v>
      </c>
      <c r="M50" s="140" t="e">
        <f t="shared" si="24"/>
        <v>#VALUE!</v>
      </c>
      <c r="N50" s="141"/>
      <c r="O50" s="142" t="str">
        <f>IF(N12=0,"",M50/N12)</f>
        <v/>
      </c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9.899999999999999" customHeight="1" x14ac:dyDescent="0.3">
      <c r="B51" s="133"/>
      <c r="C51" s="133"/>
      <c r="D51" s="133"/>
      <c r="E51" s="133"/>
      <c r="F51" s="134" t="e">
        <f t="shared" si="19"/>
        <v>#VALUE!</v>
      </c>
      <c r="G51" s="134" t="e">
        <f t="shared" si="20"/>
        <v>#VALUE!</v>
      </c>
      <c r="H51" s="135">
        <f t="shared" si="21"/>
        <v>0</v>
      </c>
      <c r="I51" s="136" t="e">
        <f t="shared" si="22"/>
        <v>#VALUE!</v>
      </c>
      <c r="J51" s="137" t="e">
        <f t="shared" si="23"/>
        <v>#VALUE!</v>
      </c>
      <c r="K51" s="138">
        <v>20</v>
      </c>
      <c r="L51" s="139">
        <v>20</v>
      </c>
      <c r="M51" s="140" t="e">
        <f t="shared" si="24"/>
        <v>#VALUE!</v>
      </c>
      <c r="N51" s="141"/>
      <c r="O51" s="142" t="str">
        <f>IF(N12=0,"",M51/N12)</f>
        <v/>
      </c>
      <c r="P51" s="18"/>
      <c r="Q51" s="19"/>
      <c r="R51" s="468" t="s">
        <v>143</v>
      </c>
      <c r="S51" s="468"/>
      <c r="T51" s="19"/>
      <c r="U51" s="29" t="s">
        <v>26</v>
      </c>
      <c r="V51" s="19"/>
      <c r="W51" s="19"/>
      <c r="X51" s="19"/>
      <c r="Y51" s="19"/>
      <c r="Z51" s="19"/>
    </row>
    <row r="52" spans="1:26" ht="19.899999999999999" customHeight="1" x14ac:dyDescent="0.3">
      <c r="B52" s="133"/>
      <c r="C52" s="133"/>
      <c r="D52" s="133"/>
      <c r="E52" s="133"/>
      <c r="F52" s="134" t="e">
        <f t="shared" si="19"/>
        <v>#VALUE!</v>
      </c>
      <c r="G52" s="134" t="e">
        <f t="shared" si="20"/>
        <v>#VALUE!</v>
      </c>
      <c r="H52" s="135">
        <f t="shared" si="21"/>
        <v>0</v>
      </c>
      <c r="I52" s="136" t="e">
        <f t="shared" si="22"/>
        <v>#VALUE!</v>
      </c>
      <c r="J52" s="137" t="e">
        <f t="shared" si="23"/>
        <v>#VALUE!</v>
      </c>
      <c r="K52" s="138">
        <v>50</v>
      </c>
      <c r="L52" s="139">
        <v>20</v>
      </c>
      <c r="M52" s="140" t="e">
        <f t="shared" si="24"/>
        <v>#VALUE!</v>
      </c>
      <c r="N52" s="141"/>
      <c r="O52" s="142" t="str">
        <f>IF(N12=0,"",M52/N12)</f>
        <v/>
      </c>
      <c r="P52" s="18"/>
      <c r="Q52" s="19"/>
      <c r="R52" s="34">
        <v>10</v>
      </c>
      <c r="S52" s="34">
        <v>10</v>
      </c>
      <c r="T52" s="35"/>
      <c r="U52" s="34">
        <v>0</v>
      </c>
      <c r="V52" s="19"/>
      <c r="W52" s="19"/>
      <c r="X52" s="19"/>
      <c r="Y52" s="19"/>
      <c r="Z52" s="19"/>
    </row>
    <row r="53" spans="1:26" ht="19.899999999999999" customHeight="1" x14ac:dyDescent="0.3">
      <c r="B53" s="133"/>
      <c r="C53" s="133"/>
      <c r="D53" s="133"/>
      <c r="E53" s="133"/>
      <c r="F53" s="134" t="e">
        <f t="shared" si="19"/>
        <v>#VALUE!</v>
      </c>
      <c r="G53" s="134" t="e">
        <f t="shared" si="20"/>
        <v>#VALUE!</v>
      </c>
      <c r="H53" s="135">
        <f t="shared" si="21"/>
        <v>0</v>
      </c>
      <c r="I53" s="136" t="e">
        <f t="shared" si="22"/>
        <v>#VALUE!</v>
      </c>
      <c r="J53" s="137" t="e">
        <f t="shared" si="23"/>
        <v>#VALUE!</v>
      </c>
      <c r="K53" s="138">
        <v>100</v>
      </c>
      <c r="L53" s="139">
        <v>20</v>
      </c>
      <c r="M53" s="140" t="e">
        <f t="shared" si="24"/>
        <v>#VALUE!</v>
      </c>
      <c r="N53" s="141"/>
      <c r="O53" s="142" t="str">
        <f>IF(N12=0,"",M53/N12)</f>
        <v/>
      </c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6.5" x14ac:dyDescent="0.25">
      <c r="A54" s="489" t="s">
        <v>144</v>
      </c>
      <c r="B54" s="489"/>
      <c r="C54" s="489"/>
      <c r="D54" s="489"/>
      <c r="E54" s="489"/>
      <c r="F54" s="489"/>
      <c r="G54" s="489"/>
      <c r="H54" s="489"/>
      <c r="I54" s="489"/>
      <c r="J54" s="489"/>
      <c r="K54" s="489"/>
      <c r="L54" s="489"/>
      <c r="M54" s="489"/>
      <c r="N54" s="489"/>
      <c r="Q54" s="480" t="s">
        <v>37</v>
      </c>
      <c r="R54" s="480"/>
      <c r="S54" s="480"/>
      <c r="T54" s="19"/>
      <c r="U54" s="19"/>
      <c r="V54" s="19"/>
      <c r="W54" s="477" t="s">
        <v>38</v>
      </c>
      <c r="X54" s="477"/>
      <c r="Y54" s="477"/>
      <c r="Z54" s="43" t="s">
        <v>39</v>
      </c>
    </row>
    <row r="55" spans="1:26" ht="12.75" customHeight="1" x14ac:dyDescent="0.25">
      <c r="A55" s="30"/>
      <c r="B55" s="487" t="s">
        <v>158</v>
      </c>
      <c r="C55" s="487"/>
      <c r="D55" s="487"/>
      <c r="E55" s="487"/>
      <c r="F55" s="487"/>
      <c r="G55" s="487"/>
      <c r="H55" s="487"/>
      <c r="I55" s="487"/>
      <c r="J55" s="487"/>
      <c r="K55" s="487"/>
      <c r="L55" s="487"/>
      <c r="M55" s="30"/>
      <c r="N55" s="144"/>
      <c r="P55" s="44" t="e">
        <f ca="1">MIN(U56,U57,U59,U60,U62,U63,U65,U66,U68,U69)</f>
        <v>#NAME?</v>
      </c>
      <c r="Q55" s="29" t="s">
        <v>44</v>
      </c>
      <c r="R55" s="29" t="s">
        <v>45</v>
      </c>
      <c r="S55" s="29" t="s">
        <v>46</v>
      </c>
      <c r="T55" s="29" t="s">
        <v>47</v>
      </c>
      <c r="U55" s="29" t="s">
        <v>48</v>
      </c>
      <c r="V55" s="29" t="s">
        <v>49</v>
      </c>
      <c r="W55" s="42" t="s">
        <v>50</v>
      </c>
      <c r="X55" s="42" t="s">
        <v>46</v>
      </c>
      <c r="Y55" s="42" t="s">
        <v>9</v>
      </c>
      <c r="Z55" s="43"/>
    </row>
    <row r="56" spans="1:26" ht="16.5" x14ac:dyDescent="0.25">
      <c r="A56" s="145"/>
      <c r="B56" s="487"/>
      <c r="C56" s="487"/>
      <c r="D56" s="487"/>
      <c r="E56" s="487"/>
      <c r="F56" s="487"/>
      <c r="G56" s="487"/>
      <c r="H56" s="487"/>
      <c r="I56" s="487"/>
      <c r="J56" s="487"/>
      <c r="K56" s="487"/>
      <c r="L56" s="487"/>
      <c r="M56" s="146" t="s">
        <v>145</v>
      </c>
      <c r="N56" s="147" t="s">
        <v>34</v>
      </c>
      <c r="P56" s="18" t="e">
        <f ca="1">IF(U56=$P55,$AF$2,"")</f>
        <v>#NAME?</v>
      </c>
      <c r="Q56" s="45"/>
      <c r="R56" s="42">
        <v>4000</v>
      </c>
      <c r="S56" s="42">
        <v>2000</v>
      </c>
      <c r="T56" s="42" t="str">
        <f>IF(Q56="","",(INT((R56/($R49+$R52)))*INT(((S56-$U52)/($S49+$S52)))))</f>
        <v/>
      </c>
      <c r="U56" s="46" t="str">
        <f>IF(OR(T56=0,T56=""),"",CALCULPOIDS(R56,S56,T49,V49)/T56)</f>
        <v/>
      </c>
      <c r="V56" s="47" t="str">
        <f>IF(Q56="","",(($R56*$S56)-(R49*S49*$T56))/($R56*$S56))</f>
        <v/>
      </c>
      <c r="W56" s="42" t="e">
        <f ca="1">CALCUL_FORMATIDEAL(R56,0,R49,R52)</f>
        <v>#NAME?</v>
      </c>
      <c r="X56" s="42" t="e">
        <f ca="1">CALCUL_FORMATIDEAL(S56,U52,S49,S52)</f>
        <v>#NAME?</v>
      </c>
      <c r="Y56" s="42" t="e">
        <f ca="1">CALCULPOIDS(W56,X56,T49,V49)</f>
        <v>#NAME?</v>
      </c>
      <c r="Z56" s="43" t="e">
        <f ca="1">CALCULPOIDS(R56,S56,T49,V49)</f>
        <v>#NAME?</v>
      </c>
    </row>
    <row r="57" spans="1:26" ht="16.5" x14ac:dyDescent="0.25">
      <c r="A57" s="145"/>
      <c r="B57" s="487"/>
      <c r="C57" s="487"/>
      <c r="D57" s="487"/>
      <c r="E57" s="487"/>
      <c r="F57" s="487"/>
      <c r="G57" s="487"/>
      <c r="H57" s="487"/>
      <c r="I57" s="487"/>
      <c r="J57" s="487"/>
      <c r="K57" s="487"/>
      <c r="L57" s="487"/>
      <c r="M57" s="146" t="s">
        <v>146</v>
      </c>
      <c r="N57" s="147" t="s">
        <v>33</v>
      </c>
      <c r="P57" s="18" t="e">
        <f ca="1">IF(U57=$P55,$AF$2,"")</f>
        <v>#NAME?</v>
      </c>
      <c r="Q57" s="45"/>
      <c r="R57" s="42">
        <v>2000</v>
      </c>
      <c r="S57" s="42">
        <v>4000</v>
      </c>
      <c r="T57" s="42" t="str">
        <f>IF(Q57="","",(INT((R57/($R49+$R52)))*INT(((S57-$U52)/($S49+$S52)))))</f>
        <v/>
      </c>
      <c r="U57" s="46" t="str">
        <f>IF(OR(T57=0,T57=""),"",CALCULPOIDS(R57,S57,T49,V49)/T57)</f>
        <v/>
      </c>
      <c r="V57" s="47" t="str">
        <f>IF(Q57="","",(($R57*$S57)-(R49*S49*$T57))/($R57*$S57))</f>
        <v/>
      </c>
      <c r="W57" s="42" t="e">
        <f ca="1">CALCUL_FORMATIDEAL(R57,0,R49,R52)</f>
        <v>#NAME?</v>
      </c>
      <c r="X57" s="42" t="e">
        <f ca="1">CALCUL_FORMATIDEAL(S57,U52,S49,S52)</f>
        <v>#NAME?</v>
      </c>
      <c r="Y57" s="42" t="e">
        <f ca="1">CALCULPOIDS(W57,X57,T49,V49)</f>
        <v>#NAME?</v>
      </c>
      <c r="Z57" s="43" t="e">
        <f ca="1">CALCULPOIDS(R57,S57,T49,V49)</f>
        <v>#NAME?</v>
      </c>
    </row>
    <row r="58" spans="1:26" ht="16.5" x14ac:dyDescent="0.25">
      <c r="A58" s="145"/>
      <c r="B58" s="487"/>
      <c r="C58" s="487"/>
      <c r="D58" s="487"/>
      <c r="E58" s="487"/>
      <c r="F58" s="487"/>
      <c r="G58" s="487"/>
      <c r="H58" s="487"/>
      <c r="I58" s="487"/>
      <c r="J58" s="487"/>
      <c r="K58" s="487"/>
      <c r="L58" s="487"/>
      <c r="M58" s="146" t="s">
        <v>147</v>
      </c>
      <c r="N58" s="147" t="s">
        <v>35</v>
      </c>
      <c r="P58" s="18"/>
      <c r="Q58" s="477"/>
      <c r="R58" s="477"/>
      <c r="S58" s="477"/>
      <c r="T58" s="477" t="str">
        <f>IF(UPPER(Q58)="X",(INT((R58/($R$8+$R$11)))*INT(((S58-$U$11)/($S$8+$S$11)))),"")</f>
        <v/>
      </c>
      <c r="U58" s="477" t="str">
        <f>IF(OR(T58=0,T58=""),"",CALCULPOIDS(R58,S58,$T$3,V51)/T58)</f>
        <v/>
      </c>
      <c r="V58" s="47"/>
      <c r="W58" s="42"/>
      <c r="X58" s="42"/>
      <c r="Y58" s="42"/>
      <c r="Z58" s="43"/>
    </row>
    <row r="59" spans="1:26" ht="16.5" x14ac:dyDescent="0.25">
      <c r="A59" s="145"/>
      <c r="B59" s="487"/>
      <c r="C59" s="487"/>
      <c r="D59" s="487"/>
      <c r="E59" s="487"/>
      <c r="F59" s="487"/>
      <c r="G59" s="487"/>
      <c r="H59" s="487"/>
      <c r="I59" s="487"/>
      <c r="J59" s="487"/>
      <c r="K59" s="487"/>
      <c r="L59" s="487"/>
      <c r="M59" s="145"/>
      <c r="N59" s="148"/>
      <c r="P59" s="18" t="e">
        <f ca="1">IF(U59=$P55,$AF$2,"")</f>
        <v>#NAME?</v>
      </c>
      <c r="Q59" s="45" t="s">
        <v>71</v>
      </c>
      <c r="R59" s="42">
        <v>3000</v>
      </c>
      <c r="S59" s="42">
        <v>1500</v>
      </c>
      <c r="T59" s="42">
        <f>IF(Q59="","",(INT((R59/($R49:R49+$R52)))*INT(((S59-$U52)/($S49+$S52)))))</f>
        <v>182</v>
      </c>
      <c r="U59" s="46" t="e">
        <f ca="1">IF(OR(T59=0,T59=""),"",CALCULPOIDS(R59,S59,T49,V49)/T59)</f>
        <v>#NAME?</v>
      </c>
      <c r="V59" s="47">
        <f>IF(Q59="","",(($R59:R59*$S59)-(R49*S49*$T59))/($R59*$S59))</f>
        <v>0.19111111111111112</v>
      </c>
      <c r="W59" s="42" t="e">
        <f ca="1">CALCUL_FORMATIDEAL(R59,0,R49,R52)</f>
        <v>#NAME?</v>
      </c>
      <c r="X59" s="42" t="e">
        <f ca="1">CALCUL_FORMATIDEAL(S59,U52,S49,S52)</f>
        <v>#NAME?</v>
      </c>
      <c r="Y59" s="42" t="e">
        <f ca="1">CALCULPOIDS(W59,X59,T49,V49)</f>
        <v>#NAME?</v>
      </c>
      <c r="Z59" s="43" t="e">
        <f ca="1">CALCULPOIDS(R59,S59,T49,V49)</f>
        <v>#NAME?</v>
      </c>
    </row>
    <row r="60" spans="1:26" ht="16.5" x14ac:dyDescent="0.25">
      <c r="A60" s="36"/>
      <c r="B60" s="487"/>
      <c r="C60" s="487"/>
      <c r="D60" s="487"/>
      <c r="E60" s="487"/>
      <c r="F60" s="487"/>
      <c r="G60" s="487"/>
      <c r="H60" s="487"/>
      <c r="I60" s="487"/>
      <c r="J60" s="487"/>
      <c r="K60" s="487"/>
      <c r="L60" s="487"/>
      <c r="M60" s="145"/>
      <c r="N60" s="148"/>
      <c r="P60" s="18" t="e">
        <f ca="1">IF(U60=$P55,$AF$2,"")</f>
        <v>#NAME?</v>
      </c>
      <c r="Q60" s="45" t="s">
        <v>71</v>
      </c>
      <c r="R60" s="42">
        <v>1500</v>
      </c>
      <c r="S60" s="42">
        <v>3000</v>
      </c>
      <c r="T60" s="42">
        <f>IF(Q60="","",(INT((R60/($R49+$R52)))*INT(((S60-$U52)/($S49+$S52)))))</f>
        <v>189</v>
      </c>
      <c r="U60" s="46" t="e">
        <f ca="1">IF(OR(T60=0,T60=""),"",CALCULPOIDS(R60,S60,T49,V49)/T60)</f>
        <v>#NAME?</v>
      </c>
      <c r="V60" s="47">
        <f>IF(Q60="","",(($R60*$S60)-(R49*S49*$T60))/($R60*$S60))</f>
        <v>0.16</v>
      </c>
      <c r="W60" s="42" t="e">
        <f ca="1">CALCUL_FORMATIDEAL(R60,0,R49,R52)</f>
        <v>#NAME?</v>
      </c>
      <c r="X60" s="42" t="e">
        <f ca="1">CALCUL_FORMATIDEAL(S60,U52,S49,S52)</f>
        <v>#NAME?</v>
      </c>
      <c r="Y60" s="42" t="e">
        <f ca="1">CALCULPOIDS(W60,X60,T49,V49)</f>
        <v>#NAME?</v>
      </c>
      <c r="Z60" s="43" t="e">
        <f ca="1">CALCULPOIDS(R60,S60,T49,V49)</f>
        <v>#NAME?</v>
      </c>
    </row>
    <row r="61" spans="1:26" ht="16.5" x14ac:dyDescent="0.25">
      <c r="B61" s="487"/>
      <c r="C61" s="487"/>
      <c r="D61" s="487"/>
      <c r="E61" s="487"/>
      <c r="F61" s="487"/>
      <c r="G61" s="487"/>
      <c r="H61" s="487"/>
      <c r="I61" s="487"/>
      <c r="J61" s="487"/>
      <c r="K61" s="487"/>
      <c r="L61" s="487"/>
      <c r="M61" s="149"/>
      <c r="N61" s="150"/>
      <c r="P61" s="18"/>
      <c r="Q61" s="477"/>
      <c r="R61" s="477"/>
      <c r="S61" s="477"/>
      <c r="T61" s="477" t="str">
        <f>IF(Q61="","",(INT((R61/($R50:R50+$R53:R53)))*INT(((S61-$U53:U53)/($S50:S50+$S53:S53)))))</f>
        <v/>
      </c>
      <c r="U61" s="477" t="str">
        <f>IF(OR(T61=0,T61=""),"",CALCULPOIDS(R61,S61,$T$3,V54)/T61)</f>
        <v/>
      </c>
      <c r="V61" s="47"/>
      <c r="W61" s="42"/>
      <c r="X61" s="42"/>
      <c r="Y61" s="42"/>
      <c r="Z61" s="43"/>
    </row>
    <row r="62" spans="1:26" ht="16.5" x14ac:dyDescent="0.25">
      <c r="B62" s="487"/>
      <c r="C62" s="487"/>
      <c r="D62" s="487"/>
      <c r="E62" s="487"/>
      <c r="F62" s="487"/>
      <c r="G62" s="487"/>
      <c r="H62" s="487"/>
      <c r="I62" s="487"/>
      <c r="J62" s="487"/>
      <c r="K62" s="487"/>
      <c r="L62" s="487"/>
      <c r="M62" s="151"/>
      <c r="N62" s="152"/>
      <c r="P62" s="18" t="e">
        <f ca="1">IF(U62=$P55,$AF$2,"")</f>
        <v>#NAME?</v>
      </c>
      <c r="Q62" s="45" t="s">
        <v>71</v>
      </c>
      <c r="R62" s="42">
        <v>2500</v>
      </c>
      <c r="S62" s="42">
        <v>1250</v>
      </c>
      <c r="T62" s="42">
        <f>IF(Q62="","",(INT((R62/($R49+$R52)))*INT(((S62-$U52)/($S49+$S52)))))</f>
        <v>121</v>
      </c>
      <c r="U62" s="46" t="e">
        <f ca="1">IF(OR(T62=0,T62=""),"",CALCULPOIDS(R62,S62,T49,V49)/T62)</f>
        <v>#NAME?</v>
      </c>
      <c r="V62" s="47">
        <f>IF(Q62="","",(($R62*$S62)-(R49*S49*$T62))/($R62*$S62))</f>
        <v>0.22559999999999999</v>
      </c>
      <c r="W62" s="42" t="e">
        <f ca="1">CALCUL_FORMATIDEAL(R62,0,R49,R52)</f>
        <v>#NAME?</v>
      </c>
      <c r="X62" s="42" t="e">
        <f ca="1">CALCUL_FORMATIDEAL(S62,U52,S49,S52)</f>
        <v>#NAME?</v>
      </c>
      <c r="Y62" s="42" t="e">
        <f ca="1">CALCULPOIDS(W62,X62,T49,V49)</f>
        <v>#NAME?</v>
      </c>
      <c r="Z62" s="43" t="e">
        <f ca="1">CALCULPOIDS(R62,S62,T49,V49)</f>
        <v>#NAME?</v>
      </c>
    </row>
    <row r="63" spans="1:26" ht="16.5" x14ac:dyDescent="0.25">
      <c r="N63" s="423" t="s">
        <v>148</v>
      </c>
      <c r="O63" s="423"/>
      <c r="P63" s="18" t="e">
        <f ca="1">IF(U63=$P55,$AF$2,"")</f>
        <v>#NAME?</v>
      </c>
      <c r="Q63" s="45" t="s">
        <v>71</v>
      </c>
      <c r="R63" s="42">
        <v>1250</v>
      </c>
      <c r="S63" s="42">
        <v>2500</v>
      </c>
      <c r="T63" s="42">
        <f>IF(Q63="","",(INT((R63/($R49+$R52)))*INT(((S63-$U52)/($S49+$S52)))))</f>
        <v>110</v>
      </c>
      <c r="U63" s="46" t="e">
        <f ca="1">IF(OR(T63=0,T63=""),"",CALCULPOIDS(R63,S63,T49,V49)/T63)</f>
        <v>#NAME?</v>
      </c>
      <c r="V63" s="47">
        <f>IF(Q63="","",(($R63*$S63)-(R49*S49*$T63))/($R63*$S63))</f>
        <v>0.29599999999999999</v>
      </c>
      <c r="W63" s="42" t="e">
        <f ca="1">CALCUL_FORMATIDEAL(R63,0,R49,R52)</f>
        <v>#NAME?</v>
      </c>
      <c r="X63" s="42" t="e">
        <f ca="1">CALCUL_FORMATIDEAL(S63,U52,S49,S52)</f>
        <v>#NAME?</v>
      </c>
      <c r="Y63" s="42" t="e">
        <f ca="1">CALCULPOIDS(W63,X63,T49,V49)</f>
        <v>#NAME?</v>
      </c>
      <c r="Z63" s="43" t="e">
        <f ca="1">CALCULPOIDS(R63,S63,T49,V49)</f>
        <v>#NAME?</v>
      </c>
    </row>
    <row r="64" spans="1:26" ht="16.5" x14ac:dyDescent="0.25">
      <c r="N64" s="424" t="s">
        <v>149</v>
      </c>
      <c r="O64" s="424"/>
      <c r="P64" s="18"/>
      <c r="Q64" s="477"/>
      <c r="R64" s="477"/>
      <c r="S64" s="477"/>
      <c r="T64" s="477" t="str">
        <f>IF(UPPER(Q64)="X",(INT((R64/($R$8+$R$11)))*INT(((S64-$U$11)/($S$8+$S$11)))),"")</f>
        <v/>
      </c>
      <c r="U64" s="477" t="str">
        <f>IF(OR(T64=0,T64=""),"",CALCULPOIDS(R64,S64,$T$3,V55)/T64)</f>
        <v/>
      </c>
      <c r="V64" s="47"/>
      <c r="W64" s="42"/>
      <c r="X64" s="42"/>
      <c r="Y64" s="42"/>
      <c r="Z64" s="43"/>
    </row>
    <row r="65" spans="3:26" ht="16.5" x14ac:dyDescent="0.25">
      <c r="N65" s="424" t="s">
        <v>150</v>
      </c>
      <c r="O65" s="424"/>
      <c r="P65" s="18" t="e">
        <f ca="1">IF(U65=$P55,$AF$2,"")</f>
        <v>#NAME?</v>
      </c>
      <c r="Q65" s="45" t="s">
        <v>71</v>
      </c>
      <c r="R65" s="42">
        <v>2000</v>
      </c>
      <c r="S65" s="42">
        <v>1000</v>
      </c>
      <c r="T65" s="42">
        <f>IF(Q65="","",(INT((R65/($R49+$R52)))*INT(((S65-$U52)/($S49+$S52)))))</f>
        <v>81</v>
      </c>
      <c r="U65" s="46" t="e">
        <f ca="1">IF(OR(T65=0,T65=""),"",CALCULPOIDS(R65,S65,T49,V49)/T65)</f>
        <v>#NAME?</v>
      </c>
      <c r="V65" s="47">
        <f>IF(Q65="","",(($R65*$S65)-(R49*S49*$T65))/($R65*$S65))</f>
        <v>0.19</v>
      </c>
      <c r="W65" s="42" t="e">
        <f ca="1">CALCUL_FORMATIDEAL(R65,0,R49,R52)</f>
        <v>#NAME?</v>
      </c>
      <c r="X65" s="42" t="e">
        <f ca="1">CALCUL_FORMATIDEAL(S65,U52,S49,S52)</f>
        <v>#NAME?</v>
      </c>
      <c r="Y65" s="42" t="e">
        <f ca="1">CALCULPOIDS(W65,X65,T49,V49)</f>
        <v>#NAME?</v>
      </c>
      <c r="Z65" s="43" t="e">
        <f ca="1">CALCULPOIDS(R65,S65,T49,V49)</f>
        <v>#NAME?</v>
      </c>
    </row>
    <row r="66" spans="3:26" ht="23.25" x14ac:dyDescent="0.25">
      <c r="C66" s="153" t="s">
        <v>151</v>
      </c>
      <c r="D66" s="154"/>
      <c r="E66" s="154"/>
      <c r="N66" s="424" t="s">
        <v>152</v>
      </c>
      <c r="O66" s="424"/>
      <c r="P66" s="18" t="e">
        <f ca="1">IF(U66=$P55,$AF$2,"")</f>
        <v>#NAME?</v>
      </c>
      <c r="Q66" s="45" t="s">
        <v>71</v>
      </c>
      <c r="R66" s="42">
        <v>1000</v>
      </c>
      <c r="S66" s="42">
        <v>2000</v>
      </c>
      <c r="T66" s="42">
        <f>IF(Q66="","",(INT((R66/($R49+$R52)))*INT(((S66-$U52)/($S49+$S52)))))</f>
        <v>72</v>
      </c>
      <c r="U66" s="46" t="e">
        <f ca="1">IF(OR(T66=0,T66=""),"",CALCULPOIDS(R66,S66,T49,V49)/T66)</f>
        <v>#NAME?</v>
      </c>
      <c r="V66" s="47">
        <f>IF(Q66="","",(($R66*$S66)-(R49*S49*$T66))/($R66*$S66))</f>
        <v>0.28000000000000003</v>
      </c>
      <c r="W66" s="42" t="e">
        <f ca="1">CALCUL_FORMATIDEAL(R66,0,R49,R52)</f>
        <v>#NAME?</v>
      </c>
      <c r="X66" s="42" t="e">
        <f ca="1">CALCUL_FORMATIDEAL(S66,U52,S49,S52)</f>
        <v>#NAME?</v>
      </c>
      <c r="Y66" s="42" t="e">
        <f ca="1">CALCULPOIDS(W66,X66,T49,V49)</f>
        <v>#NAME?</v>
      </c>
      <c r="Z66" s="43" t="e">
        <f ca="1">CALCULPOIDS(R66,S66,T49,V49)</f>
        <v>#NAME?</v>
      </c>
    </row>
    <row r="67" spans="3:26" ht="16.5" x14ac:dyDescent="0.25">
      <c r="C67" s="155">
        <f t="shared" ref="C67:C72" si="25">IF(K48&lt;&gt;0,(SUM($G$45,$F$46,$D$46,$I$46)/K48),0)</f>
        <v>9.8000000000000007</v>
      </c>
      <c r="D67" s="156"/>
      <c r="E67" s="157"/>
      <c r="N67" s="424" t="s">
        <v>153</v>
      </c>
      <c r="O67" s="424"/>
      <c r="P67" s="18"/>
      <c r="Q67" s="477"/>
      <c r="R67" s="477"/>
      <c r="S67" s="477"/>
      <c r="T67" s="477" t="str">
        <f>IF(UPPER(Q67)="X",(INT((R67/($R$8+$R$11)))*INT(((S67-$U$11)/($S$8+$S$11)))),"")</f>
        <v/>
      </c>
      <c r="U67" s="477" t="str">
        <f>IF(OR(T67=0,T67=""),"",CALCULPOIDS(R67,S67,$T$3,V58)/T67)</f>
        <v/>
      </c>
      <c r="V67" s="47"/>
      <c r="W67" s="42"/>
      <c r="X67" s="42"/>
      <c r="Y67" s="42"/>
      <c r="Z67" s="43"/>
    </row>
    <row r="68" spans="3:26" ht="16.5" x14ac:dyDescent="0.25">
      <c r="C68" s="155">
        <f t="shared" si="25"/>
        <v>1.9600000000000002</v>
      </c>
      <c r="D68" s="156"/>
      <c r="E68" s="157"/>
      <c r="P68" s="18" t="e">
        <f ca="1">IF(U68=$P55,$AF$2,"")</f>
        <v>#NAME?</v>
      </c>
      <c r="Q68" s="45" t="s">
        <v>71</v>
      </c>
      <c r="R68" s="24">
        <v>500</v>
      </c>
      <c r="S68" s="24">
        <v>200</v>
      </c>
      <c r="T68" s="42">
        <f>IF(Q68="","",(INT((R68/($R49+$R52)))*INT(((S68-$U52)/($S49+$S52)))))</f>
        <v>2</v>
      </c>
      <c r="U68" s="46" t="e">
        <f ca="1">IF(OR(T68=0,T68=""),"",CALCULPOIDS(R68,S68,T49,V49)/T68)</f>
        <v>#NAME?</v>
      </c>
      <c r="V68" s="47">
        <f>IF(Q68="","",(($R68*$S68)-(R49*S49*$T68))/($R68*$S68))</f>
        <v>0.6</v>
      </c>
      <c r="W68" s="42" t="e">
        <f ca="1">CALCUL_FORMATIDEAL(R68,0,R49,R52)</f>
        <v>#NAME?</v>
      </c>
      <c r="X68" s="42" t="e">
        <f ca="1">CALCUL_FORMATIDEAL(S68,0,S49,S52)</f>
        <v>#NAME?</v>
      </c>
      <c r="Y68" s="42" t="e">
        <f ca="1">CALCULPOIDS(W68,X68,T49,V49)</f>
        <v>#NAME?</v>
      </c>
      <c r="Z68" s="43" t="e">
        <f ca="1">CALCULPOIDS(R68,S68,T49,V49)</f>
        <v>#NAME?</v>
      </c>
    </row>
    <row r="69" spans="3:26" ht="16.5" x14ac:dyDescent="0.25">
      <c r="C69" s="155">
        <f t="shared" si="25"/>
        <v>0.98000000000000009</v>
      </c>
      <c r="D69" s="156"/>
      <c r="E69" s="157"/>
      <c r="P69" s="18" t="e">
        <f ca="1">IF(U69=$P55,$AF$2,"")</f>
        <v>#NAME?</v>
      </c>
      <c r="Q69" s="45" t="s">
        <v>71</v>
      </c>
      <c r="R69" s="67">
        <f>S68</f>
        <v>200</v>
      </c>
      <c r="S69" s="67">
        <f>R68</f>
        <v>500</v>
      </c>
      <c r="T69" s="42">
        <f>IF(Q69="","",(INT((R69/($R49+$R52)))*INT(((S69-$U52)/($S49+$S52)))))</f>
        <v>0</v>
      </c>
      <c r="U69" s="46" t="str">
        <f>IF(OR(T69=0,T69=""),"",CALCULPOIDS(R69,S69,T49,V49)/T69)</f>
        <v/>
      </c>
      <c r="V69" s="47">
        <f>IF(Q69="","",(($R69*$S69)-(R49*S49*$T69))/($R69*$S69))</f>
        <v>1</v>
      </c>
      <c r="W69" s="42" t="e">
        <f ca="1">CALCUL_FORMATIDEAL(R69,U52,R49,R52)</f>
        <v>#NAME?</v>
      </c>
      <c r="X69" s="42" t="e">
        <f ca="1">CALCUL_FORMATIDEAL(S69,0,S49,S52)</f>
        <v>#NAME?</v>
      </c>
      <c r="Y69" s="42" t="e">
        <f ca="1">CALCULPOIDS(W69,X69,T49,V49)</f>
        <v>#NAME?</v>
      </c>
      <c r="Z69" s="43" t="e">
        <f ca="1">CALCULPOIDS(R69,S69,T49,V49)</f>
        <v>#NAME?</v>
      </c>
    </row>
    <row r="70" spans="3:26" ht="16.5" x14ac:dyDescent="0.25">
      <c r="C70" s="155">
        <f t="shared" si="25"/>
        <v>0.49000000000000005</v>
      </c>
      <c r="D70" s="156"/>
      <c r="E70" s="157"/>
      <c r="P70" s="5"/>
      <c r="Q70" s="19"/>
      <c r="R70" s="19"/>
      <c r="S70" s="19"/>
      <c r="T70" s="77" t="str">
        <f>IF(UPPER(T74)="OXYGENE","O2","NA")</f>
        <v>O2</v>
      </c>
      <c r="U70" s="77" t="str">
        <f>CONCATENATE(LOWER(U71),"-",T75,"-",U49,"-",T73,"-",T70)</f>
        <v>bystronic3015-0-acier-1-O2</v>
      </c>
      <c r="V70" s="77"/>
      <c r="W70" s="77" t="str">
        <f>CONCATENATE(LOWER(W71),"-",T75,"-",U49,"-",T73,"-",T70)</f>
        <v>bystronic4000-0-acier-1-O2</v>
      </c>
      <c r="X70" s="77"/>
      <c r="Y70" s="77" t="str">
        <f>CONCATENATE(LOWER(Y71),"-",T75,"-",U49,"-",T73,"-",T70)</f>
        <v>amada-0-acier-1-O2</v>
      </c>
      <c r="Z70" s="77" t="str">
        <f>IF(UPPER(T74)="OXYGENE","O2","NA")</f>
        <v>O2</v>
      </c>
    </row>
    <row r="71" spans="3:26" ht="16.5" x14ac:dyDescent="0.25">
      <c r="C71" s="155">
        <f t="shared" si="25"/>
        <v>0.19600000000000001</v>
      </c>
      <c r="D71" s="156"/>
      <c r="E71" s="157"/>
      <c r="P71" s="5"/>
      <c r="Q71" s="19"/>
      <c r="R71" s="19"/>
      <c r="S71" s="19"/>
      <c r="T71" s="19"/>
      <c r="U71" s="484" t="s">
        <v>99</v>
      </c>
      <c r="V71" s="484" t="e">
        <f>#N/A</f>
        <v>#N/A</v>
      </c>
      <c r="W71" s="432" t="s">
        <v>100</v>
      </c>
      <c r="X71" s="432">
        <v>0</v>
      </c>
      <c r="Y71" s="433" t="s">
        <v>101</v>
      </c>
      <c r="Z71" s="433">
        <v>0</v>
      </c>
    </row>
    <row r="72" spans="3:26" ht="16.5" x14ac:dyDescent="0.25">
      <c r="C72" s="155">
        <f t="shared" si="25"/>
        <v>9.8000000000000004E-2</v>
      </c>
      <c r="D72" s="156"/>
      <c r="E72" s="157"/>
      <c r="P72" s="5"/>
      <c r="Q72" s="428" t="s">
        <v>103</v>
      </c>
      <c r="R72" s="428"/>
      <c r="S72" s="428"/>
      <c r="T72" s="428"/>
      <c r="U72" s="79">
        <f>IF(ISERROR(VLOOKUP(U70,TempsLaser,2,0)),"ERREUR",VLOOKUP(U70,TempsLaser,2,0))</f>
        <v>8649.9999999999982</v>
      </c>
      <c r="V72" s="80" t="s">
        <v>104</v>
      </c>
      <c r="W72" s="81" t="str">
        <f>IF(ISERROR(VLOOKUP(W70,TempsLaser,2,0)),"ERREUR",VLOOKUP(W70,TempsLaser,2,0))</f>
        <v>ERREUR</v>
      </c>
      <c r="X72" s="82"/>
      <c r="Y72" s="81">
        <f>IF(ISERROR(VLOOKUP(Y70,TempsLaser,2,0)),"ERREUR",VLOOKUP(Y70,TempsLaser,2,0))</f>
        <v>3800</v>
      </c>
      <c r="Z72" s="82" t="s">
        <v>104</v>
      </c>
    </row>
    <row r="73" spans="3:26" ht="16.5" x14ac:dyDescent="0.25">
      <c r="P73" s="5"/>
      <c r="Q73" s="83"/>
      <c r="R73" s="426" t="s">
        <v>105</v>
      </c>
      <c r="S73" s="426"/>
      <c r="T73" s="84">
        <f>IF(T49&lt;1,1,IF(T49-INT(T49)=0,T49, IF(T49-INT(T49)&lt;=0.5,0.5+INT(T49),1+INT(T49))))</f>
        <v>1</v>
      </c>
      <c r="U73" s="85">
        <f>IF(ISERROR(VLOOKUP(U70,TempsLaser,3,0)),"ERREUR",VLOOKUP(U70,TempsLaser,3,0))</f>
        <v>7100</v>
      </c>
      <c r="V73" s="86" t="s">
        <v>106</v>
      </c>
      <c r="W73" s="87" t="str">
        <f>IF(ISERROR(VLOOKUP(W70,TempsLaser,3,0)),"ERREUR",VLOOKUP(W70,TempsLaser,3,0))</f>
        <v>ERREUR</v>
      </c>
      <c r="X73" s="82"/>
      <c r="Y73" s="87">
        <f>IF(ISERROR(VLOOKUP(Y70,TempsLaser,3,0)),"ERREUR",VLOOKUP(Y70,TempsLaser,3,0))</f>
        <v>1101</v>
      </c>
      <c r="Z73" s="82" t="s">
        <v>106</v>
      </c>
    </row>
    <row r="74" spans="3:26" ht="16.5" x14ac:dyDescent="0.25">
      <c r="P74" s="5"/>
      <c r="Q74" s="83"/>
      <c r="R74" s="426" t="s">
        <v>108</v>
      </c>
      <c r="S74" s="426"/>
      <c r="T74" s="88" t="s">
        <v>109</v>
      </c>
      <c r="U74" s="85"/>
      <c r="V74" s="86"/>
      <c r="W74" s="87"/>
      <c r="X74" s="82"/>
      <c r="Y74" s="87"/>
      <c r="Z74" s="82"/>
    </row>
    <row r="75" spans="3:26" ht="16.5" x14ac:dyDescent="0.25">
      <c r="P75" s="5"/>
      <c r="Q75" s="83"/>
      <c r="R75" s="425" t="s">
        <v>110</v>
      </c>
      <c r="S75" s="425"/>
      <c r="T75" s="88">
        <v>0</v>
      </c>
      <c r="U75" s="85"/>
      <c r="V75" s="86"/>
      <c r="W75" s="87"/>
      <c r="X75" s="82"/>
      <c r="Y75" s="87"/>
      <c r="Z75" s="82"/>
    </row>
    <row r="76" spans="3:26" ht="16.5" x14ac:dyDescent="0.25">
      <c r="P76" s="5"/>
      <c r="Q76" s="83"/>
      <c r="R76" s="426" t="s">
        <v>111</v>
      </c>
      <c r="S76" s="426"/>
      <c r="T76" s="89">
        <f>(R49+S49)*2</f>
        <v>600</v>
      </c>
      <c r="U76" s="90">
        <f>(T76/U72)/60</f>
        <v>1.15606936416185E-3</v>
      </c>
      <c r="V76" s="91"/>
      <c r="W76" s="92" t="e">
        <f>(T76/W72)/60</f>
        <v>#VALUE!</v>
      </c>
      <c r="X76" s="93"/>
      <c r="Y76" s="92">
        <f>(T76/Y72)/60</f>
        <v>2.631578947368421E-3</v>
      </c>
      <c r="Z76" s="93"/>
    </row>
    <row r="77" spans="3:26" ht="16.5" x14ac:dyDescent="0.25">
      <c r="P77" s="5"/>
      <c r="Q77" s="83"/>
      <c r="R77" s="426" t="s">
        <v>112</v>
      </c>
      <c r="S77" s="426"/>
      <c r="T77" s="89">
        <v>0</v>
      </c>
      <c r="U77" s="90">
        <f>((T77*40)/U73)/60</f>
        <v>0</v>
      </c>
      <c r="V77" s="91"/>
      <c r="W77" s="92" t="e">
        <f>((T77*40)/W73)/60</f>
        <v>#VALUE!</v>
      </c>
      <c r="X77" s="93"/>
      <c r="Y77" s="92">
        <f>((T77*40)/Y73)/60</f>
        <v>0</v>
      </c>
      <c r="Z77" s="93"/>
    </row>
    <row r="78" spans="3:26" ht="16.5" x14ac:dyDescent="0.25">
      <c r="P78" s="5"/>
      <c r="Q78" s="83"/>
      <c r="R78" s="426" t="s">
        <v>113</v>
      </c>
      <c r="S78" s="426"/>
      <c r="T78" s="88">
        <f>T77+1</f>
        <v>1</v>
      </c>
      <c r="U78" s="90">
        <f>V78*T73*T78</f>
        <v>2.7E-4</v>
      </c>
      <c r="V78" s="91">
        <v>2.7E-4</v>
      </c>
      <c r="W78" s="92">
        <f>X78*T73*T78</f>
        <v>2.7E-4</v>
      </c>
      <c r="X78" s="93">
        <v>2.7E-4</v>
      </c>
      <c r="Y78" s="92">
        <f>Z78*T73*T78</f>
        <v>2.7E-4</v>
      </c>
      <c r="Z78" s="93">
        <v>2.7E-4</v>
      </c>
    </row>
    <row r="79" spans="3:26" ht="16.5" x14ac:dyDescent="0.25">
      <c r="P79" s="5"/>
      <c r="Q79" s="83"/>
      <c r="R79" s="426" t="s">
        <v>114</v>
      </c>
      <c r="S79" s="426"/>
      <c r="T79" s="88">
        <v>0</v>
      </c>
      <c r="U79" s="94">
        <v>0</v>
      </c>
      <c r="V79" s="95"/>
      <c r="W79" s="92">
        <f>X79*T79</f>
        <v>0</v>
      </c>
      <c r="X79" s="93">
        <v>2.8E-3</v>
      </c>
      <c r="Y79" s="92">
        <f>Z79*T79</f>
        <v>0</v>
      </c>
      <c r="Z79" s="93">
        <v>2.8E-3</v>
      </c>
    </row>
    <row r="80" spans="3:26" ht="16.5" x14ac:dyDescent="0.25">
      <c r="P80" s="96"/>
      <c r="Q80" s="83"/>
      <c r="R80" s="426" t="s">
        <v>115</v>
      </c>
      <c r="S80" s="426"/>
      <c r="T80" s="88">
        <v>0</v>
      </c>
      <c r="U80" s="90">
        <f>V80*T80</f>
        <v>0</v>
      </c>
      <c r="V80" s="91">
        <f>Z80</f>
        <v>4.1000000000000003E-3</v>
      </c>
      <c r="W80" s="92">
        <f>X80*T80</f>
        <v>0</v>
      </c>
      <c r="X80" s="93">
        <v>4.1000000000000003E-3</v>
      </c>
      <c r="Y80" s="92">
        <f>Z80*T80</f>
        <v>0</v>
      </c>
      <c r="Z80" s="93">
        <v>4.1000000000000003E-3</v>
      </c>
    </row>
    <row r="81" spans="16:27" ht="16.5" x14ac:dyDescent="0.25">
      <c r="P81" s="96"/>
      <c r="Q81" s="83"/>
      <c r="R81" s="426" t="s">
        <v>116</v>
      </c>
      <c r="S81" s="426"/>
      <c r="T81" s="89">
        <v>0</v>
      </c>
      <c r="U81" s="90">
        <f>((T76+T77*10)/8000)/60*IF(T81,1,0)</f>
        <v>0</v>
      </c>
      <c r="V81" s="91"/>
      <c r="W81" s="92">
        <f>((T76+T77*10)/3700)/60*IF(T81,1,0)</f>
        <v>0</v>
      </c>
      <c r="X81" s="93"/>
      <c r="Y81" s="92">
        <f>((T76+T77*10)/3700)/60*IF(T81,1,0)</f>
        <v>0</v>
      </c>
      <c r="Z81" s="93"/>
    </row>
    <row r="82" spans="16:27" ht="16.5" x14ac:dyDescent="0.25">
      <c r="P82" s="96" t="str">
        <f>Q72</f>
        <v>LASER</v>
      </c>
      <c r="Q82" s="97"/>
      <c r="R82" s="98"/>
      <c r="S82" s="98"/>
      <c r="T82" s="99" t="s">
        <v>117</v>
      </c>
      <c r="U82" s="100">
        <f>SUM(U76:U81)*1.3</f>
        <v>1.8538901734104051E-3</v>
      </c>
      <c r="V82" s="101"/>
      <c r="W82" s="102" t="e">
        <f>SUM(W76:W81)*1.2</f>
        <v>#VALUE!</v>
      </c>
      <c r="X82" s="93"/>
      <c r="Y82" s="103">
        <f>SUM(Y76:Y81)*1.2</f>
        <v>3.4818947368421048E-3</v>
      </c>
      <c r="Z82" s="93"/>
    </row>
    <row r="83" spans="16:27" ht="16.5" x14ac:dyDescent="0.25">
      <c r="P83" s="96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6:27" ht="16.5" x14ac:dyDescent="0.25">
      <c r="P84" s="96"/>
      <c r="Q84" s="428" t="s">
        <v>118</v>
      </c>
      <c r="R84" s="428"/>
      <c r="S84" s="428"/>
      <c r="T84" s="428"/>
      <c r="U84" s="428"/>
      <c r="V84" s="428"/>
      <c r="W84" s="19"/>
      <c r="X84" s="19"/>
      <c r="Y84" s="19"/>
      <c r="Z84" s="19"/>
    </row>
    <row r="85" spans="16:27" ht="16.5" x14ac:dyDescent="0.25">
      <c r="P85" s="96"/>
      <c r="Q85" s="429" t="s">
        <v>119</v>
      </c>
      <c r="R85" s="429"/>
      <c r="S85" s="429" t="e">
        <f>#N/A</f>
        <v>#N/A</v>
      </c>
      <c r="T85" s="88">
        <v>5</v>
      </c>
      <c r="U85" s="104">
        <f>(T85/T86)*V85</f>
        <v>1.4999999999999999E-2</v>
      </c>
      <c r="V85" s="105">
        <v>3.0000000000000001E-3</v>
      </c>
      <c r="W85" s="19"/>
      <c r="X85" s="19"/>
      <c r="Y85" s="19"/>
      <c r="Z85" s="19"/>
    </row>
    <row r="86" spans="16:27" ht="16.5" x14ac:dyDescent="0.25">
      <c r="P86" s="96"/>
      <c r="Q86" s="429" t="s">
        <v>120</v>
      </c>
      <c r="R86" s="429"/>
      <c r="S86" s="429"/>
      <c r="T86" s="88">
        <v>1</v>
      </c>
      <c r="U86" s="106"/>
      <c r="V86" s="91"/>
      <c r="W86" s="19"/>
      <c r="X86" s="19"/>
      <c r="Y86" s="19"/>
      <c r="Z86" s="19"/>
    </row>
    <row r="87" spans="16:27" ht="16.5" x14ac:dyDescent="0.25">
      <c r="P87" s="96"/>
      <c r="Q87" s="429" t="s">
        <v>121</v>
      </c>
      <c r="R87" s="429"/>
      <c r="S87" s="429"/>
      <c r="T87" s="88">
        <f>(R49*2+S49*2)/50+50</f>
        <v>62</v>
      </c>
      <c r="U87" s="106">
        <f>T87*V87</f>
        <v>8.6800000000000002E-3</v>
      </c>
      <c r="V87" s="37">
        <v>1.4000000000000001E-4</v>
      </c>
      <c r="W87" s="19"/>
      <c r="X87" s="19"/>
      <c r="Y87" s="19"/>
      <c r="Z87" s="19"/>
    </row>
    <row r="88" spans="16:27" ht="16.5" x14ac:dyDescent="0.25">
      <c r="P88" s="96"/>
      <c r="Q88" s="429" t="s">
        <v>122</v>
      </c>
      <c r="R88" s="429"/>
      <c r="S88" s="429"/>
      <c r="T88" s="88">
        <v>0</v>
      </c>
      <c r="U88" s="106">
        <f>T88*V88</f>
        <v>0</v>
      </c>
      <c r="V88" s="37">
        <v>8.0000000000000004E-4</v>
      </c>
      <c r="W88" s="19"/>
      <c r="X88" s="19"/>
      <c r="Y88" s="19"/>
      <c r="Z88" s="19"/>
    </row>
    <row r="89" spans="16:27" ht="16.5" x14ac:dyDescent="0.25">
      <c r="P89" s="96"/>
      <c r="Q89" s="429" t="s">
        <v>123</v>
      </c>
      <c r="R89" s="429"/>
      <c r="S89" s="429"/>
      <c r="T89" s="88">
        <v>0</v>
      </c>
      <c r="U89" s="106">
        <f>T89*V89</f>
        <v>0</v>
      </c>
      <c r="V89" s="91">
        <v>8.0000000000000004E-4</v>
      </c>
      <c r="W89" s="19"/>
      <c r="X89" s="19"/>
      <c r="Y89" s="19"/>
      <c r="Z89" s="19"/>
    </row>
    <row r="90" spans="16:27" ht="16.5" x14ac:dyDescent="0.25">
      <c r="P90" s="96"/>
      <c r="Q90" s="427" t="s">
        <v>124</v>
      </c>
      <c r="R90" s="427"/>
      <c r="S90" s="427"/>
      <c r="T90" s="88">
        <v>1</v>
      </c>
      <c r="U90" s="106">
        <f>T90*V90</f>
        <v>5.0000000000000001E-3</v>
      </c>
      <c r="V90" s="91">
        <v>5.0000000000000001E-3</v>
      </c>
      <c r="W90" s="19"/>
      <c r="X90" s="19"/>
      <c r="Y90" s="19"/>
      <c r="Z90" s="19"/>
    </row>
    <row r="91" spans="16:27" ht="16.5" x14ac:dyDescent="0.25">
      <c r="P91" s="96"/>
      <c r="Q91" s="427" t="s">
        <v>125</v>
      </c>
      <c r="R91" s="427"/>
      <c r="S91" s="427"/>
      <c r="T91" s="88">
        <v>1</v>
      </c>
      <c r="U91" s="115">
        <f>V91*(T91/T86)</f>
        <v>7.0000000000000001E-3</v>
      </c>
      <c r="V91" s="91">
        <v>7.0000000000000001E-3</v>
      </c>
      <c r="W91" s="19"/>
      <c r="X91" s="19"/>
      <c r="Y91" s="19"/>
      <c r="Z91" s="19"/>
    </row>
    <row r="92" spans="16:27" ht="16.5" x14ac:dyDescent="0.25">
      <c r="P92" s="96" t="str">
        <f>Q84</f>
        <v>Poinconnage</v>
      </c>
      <c r="Q92" s="97"/>
      <c r="R92" s="98" t="s">
        <v>129</v>
      </c>
      <c r="S92" s="122">
        <f>SUM(0.2,PRODUCT(0.08,T85))</f>
        <v>0.60000000000000009</v>
      </c>
      <c r="T92" s="99" t="s">
        <v>117</v>
      </c>
      <c r="U92" s="100">
        <f>SUM(U85:U91)*1.3</f>
        <v>4.6384000000000009E-2</v>
      </c>
      <c r="V92" s="123">
        <f>PRODUCT(U92,3600)</f>
        <v>166.98240000000004</v>
      </c>
      <c r="W92" s="19"/>
      <c r="X92" s="19"/>
      <c r="Y92" s="19"/>
      <c r="Z92" s="19"/>
    </row>
    <row r="93" spans="16:27" ht="16.5" x14ac:dyDescent="0.25">
      <c r="P93" s="131"/>
      <c r="Q93" s="132"/>
      <c r="R93" s="132"/>
      <c r="S93" s="132"/>
      <c r="T93" s="132"/>
      <c r="U93" s="132"/>
      <c r="V93" s="132"/>
      <c r="W93" s="132"/>
      <c r="X93" s="132"/>
      <c r="Y93" s="132"/>
      <c r="Z93" s="132"/>
    </row>
    <row r="94" spans="16:27" x14ac:dyDescent="0.2">
      <c r="P94" s="9" t="str">
        <f>CHAR(64+INT(ROW()/45)+1)</f>
        <v>C</v>
      </c>
      <c r="R94" s="143" t="s">
        <v>45</v>
      </c>
      <c r="S94" s="143" t="s">
        <v>141</v>
      </c>
      <c r="T94" s="143" t="s">
        <v>142</v>
      </c>
      <c r="U94" s="143" t="s">
        <v>8</v>
      </c>
      <c r="V94" s="10"/>
      <c r="W94" s="2" t="s">
        <v>9</v>
      </c>
      <c r="X94" s="2" t="s">
        <v>10</v>
      </c>
      <c r="AA94" s="5">
        <v>1</v>
      </c>
    </row>
    <row r="95" spans="16:27" ht="16.5" x14ac:dyDescent="0.25">
      <c r="P95" s="18"/>
      <c r="Q95" s="19"/>
      <c r="R95" s="34">
        <v>200</v>
      </c>
      <c r="S95" s="34">
        <v>100</v>
      </c>
      <c r="T95" s="34">
        <v>1</v>
      </c>
      <c r="U95" s="34" t="s">
        <v>23</v>
      </c>
      <c r="V95" s="20">
        <f>VLOOKUP(U95,DensiteMatiere,2,0)</f>
        <v>7.8</v>
      </c>
      <c r="W95" s="19">
        <f>(R95*S95*T95*V95)/1000000</f>
        <v>0.156</v>
      </c>
      <c r="X95" s="19">
        <f>R95*S95*2/1000000</f>
        <v>0.04</v>
      </c>
      <c r="Y95" s="19"/>
      <c r="Z95" s="19"/>
    </row>
    <row r="96" spans="16:27" ht="16.5" x14ac:dyDescent="0.25">
      <c r="P96" s="18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6:26" ht="16.5" x14ac:dyDescent="0.25">
      <c r="P97" s="18"/>
      <c r="Q97" s="19"/>
      <c r="R97" s="468" t="s">
        <v>143</v>
      </c>
      <c r="S97" s="468"/>
      <c r="T97" s="19"/>
      <c r="U97" s="29" t="s">
        <v>26</v>
      </c>
      <c r="V97" s="19"/>
      <c r="W97" s="19"/>
      <c r="X97" s="19"/>
      <c r="Y97" s="19"/>
      <c r="Z97" s="19"/>
    </row>
    <row r="98" spans="16:26" ht="16.5" x14ac:dyDescent="0.25">
      <c r="P98" s="18"/>
      <c r="Q98" s="19"/>
      <c r="R98" s="34">
        <v>10</v>
      </c>
      <c r="S98" s="34">
        <v>10</v>
      </c>
      <c r="T98" s="35"/>
      <c r="U98" s="34">
        <v>0</v>
      </c>
      <c r="V98" s="19"/>
      <c r="W98" s="19"/>
      <c r="X98" s="19"/>
      <c r="Y98" s="19"/>
      <c r="Z98" s="19"/>
    </row>
    <row r="99" spans="16:26" ht="16.5" x14ac:dyDescent="0.25"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6:26" ht="16.5" x14ac:dyDescent="0.25">
      <c r="Q100" s="480" t="s">
        <v>37</v>
      </c>
      <c r="R100" s="480"/>
      <c r="S100" s="480"/>
      <c r="T100" s="19"/>
      <c r="U100" s="19"/>
      <c r="V100" s="19"/>
      <c r="W100" s="477" t="s">
        <v>38</v>
      </c>
      <c r="X100" s="477"/>
      <c r="Y100" s="477"/>
      <c r="Z100" s="43" t="s">
        <v>39</v>
      </c>
    </row>
    <row r="101" spans="16:26" ht="16.5" x14ac:dyDescent="0.25">
      <c r="P101" s="44" t="e">
        <f ca="1">MIN(U102,U103,U105,U106,U108,U109,U111,U112,U114,U115)</f>
        <v>#NAME?</v>
      </c>
      <c r="Q101" s="29" t="s">
        <v>44</v>
      </c>
      <c r="R101" s="29" t="s">
        <v>45</v>
      </c>
      <c r="S101" s="29" t="s">
        <v>46</v>
      </c>
      <c r="T101" s="29" t="s">
        <v>47</v>
      </c>
      <c r="U101" s="29" t="s">
        <v>48</v>
      </c>
      <c r="V101" s="29" t="s">
        <v>49</v>
      </c>
      <c r="W101" s="42" t="s">
        <v>50</v>
      </c>
      <c r="X101" s="42" t="s">
        <v>46</v>
      </c>
      <c r="Y101" s="42" t="s">
        <v>9</v>
      </c>
      <c r="Z101" s="43"/>
    </row>
    <row r="102" spans="16:26" ht="16.5" x14ac:dyDescent="0.25">
      <c r="P102" s="18" t="e">
        <f ca="1">IF(U102=$P101,$AF$2,"")</f>
        <v>#NAME?</v>
      </c>
      <c r="Q102" s="45"/>
      <c r="R102" s="42">
        <v>4000</v>
      </c>
      <c r="S102" s="42">
        <v>2000</v>
      </c>
      <c r="T102" s="42" t="str">
        <f>IF(Q102="","",(INT((R102/($R95+$R98)))*INT(((S102-$U98)/($S95+$S98)))))</f>
        <v/>
      </c>
      <c r="U102" s="46" t="str">
        <f>IF(OR(T102=0,T102=""),"",CALCULPOIDS(R102,S102,T95,V95)/T102)</f>
        <v/>
      </c>
      <c r="V102" s="47" t="str">
        <f>IF(Q102="","",(($R102*$S102)-(R95*S95*$T102))/($R102*$S102))</f>
        <v/>
      </c>
      <c r="W102" s="42" t="e">
        <f ca="1">CALCUL_FORMATIDEAL(R102,0,R95,R98)</f>
        <v>#NAME?</v>
      </c>
      <c r="X102" s="42" t="e">
        <f ca="1">CALCUL_FORMATIDEAL(S102,U98,S95,S98)</f>
        <v>#NAME?</v>
      </c>
      <c r="Y102" s="42" t="e">
        <f ca="1">CALCULPOIDS(W102,X102,T95,V95)</f>
        <v>#NAME?</v>
      </c>
      <c r="Z102" s="43" t="e">
        <f ca="1">CALCULPOIDS(R102,S102,T95,V95)</f>
        <v>#NAME?</v>
      </c>
    </row>
    <row r="103" spans="16:26" ht="16.5" x14ac:dyDescent="0.25">
      <c r="P103" s="18" t="e">
        <f ca="1">IF(U103=$P101,$AF$2,"")</f>
        <v>#NAME?</v>
      </c>
      <c r="Q103" s="45"/>
      <c r="R103" s="42">
        <v>2000</v>
      </c>
      <c r="S103" s="42">
        <v>4000</v>
      </c>
      <c r="T103" s="42" t="str">
        <f>IF(Q103="","",(INT((R103/($R95+$R98)))*INT(((S103-$U98)/($S95+$S98)))))</f>
        <v/>
      </c>
      <c r="U103" s="46" t="str">
        <f>IF(OR(T103=0,T103=""),"",CALCULPOIDS(R103,S103,T95,V95)/T103)</f>
        <v/>
      </c>
      <c r="V103" s="47" t="str">
        <f>IF(Q103="","",(($R103*$S103)-(R95*S95*$T103))/($R103*$S103))</f>
        <v/>
      </c>
      <c r="W103" s="42" t="e">
        <f ca="1">CALCUL_FORMATIDEAL(R103,0,R95,R98)</f>
        <v>#NAME?</v>
      </c>
      <c r="X103" s="42" t="e">
        <f ca="1">CALCUL_FORMATIDEAL(S103,U98,S95,S98)</f>
        <v>#NAME?</v>
      </c>
      <c r="Y103" s="42" t="e">
        <f ca="1">CALCULPOIDS(W103,X103,T95,V95)</f>
        <v>#NAME?</v>
      </c>
      <c r="Z103" s="43" t="e">
        <f ca="1">CALCULPOIDS(R103,S103,T95,V95)</f>
        <v>#NAME?</v>
      </c>
    </row>
    <row r="104" spans="16:26" ht="16.5" x14ac:dyDescent="0.25">
      <c r="P104" s="18"/>
      <c r="Q104" s="477"/>
      <c r="R104" s="477"/>
      <c r="S104" s="477"/>
      <c r="T104" s="477" t="str">
        <f>IF(UPPER(Q104)="X",(INT((R104/($R$8+$R$11)))*INT(((S104-$U$11)/($S$8+$S$11)))),"")</f>
        <v/>
      </c>
      <c r="U104" s="477" t="str">
        <f>IF(OR(T104=0,T104=""),"",CALCULPOIDS(R104,S104,$T$3,V97)/T104)</f>
        <v/>
      </c>
      <c r="V104" s="47"/>
      <c r="W104" s="42"/>
      <c r="X104" s="42"/>
      <c r="Y104" s="42"/>
      <c r="Z104" s="43"/>
    </row>
    <row r="105" spans="16:26" ht="16.5" x14ac:dyDescent="0.25">
      <c r="P105" s="18" t="e">
        <f ca="1">IF(U105=$P101,$AF$2,"")</f>
        <v>#NAME?</v>
      </c>
      <c r="Q105" s="45" t="s">
        <v>71</v>
      </c>
      <c r="R105" s="42">
        <v>3000</v>
      </c>
      <c r="S105" s="42">
        <v>1500</v>
      </c>
      <c r="T105" s="42">
        <f>IF(Q105="","",(INT((R105/($R95:R95+$R98)))*INT(((S105-$U98)/($S95+$S98)))))</f>
        <v>182</v>
      </c>
      <c r="U105" s="46" t="e">
        <f ca="1">IF(OR(T105=0,T105=""),"",CALCULPOIDS(R105,S105,T95,V95)/T105)</f>
        <v>#NAME?</v>
      </c>
      <c r="V105" s="47">
        <f>IF(Q105="","",(($R105:R105*$S105)-(R95*S95*$T105))/($R105*$S105))</f>
        <v>0.19111111111111112</v>
      </c>
      <c r="W105" s="42" t="e">
        <f ca="1">CALCUL_FORMATIDEAL(R105,0,R95,R98)</f>
        <v>#NAME?</v>
      </c>
      <c r="X105" s="42" t="e">
        <f ca="1">CALCUL_FORMATIDEAL(S105,U98,S95,S98)</f>
        <v>#NAME?</v>
      </c>
      <c r="Y105" s="42" t="e">
        <f ca="1">CALCULPOIDS(W105,X105,T95,V95)</f>
        <v>#NAME?</v>
      </c>
      <c r="Z105" s="43" t="e">
        <f ca="1">CALCULPOIDS(R105,S105,T95,V95)</f>
        <v>#NAME?</v>
      </c>
    </row>
    <row r="106" spans="16:26" ht="16.5" x14ac:dyDescent="0.25">
      <c r="P106" s="18" t="e">
        <f ca="1">IF(U106=$P101,$AF$2,"")</f>
        <v>#NAME?</v>
      </c>
      <c r="Q106" s="45" t="s">
        <v>71</v>
      </c>
      <c r="R106" s="42">
        <v>1500</v>
      </c>
      <c r="S106" s="42">
        <v>3000</v>
      </c>
      <c r="T106" s="42">
        <f>IF(Q106="","",(INT((R106/($R95+$R98)))*INT(((S106-$U98)/($S95+$S98)))))</f>
        <v>189</v>
      </c>
      <c r="U106" s="46" t="e">
        <f ca="1">IF(OR(T106=0,T106=""),"",CALCULPOIDS(R106,S106,T95,V95)/T106)</f>
        <v>#NAME?</v>
      </c>
      <c r="V106" s="47">
        <f>IF(Q106="","",(($R106*$S106)-(R95*S95*$T106))/($R106*$S106))</f>
        <v>0.16</v>
      </c>
      <c r="W106" s="42" t="e">
        <f ca="1">CALCUL_FORMATIDEAL(R106,0,R95,R98)</f>
        <v>#NAME?</v>
      </c>
      <c r="X106" s="42" t="e">
        <f ca="1">CALCUL_FORMATIDEAL(S106,U98,S95,S98)</f>
        <v>#NAME?</v>
      </c>
      <c r="Y106" s="42" t="e">
        <f ca="1">CALCULPOIDS(W106,X106,T95,V95)</f>
        <v>#NAME?</v>
      </c>
      <c r="Z106" s="43" t="e">
        <f ca="1">CALCULPOIDS(R106,S106,T95,V95)</f>
        <v>#NAME?</v>
      </c>
    </row>
    <row r="107" spans="16:26" ht="16.5" x14ac:dyDescent="0.25">
      <c r="P107" s="18"/>
      <c r="Q107" s="477"/>
      <c r="R107" s="477"/>
      <c r="S107" s="477"/>
      <c r="T107" s="477" t="str">
        <f>IF(Q107="","",(INT((R107/($R96:R96+$R99:R99)))*INT(((S107-$U99:U99)/($S96:S96+$S99:S99)))))</f>
        <v/>
      </c>
      <c r="U107" s="477" t="str">
        <f>IF(OR(T107=0,T107=""),"",CALCULPOIDS(R107,S107,$T$3,V100)/T107)</f>
        <v/>
      </c>
      <c r="V107" s="47"/>
      <c r="W107" s="42"/>
      <c r="X107" s="42"/>
      <c r="Y107" s="42"/>
      <c r="Z107" s="43"/>
    </row>
    <row r="108" spans="16:26" ht="16.5" x14ac:dyDescent="0.25">
      <c r="P108" s="18" t="e">
        <f ca="1">IF(U108=$P101,$AF$2,"")</f>
        <v>#NAME?</v>
      </c>
      <c r="Q108" s="45" t="s">
        <v>71</v>
      </c>
      <c r="R108" s="42">
        <v>2500</v>
      </c>
      <c r="S108" s="42">
        <v>1250</v>
      </c>
      <c r="T108" s="42">
        <f>IF(Q108="","",(INT((R108/($R95+$R98)))*INT(((S108-$U98)/($S95+$S98)))))</f>
        <v>121</v>
      </c>
      <c r="U108" s="46" t="e">
        <f ca="1">IF(OR(T108=0,T108=""),"",CALCULPOIDS(R108,S108,T95,V95)/T108)</f>
        <v>#NAME?</v>
      </c>
      <c r="V108" s="47">
        <f>IF(Q108="","",(($R108*$S108)-(R95*S95*$T108))/($R108*$S108))</f>
        <v>0.22559999999999999</v>
      </c>
      <c r="W108" s="42" t="e">
        <f ca="1">CALCUL_FORMATIDEAL(R108,0,R95,R98)</f>
        <v>#NAME?</v>
      </c>
      <c r="X108" s="42" t="e">
        <f ca="1">CALCUL_FORMATIDEAL(S108,U98,S95,S98)</f>
        <v>#NAME?</v>
      </c>
      <c r="Y108" s="42" t="e">
        <f ca="1">CALCULPOIDS(W108,X108,T95,V95)</f>
        <v>#NAME?</v>
      </c>
      <c r="Z108" s="43" t="e">
        <f ca="1">CALCULPOIDS(R108,S108,T95,V95)</f>
        <v>#NAME?</v>
      </c>
    </row>
    <row r="109" spans="16:26" ht="16.5" x14ac:dyDescent="0.25">
      <c r="P109" s="18" t="e">
        <f ca="1">IF(U109=$P101,$AF$2,"")</f>
        <v>#NAME?</v>
      </c>
      <c r="Q109" s="45" t="s">
        <v>71</v>
      </c>
      <c r="R109" s="42">
        <v>1250</v>
      </c>
      <c r="S109" s="42">
        <v>2500</v>
      </c>
      <c r="T109" s="42">
        <f>IF(Q109="","",(INT((R109/($R95+$R98)))*INT(((S109-$U98)/($S95+$S98)))))</f>
        <v>110</v>
      </c>
      <c r="U109" s="46" t="e">
        <f ca="1">IF(OR(T109=0,T109=""),"",CALCULPOIDS(R109,S109,T95,V95)/T109)</f>
        <v>#NAME?</v>
      </c>
      <c r="V109" s="47">
        <f>IF(Q109="","",(($R109*$S109)-(R95*S95*$T109))/($R109*$S109))</f>
        <v>0.29599999999999999</v>
      </c>
      <c r="W109" s="42" t="e">
        <f ca="1">CALCUL_FORMATIDEAL(R109,0,R95,R98)</f>
        <v>#NAME?</v>
      </c>
      <c r="X109" s="42" t="e">
        <f ca="1">CALCUL_FORMATIDEAL(S109,U98,S95,S98)</f>
        <v>#NAME?</v>
      </c>
      <c r="Y109" s="42" t="e">
        <f ca="1">CALCULPOIDS(W109,X109,T95,V95)</f>
        <v>#NAME?</v>
      </c>
      <c r="Z109" s="43" t="e">
        <f ca="1">CALCULPOIDS(R109,S109,T95,V95)</f>
        <v>#NAME?</v>
      </c>
    </row>
    <row r="110" spans="16:26" ht="16.5" x14ac:dyDescent="0.25">
      <c r="P110" s="18"/>
      <c r="Q110" s="477"/>
      <c r="R110" s="477"/>
      <c r="S110" s="477"/>
      <c r="T110" s="477" t="str">
        <f>IF(UPPER(Q110)="X",(INT((R110/($R$8+$R$11)))*INT(((S110-$U$11)/($S$8+$S$11)))),"")</f>
        <v/>
      </c>
      <c r="U110" s="477" t="str">
        <f>IF(OR(T110=0,T110=""),"",CALCULPOIDS(R110,S110,$T$3,V101)/T110)</f>
        <v/>
      </c>
      <c r="V110" s="47"/>
      <c r="W110" s="42"/>
      <c r="X110" s="42"/>
      <c r="Y110" s="42"/>
      <c r="Z110" s="43"/>
    </row>
    <row r="111" spans="16:26" ht="16.5" x14ac:dyDescent="0.25">
      <c r="P111" s="18" t="e">
        <f ca="1">IF(U111=$P101,$AF$2,"")</f>
        <v>#NAME?</v>
      </c>
      <c r="Q111" s="45" t="s">
        <v>71</v>
      </c>
      <c r="R111" s="42">
        <v>2000</v>
      </c>
      <c r="S111" s="42">
        <v>1000</v>
      </c>
      <c r="T111" s="42">
        <f>IF(Q111="","",(INT((R111/($R95+$R98)))*INT(((S111-$U98)/($S95+$S98)))))</f>
        <v>81</v>
      </c>
      <c r="U111" s="46" t="e">
        <f ca="1">IF(OR(T111=0,T111=""),"",CALCULPOIDS(R111,S111,T95,V95)/T111)</f>
        <v>#NAME?</v>
      </c>
      <c r="V111" s="47">
        <f>IF(Q111="","",(($R111*$S111)-(R95*S95*$T111))/($R111*$S111))</f>
        <v>0.19</v>
      </c>
      <c r="W111" s="42" t="e">
        <f ca="1">CALCUL_FORMATIDEAL(R111,0,R95,R98)</f>
        <v>#NAME?</v>
      </c>
      <c r="X111" s="42" t="e">
        <f ca="1">CALCUL_FORMATIDEAL(S111,U98,S95,S98)</f>
        <v>#NAME?</v>
      </c>
      <c r="Y111" s="42" t="e">
        <f ca="1">CALCULPOIDS(W111,X111,T95,V95)</f>
        <v>#NAME?</v>
      </c>
      <c r="Z111" s="43" t="e">
        <f ca="1">CALCULPOIDS(R111,S111,T95,V95)</f>
        <v>#NAME?</v>
      </c>
    </row>
    <row r="112" spans="16:26" ht="16.5" x14ac:dyDescent="0.25">
      <c r="P112" s="18" t="e">
        <f ca="1">IF(U112=$P101,$AF$2,"")</f>
        <v>#NAME?</v>
      </c>
      <c r="Q112" s="45" t="s">
        <v>71</v>
      </c>
      <c r="R112" s="42">
        <v>1000</v>
      </c>
      <c r="S112" s="42">
        <v>2000</v>
      </c>
      <c r="T112" s="42">
        <f>IF(Q112="","",(INT((R112/($R95+$R98)))*INT(((S112-$U98)/($S95+$S98)))))</f>
        <v>72</v>
      </c>
      <c r="U112" s="46" t="e">
        <f ca="1">IF(OR(T112=0,T112=""),"",CALCULPOIDS(R112,S112,T95,V95)/T112)</f>
        <v>#NAME?</v>
      </c>
      <c r="V112" s="47">
        <f>IF(Q112="","",(($R112*$S112)-(R95*S95*$T112))/($R112*$S112))</f>
        <v>0.28000000000000003</v>
      </c>
      <c r="W112" s="42" t="e">
        <f ca="1">CALCUL_FORMATIDEAL(R112,0,R95,R98)</f>
        <v>#NAME?</v>
      </c>
      <c r="X112" s="42" t="e">
        <f ca="1">CALCUL_FORMATIDEAL(S112,U98,S95,S98)</f>
        <v>#NAME?</v>
      </c>
      <c r="Y112" s="42" t="e">
        <f ca="1">CALCULPOIDS(W112,X112,T95,V95)</f>
        <v>#NAME?</v>
      </c>
      <c r="Z112" s="43" t="e">
        <f ca="1">CALCULPOIDS(R112,S112,T95,V95)</f>
        <v>#NAME?</v>
      </c>
    </row>
    <row r="113" spans="16:26" ht="16.5" x14ac:dyDescent="0.25">
      <c r="P113" s="18"/>
      <c r="Q113" s="477"/>
      <c r="R113" s="477"/>
      <c r="S113" s="477"/>
      <c r="T113" s="477" t="str">
        <f>IF(UPPER(Q113)="X",(INT((R113/($R$8+$R$11)))*INT(((S113-$U$11)/($S$8+$S$11)))),"")</f>
        <v/>
      </c>
      <c r="U113" s="477" t="str">
        <f>IF(OR(T113=0,T113=""),"",CALCULPOIDS(R113,S113,$T$3,V104)/T113)</f>
        <v/>
      </c>
      <c r="V113" s="47"/>
      <c r="W113" s="42"/>
      <c r="X113" s="42"/>
      <c r="Y113" s="42"/>
      <c r="Z113" s="43"/>
    </row>
    <row r="114" spans="16:26" ht="16.5" x14ac:dyDescent="0.25">
      <c r="P114" s="18" t="e">
        <f ca="1">IF(U114=$P101,$AF$2,"")</f>
        <v>#NAME?</v>
      </c>
      <c r="Q114" s="45" t="s">
        <v>71</v>
      </c>
      <c r="R114" s="24">
        <v>500</v>
      </c>
      <c r="S114" s="24">
        <v>200</v>
      </c>
      <c r="T114" s="42">
        <f>IF(Q114="","",(INT((R114/($R95+$R98)))*INT(((S114-$U98)/($S95+$S98)))))</f>
        <v>2</v>
      </c>
      <c r="U114" s="46" t="e">
        <f ca="1">IF(OR(T114=0,T114=""),"",CALCULPOIDS(R114,S114,T95,V95)/T114)</f>
        <v>#NAME?</v>
      </c>
      <c r="V114" s="47">
        <f>IF(Q114="","",(($R114*$S114)-(R95*S95*$T114))/($R114*$S114))</f>
        <v>0.6</v>
      </c>
      <c r="W114" s="42" t="e">
        <f ca="1">CALCUL_FORMATIDEAL(R114,0,R95,R98)</f>
        <v>#NAME?</v>
      </c>
      <c r="X114" s="42" t="e">
        <f ca="1">CALCUL_FORMATIDEAL(S114,0,S95,S98)</f>
        <v>#NAME?</v>
      </c>
      <c r="Y114" s="42" t="e">
        <f ca="1">CALCULPOIDS(W114,X114,T95,V95)</f>
        <v>#NAME?</v>
      </c>
      <c r="Z114" s="43" t="e">
        <f ca="1">CALCULPOIDS(R114,S114,T95,V95)</f>
        <v>#NAME?</v>
      </c>
    </row>
    <row r="115" spans="16:26" ht="16.5" x14ac:dyDescent="0.25">
      <c r="P115" s="18" t="e">
        <f ca="1">IF(U115=$P101,$AF$2,"")</f>
        <v>#NAME?</v>
      </c>
      <c r="Q115" s="45" t="s">
        <v>71</v>
      </c>
      <c r="R115" s="67">
        <f>S114</f>
        <v>200</v>
      </c>
      <c r="S115" s="67">
        <f>R114</f>
        <v>500</v>
      </c>
      <c r="T115" s="42">
        <f>IF(Q115="","",(INT((R115/($R95+$R98)))*INT(((S115-$U98)/($S95+$S98)))))</f>
        <v>0</v>
      </c>
      <c r="U115" s="46" t="str">
        <f>IF(OR(T115=0,T115=""),"",CALCULPOIDS(R115,S115,T95,V95)/T115)</f>
        <v/>
      </c>
      <c r="V115" s="47">
        <f>IF(Q115="","",(($R115*$S115)-(R95*S95*$T115))/($R115*$S115))</f>
        <v>1</v>
      </c>
      <c r="W115" s="42" t="e">
        <f ca="1">CALCUL_FORMATIDEAL(R115,U98,R95,R98)</f>
        <v>#NAME?</v>
      </c>
      <c r="X115" s="42" t="e">
        <f ca="1">CALCUL_FORMATIDEAL(S115,0,S95,S98)</f>
        <v>#NAME?</v>
      </c>
      <c r="Y115" s="42" t="e">
        <f ca="1">CALCULPOIDS(W115,X115,T95,V95)</f>
        <v>#NAME?</v>
      </c>
      <c r="Z115" s="43" t="e">
        <f ca="1">CALCULPOIDS(R115,S115,T95,V95)</f>
        <v>#NAME?</v>
      </c>
    </row>
    <row r="116" spans="16:26" ht="16.5" x14ac:dyDescent="0.25">
      <c r="P116" s="5"/>
      <c r="Q116" s="19"/>
      <c r="R116" s="19"/>
      <c r="S116" s="19"/>
      <c r="T116" s="77" t="str">
        <f>IF(UPPER(T120)="OXYGENE","O2","NA")</f>
        <v>O2</v>
      </c>
      <c r="U116" s="77" t="str">
        <f>CONCATENATE(LOWER(U117),"-",T121,"-",U95,"-",T119,"-",T116)</f>
        <v>bystronic3015-0-acier-1-O2</v>
      </c>
      <c r="V116" s="77"/>
      <c r="W116" s="77" t="str">
        <f>CONCATENATE(LOWER(W117),"-",T121,"-",U95,"-",T119,"-",T116)</f>
        <v>bystronic4000-0-acier-1-O2</v>
      </c>
      <c r="X116" s="77"/>
      <c r="Y116" s="77" t="str">
        <f>CONCATENATE(LOWER(Y117),"-",T121,"-",U95,"-",T119,"-",T116)</f>
        <v>amada-0-acier-1-O2</v>
      </c>
      <c r="Z116" s="77" t="str">
        <f>IF(UPPER(T120)="OXYGENE","O2","NA")</f>
        <v>O2</v>
      </c>
    </row>
    <row r="117" spans="16:26" ht="16.5" x14ac:dyDescent="0.25">
      <c r="P117" s="5"/>
      <c r="Q117" s="19"/>
      <c r="R117" s="19"/>
      <c r="S117" s="19"/>
      <c r="T117" s="19"/>
      <c r="U117" s="484" t="s">
        <v>99</v>
      </c>
      <c r="V117" s="484" t="e">
        <f>#N/A</f>
        <v>#N/A</v>
      </c>
      <c r="W117" s="432" t="s">
        <v>100</v>
      </c>
      <c r="X117" s="432">
        <v>0</v>
      </c>
      <c r="Y117" s="433" t="s">
        <v>101</v>
      </c>
      <c r="Z117" s="433">
        <v>0</v>
      </c>
    </row>
    <row r="118" spans="16:26" ht="16.5" x14ac:dyDescent="0.25">
      <c r="P118" s="5"/>
      <c r="Q118" s="428" t="s">
        <v>103</v>
      </c>
      <c r="R118" s="428"/>
      <c r="S118" s="428"/>
      <c r="T118" s="428"/>
      <c r="U118" s="79">
        <f>IF(ISERROR(VLOOKUP(U116,TempsLaser,2,0)),"ERREUR",VLOOKUP(U116,TempsLaser,2,0))</f>
        <v>8649.9999999999982</v>
      </c>
      <c r="V118" s="80" t="s">
        <v>104</v>
      </c>
      <c r="W118" s="81" t="str">
        <f>IF(ISERROR(VLOOKUP(W116,TempsLaser,2,0)),"ERREUR",VLOOKUP(W116,TempsLaser,2,0))</f>
        <v>ERREUR</v>
      </c>
      <c r="X118" s="82"/>
      <c r="Y118" s="81">
        <f>IF(ISERROR(VLOOKUP(Y116,TempsLaser,2,0)),"ERREUR",VLOOKUP(Y116,TempsLaser,2,0))</f>
        <v>3800</v>
      </c>
      <c r="Z118" s="82" t="s">
        <v>104</v>
      </c>
    </row>
    <row r="119" spans="16:26" ht="16.5" x14ac:dyDescent="0.25">
      <c r="P119" s="5"/>
      <c r="Q119" s="83"/>
      <c r="R119" s="426" t="s">
        <v>105</v>
      </c>
      <c r="S119" s="426"/>
      <c r="T119" s="84">
        <f>IF(T95&lt;1,1,IF(T95-INT(T95)=0,T95, IF(T95-INT(T95)&lt;=0.5,0.5+INT(T95),1+INT(T95))))</f>
        <v>1</v>
      </c>
      <c r="U119" s="85">
        <f>IF(ISERROR(VLOOKUP(U116,TempsLaser,3,0)),"ERREUR",VLOOKUP(U116,TempsLaser,3,0))</f>
        <v>7100</v>
      </c>
      <c r="V119" s="86" t="s">
        <v>106</v>
      </c>
      <c r="W119" s="87" t="str">
        <f>IF(ISERROR(VLOOKUP(W116,TempsLaser,3,0)),"ERREUR",VLOOKUP(W116,TempsLaser,3,0))</f>
        <v>ERREUR</v>
      </c>
      <c r="X119" s="82"/>
      <c r="Y119" s="87">
        <f>IF(ISERROR(VLOOKUP(Y116,TempsLaser,3,0)),"ERREUR",VLOOKUP(Y116,TempsLaser,3,0))</f>
        <v>1101</v>
      </c>
      <c r="Z119" s="82" t="s">
        <v>106</v>
      </c>
    </row>
    <row r="120" spans="16:26" ht="16.5" x14ac:dyDescent="0.25">
      <c r="P120" s="5"/>
      <c r="Q120" s="83"/>
      <c r="R120" s="426" t="s">
        <v>108</v>
      </c>
      <c r="S120" s="426"/>
      <c r="T120" s="88" t="s">
        <v>109</v>
      </c>
      <c r="U120" s="85"/>
      <c r="V120" s="86"/>
      <c r="W120" s="87"/>
      <c r="X120" s="82"/>
      <c r="Y120" s="87"/>
      <c r="Z120" s="82"/>
    </row>
    <row r="121" spans="16:26" ht="16.5" x14ac:dyDescent="0.25">
      <c r="P121" s="5"/>
      <c r="Q121" s="83"/>
      <c r="R121" s="425" t="s">
        <v>110</v>
      </c>
      <c r="S121" s="425"/>
      <c r="T121" s="88">
        <v>0</v>
      </c>
      <c r="U121" s="85"/>
      <c r="V121" s="86"/>
      <c r="W121" s="87"/>
      <c r="X121" s="82"/>
      <c r="Y121" s="87"/>
      <c r="Z121" s="82"/>
    </row>
    <row r="122" spans="16:26" ht="16.5" x14ac:dyDescent="0.25">
      <c r="P122" s="5"/>
      <c r="Q122" s="83"/>
      <c r="R122" s="426" t="s">
        <v>111</v>
      </c>
      <c r="S122" s="426"/>
      <c r="T122" s="89">
        <f>(R95+S95)*2</f>
        <v>600</v>
      </c>
      <c r="U122" s="90">
        <f>(T122/U118)/60</f>
        <v>1.15606936416185E-3</v>
      </c>
      <c r="V122" s="91"/>
      <c r="W122" s="92" t="e">
        <f>(T122/W118)/60</f>
        <v>#VALUE!</v>
      </c>
      <c r="X122" s="93"/>
      <c r="Y122" s="92">
        <f>(T122/Y118)/60</f>
        <v>2.631578947368421E-3</v>
      </c>
      <c r="Z122" s="93"/>
    </row>
    <row r="123" spans="16:26" ht="16.5" x14ac:dyDescent="0.25">
      <c r="P123" s="5"/>
      <c r="Q123" s="83"/>
      <c r="R123" s="426" t="s">
        <v>112</v>
      </c>
      <c r="S123" s="426"/>
      <c r="T123" s="89">
        <v>0</v>
      </c>
      <c r="U123" s="90">
        <f>((T123*40)/U119)/60</f>
        <v>0</v>
      </c>
      <c r="V123" s="91"/>
      <c r="W123" s="92" t="e">
        <f>((T123*40)/W119)/60</f>
        <v>#VALUE!</v>
      </c>
      <c r="X123" s="93"/>
      <c r="Y123" s="92">
        <f>((T123*40)/Y119)/60</f>
        <v>0</v>
      </c>
      <c r="Z123" s="93"/>
    </row>
    <row r="124" spans="16:26" ht="16.5" x14ac:dyDescent="0.25">
      <c r="P124" s="5"/>
      <c r="Q124" s="83"/>
      <c r="R124" s="426" t="s">
        <v>113</v>
      </c>
      <c r="S124" s="426"/>
      <c r="T124" s="88">
        <f>T123+1</f>
        <v>1</v>
      </c>
      <c r="U124" s="90">
        <f>V124*T119*T124</f>
        <v>2.7E-4</v>
      </c>
      <c r="V124" s="91">
        <v>2.7E-4</v>
      </c>
      <c r="W124" s="92">
        <f>X124*T119*T124</f>
        <v>2.7E-4</v>
      </c>
      <c r="X124" s="93">
        <v>2.7E-4</v>
      </c>
      <c r="Y124" s="92">
        <f>Z124*T119*T124</f>
        <v>2.7E-4</v>
      </c>
      <c r="Z124" s="93">
        <v>2.7E-4</v>
      </c>
    </row>
    <row r="125" spans="16:26" ht="16.5" x14ac:dyDescent="0.25">
      <c r="P125" s="5"/>
      <c r="Q125" s="83"/>
      <c r="R125" s="426" t="s">
        <v>114</v>
      </c>
      <c r="S125" s="426"/>
      <c r="T125" s="88">
        <v>0</v>
      </c>
      <c r="U125" s="94">
        <v>0</v>
      </c>
      <c r="V125" s="95"/>
      <c r="W125" s="92">
        <f>X125*T125</f>
        <v>0</v>
      </c>
      <c r="X125" s="93">
        <v>2.8E-3</v>
      </c>
      <c r="Y125" s="92">
        <f>Z125*T125</f>
        <v>0</v>
      </c>
      <c r="Z125" s="93">
        <v>2.8E-3</v>
      </c>
    </row>
    <row r="126" spans="16:26" ht="16.5" x14ac:dyDescent="0.25">
      <c r="P126" s="96"/>
      <c r="Q126" s="83"/>
      <c r="R126" s="426" t="s">
        <v>115</v>
      </c>
      <c r="S126" s="426"/>
      <c r="T126" s="88">
        <v>0</v>
      </c>
      <c r="U126" s="90">
        <f>V126*T126</f>
        <v>0</v>
      </c>
      <c r="V126" s="91">
        <f>Z126</f>
        <v>4.1000000000000003E-3</v>
      </c>
      <c r="W126" s="92">
        <f>X126*T126</f>
        <v>0</v>
      </c>
      <c r="X126" s="93">
        <v>4.1000000000000003E-3</v>
      </c>
      <c r="Y126" s="92">
        <f>Z126*T126</f>
        <v>0</v>
      </c>
      <c r="Z126" s="93">
        <v>4.1000000000000003E-3</v>
      </c>
    </row>
    <row r="127" spans="16:26" ht="16.5" x14ac:dyDescent="0.25">
      <c r="P127" s="96"/>
      <c r="Q127" s="83"/>
      <c r="R127" s="426" t="s">
        <v>116</v>
      </c>
      <c r="S127" s="426"/>
      <c r="T127" s="89">
        <v>0</v>
      </c>
      <c r="U127" s="90">
        <f>((T122+T123*10)/8000)/60*IF(T127,1,0)</f>
        <v>0</v>
      </c>
      <c r="V127" s="91"/>
      <c r="W127" s="92">
        <f>((T122+T123*10)/3700)/60*IF(T127,1,0)</f>
        <v>0</v>
      </c>
      <c r="X127" s="93"/>
      <c r="Y127" s="92">
        <f>((T122+T123*10)/3700)/60*IF(T127,1,0)</f>
        <v>0</v>
      </c>
      <c r="Z127" s="93"/>
    </row>
    <row r="128" spans="16:26" ht="16.5" x14ac:dyDescent="0.25">
      <c r="P128" s="96" t="str">
        <f>Q118</f>
        <v>LASER</v>
      </c>
      <c r="Q128" s="97"/>
      <c r="R128" s="98"/>
      <c r="S128" s="98"/>
      <c r="T128" s="99" t="s">
        <v>117</v>
      </c>
      <c r="U128" s="100">
        <f>SUM(U122:U127)*1.3</f>
        <v>1.8538901734104051E-3</v>
      </c>
      <c r="V128" s="101"/>
      <c r="W128" s="102" t="e">
        <f>SUM(W122:W127)*1.2</f>
        <v>#VALUE!</v>
      </c>
      <c r="X128" s="93"/>
      <c r="Y128" s="103">
        <f>SUM(Y122:Y127)*1.2</f>
        <v>3.4818947368421048E-3</v>
      </c>
      <c r="Z128" s="93"/>
    </row>
    <row r="129" spans="16:27" ht="16.5" x14ac:dyDescent="0.25">
      <c r="P129" s="96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6:27" ht="16.5" x14ac:dyDescent="0.25">
      <c r="P130" s="96"/>
      <c r="Q130" s="428" t="s">
        <v>118</v>
      </c>
      <c r="R130" s="428"/>
      <c r="S130" s="428"/>
      <c r="T130" s="428"/>
      <c r="U130" s="428"/>
      <c r="V130" s="428"/>
      <c r="W130" s="19"/>
      <c r="X130" s="19"/>
      <c r="Y130" s="19"/>
      <c r="Z130" s="19"/>
    </row>
    <row r="131" spans="16:27" ht="16.5" x14ac:dyDescent="0.25">
      <c r="P131" s="96"/>
      <c r="Q131" s="429" t="s">
        <v>119</v>
      </c>
      <c r="R131" s="429"/>
      <c r="S131" s="429" t="e">
        <f>#N/A</f>
        <v>#N/A</v>
      </c>
      <c r="T131" s="88">
        <v>5</v>
      </c>
      <c r="U131" s="104">
        <f>(T131/T132)*V131</f>
        <v>1.4999999999999999E-2</v>
      </c>
      <c r="V131" s="105">
        <v>3.0000000000000001E-3</v>
      </c>
      <c r="W131" s="19"/>
      <c r="X131" s="19"/>
      <c r="Y131" s="19"/>
      <c r="Z131" s="19"/>
    </row>
    <row r="132" spans="16:27" ht="16.5" x14ac:dyDescent="0.25">
      <c r="P132" s="96"/>
      <c r="Q132" s="429" t="s">
        <v>120</v>
      </c>
      <c r="R132" s="429"/>
      <c r="S132" s="429"/>
      <c r="T132" s="88">
        <v>1</v>
      </c>
      <c r="U132" s="106"/>
      <c r="V132" s="91"/>
      <c r="W132" s="19"/>
      <c r="X132" s="19"/>
      <c r="Y132" s="19"/>
      <c r="Z132" s="19"/>
    </row>
    <row r="133" spans="16:27" ht="16.5" x14ac:dyDescent="0.25">
      <c r="P133" s="96"/>
      <c r="Q133" s="429" t="s">
        <v>121</v>
      </c>
      <c r="R133" s="429"/>
      <c r="S133" s="429"/>
      <c r="T133" s="88">
        <f>(R95*2+S95*2)/50+50</f>
        <v>62</v>
      </c>
      <c r="U133" s="106">
        <f>T133*V133</f>
        <v>8.6800000000000002E-3</v>
      </c>
      <c r="V133" s="37">
        <v>1.4000000000000001E-4</v>
      </c>
      <c r="W133" s="19"/>
      <c r="X133" s="19"/>
      <c r="Y133" s="19"/>
      <c r="Z133" s="19"/>
    </row>
    <row r="134" spans="16:27" ht="16.5" x14ac:dyDescent="0.25">
      <c r="P134" s="96"/>
      <c r="Q134" s="429" t="s">
        <v>122</v>
      </c>
      <c r="R134" s="429"/>
      <c r="S134" s="429"/>
      <c r="T134" s="88">
        <v>0</v>
      </c>
      <c r="U134" s="106">
        <f>T134*V134</f>
        <v>0</v>
      </c>
      <c r="V134" s="37">
        <v>8.0000000000000004E-4</v>
      </c>
      <c r="W134" s="19"/>
      <c r="X134" s="19"/>
      <c r="Y134" s="19"/>
      <c r="Z134" s="19"/>
    </row>
    <row r="135" spans="16:27" ht="16.5" x14ac:dyDescent="0.25">
      <c r="P135" s="96"/>
      <c r="Q135" s="429" t="s">
        <v>123</v>
      </c>
      <c r="R135" s="429"/>
      <c r="S135" s="429"/>
      <c r="T135" s="88">
        <v>0</v>
      </c>
      <c r="U135" s="106">
        <f>T135*V135</f>
        <v>0</v>
      </c>
      <c r="V135" s="91">
        <v>8.0000000000000004E-4</v>
      </c>
      <c r="W135" s="19"/>
      <c r="X135" s="19"/>
      <c r="Y135" s="19"/>
      <c r="Z135" s="19"/>
    </row>
    <row r="136" spans="16:27" ht="16.5" x14ac:dyDescent="0.25">
      <c r="P136" s="96"/>
      <c r="Q136" s="427" t="s">
        <v>124</v>
      </c>
      <c r="R136" s="427"/>
      <c r="S136" s="427"/>
      <c r="T136" s="88">
        <v>1</v>
      </c>
      <c r="U136" s="106">
        <f>T136*V136</f>
        <v>5.0000000000000001E-3</v>
      </c>
      <c r="V136" s="91">
        <v>5.0000000000000001E-3</v>
      </c>
      <c r="W136" s="19"/>
      <c r="X136" s="19"/>
      <c r="Y136" s="19"/>
      <c r="Z136" s="19"/>
    </row>
    <row r="137" spans="16:27" ht="16.5" x14ac:dyDescent="0.25">
      <c r="P137" s="96"/>
      <c r="Q137" s="427" t="s">
        <v>125</v>
      </c>
      <c r="R137" s="427"/>
      <c r="S137" s="427"/>
      <c r="T137" s="88">
        <v>1</v>
      </c>
      <c r="U137" s="115">
        <f>V137*(T137/T132)</f>
        <v>7.0000000000000001E-3</v>
      </c>
      <c r="V137" s="91">
        <v>7.0000000000000001E-3</v>
      </c>
      <c r="W137" s="19"/>
      <c r="X137" s="19"/>
      <c r="Y137" s="19"/>
      <c r="Z137" s="19"/>
    </row>
    <row r="138" spans="16:27" ht="16.5" x14ac:dyDescent="0.25">
      <c r="P138" s="96" t="str">
        <f>Q130</f>
        <v>Poinconnage</v>
      </c>
      <c r="Q138" s="97"/>
      <c r="R138" s="98" t="s">
        <v>129</v>
      </c>
      <c r="S138" s="122">
        <f>SUM(0.2,PRODUCT(0.08,T131))</f>
        <v>0.60000000000000009</v>
      </c>
      <c r="T138" s="99" t="s">
        <v>117</v>
      </c>
      <c r="U138" s="100">
        <f>SUM(U131:U137)*1.3</f>
        <v>4.6384000000000009E-2</v>
      </c>
      <c r="V138" s="123">
        <f>PRODUCT(U138,3600)</f>
        <v>166.98240000000004</v>
      </c>
      <c r="W138" s="19"/>
      <c r="X138" s="19"/>
      <c r="Y138" s="19"/>
      <c r="Z138" s="19"/>
    </row>
    <row r="139" spans="16:27" ht="16.5" x14ac:dyDescent="0.25">
      <c r="P139" s="131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</row>
    <row r="140" spans="16:27" x14ac:dyDescent="0.2">
      <c r="P140" s="9" t="str">
        <f>CHAR(64+INT(ROW()/45)+1)</f>
        <v>D</v>
      </c>
      <c r="R140" s="143" t="s">
        <v>45</v>
      </c>
      <c r="S140" s="143" t="s">
        <v>141</v>
      </c>
      <c r="T140" s="143" t="s">
        <v>142</v>
      </c>
      <c r="U140" s="143" t="s">
        <v>8</v>
      </c>
      <c r="V140" s="10"/>
      <c r="W140" s="2" t="s">
        <v>9</v>
      </c>
      <c r="X140" s="2" t="s">
        <v>10</v>
      </c>
      <c r="AA140" s="5">
        <v>1</v>
      </c>
    </row>
    <row r="141" spans="16:27" ht="16.5" x14ac:dyDescent="0.25">
      <c r="P141" s="18"/>
      <c r="Q141" s="19"/>
      <c r="R141" s="34">
        <v>200</v>
      </c>
      <c r="S141" s="34">
        <v>100</v>
      </c>
      <c r="T141" s="34">
        <v>1</v>
      </c>
      <c r="U141" s="34" t="s">
        <v>23</v>
      </c>
      <c r="V141" s="20">
        <f>VLOOKUP(U141,DensiteMatiere,2,0)</f>
        <v>7.8</v>
      </c>
      <c r="W141" s="19">
        <f>(R141*S141*T141*V141)/1000000</f>
        <v>0.156</v>
      </c>
      <c r="X141" s="19">
        <f>R141*S141*2/1000000</f>
        <v>0.04</v>
      </c>
      <c r="Y141" s="19"/>
      <c r="Z141" s="19"/>
    </row>
    <row r="142" spans="16:27" ht="16.5" x14ac:dyDescent="0.25">
      <c r="P142" s="18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6:27" ht="16.5" x14ac:dyDescent="0.25">
      <c r="P143" s="18"/>
      <c r="Q143" s="19"/>
      <c r="R143" s="468" t="s">
        <v>143</v>
      </c>
      <c r="S143" s="468"/>
      <c r="T143" s="19"/>
      <c r="U143" s="29" t="s">
        <v>26</v>
      </c>
      <c r="V143" s="19"/>
      <c r="W143" s="19"/>
      <c r="X143" s="19"/>
      <c r="Y143" s="19"/>
      <c r="Z143" s="19"/>
    </row>
    <row r="144" spans="16:27" ht="16.5" x14ac:dyDescent="0.25">
      <c r="P144" s="18"/>
      <c r="Q144" s="19"/>
      <c r="R144" s="34">
        <v>10</v>
      </c>
      <c r="S144" s="34">
        <v>10</v>
      </c>
      <c r="T144" s="35"/>
      <c r="U144" s="34">
        <v>0</v>
      </c>
      <c r="V144" s="19"/>
      <c r="W144" s="19"/>
      <c r="X144" s="19"/>
      <c r="Y144" s="19"/>
      <c r="Z144" s="19"/>
    </row>
    <row r="145" spans="16:26" ht="16.5" x14ac:dyDescent="0.25"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6:26" ht="16.5" x14ac:dyDescent="0.25">
      <c r="Q146" s="480" t="s">
        <v>37</v>
      </c>
      <c r="R146" s="480"/>
      <c r="S146" s="480"/>
      <c r="T146" s="19"/>
      <c r="U146" s="19"/>
      <c r="V146" s="19"/>
      <c r="W146" s="477" t="s">
        <v>38</v>
      </c>
      <c r="X146" s="477"/>
      <c r="Y146" s="477"/>
      <c r="Z146" s="43" t="s">
        <v>39</v>
      </c>
    </row>
    <row r="147" spans="16:26" ht="16.5" x14ac:dyDescent="0.25">
      <c r="P147" s="44" t="e">
        <f ca="1">MIN(U148,U149,U151,U152,U154,U155,U157,U158,U160,U161)</f>
        <v>#NAME?</v>
      </c>
      <c r="Q147" s="29" t="s">
        <v>44</v>
      </c>
      <c r="R147" s="29" t="s">
        <v>45</v>
      </c>
      <c r="S147" s="29" t="s">
        <v>46</v>
      </c>
      <c r="T147" s="29" t="s">
        <v>47</v>
      </c>
      <c r="U147" s="29" t="s">
        <v>48</v>
      </c>
      <c r="V147" s="29" t="s">
        <v>49</v>
      </c>
      <c r="W147" s="42" t="s">
        <v>50</v>
      </c>
      <c r="X147" s="42" t="s">
        <v>46</v>
      </c>
      <c r="Y147" s="42" t="s">
        <v>9</v>
      </c>
      <c r="Z147" s="43"/>
    </row>
    <row r="148" spans="16:26" ht="16.5" x14ac:dyDescent="0.25">
      <c r="P148" s="18" t="e">
        <f ca="1">IF(U148=$P147,$AF$2,"")</f>
        <v>#NAME?</v>
      </c>
      <c r="Q148" s="45"/>
      <c r="R148" s="42">
        <v>4000</v>
      </c>
      <c r="S148" s="42">
        <v>2000</v>
      </c>
      <c r="T148" s="42" t="str">
        <f>IF(Q148="","",(INT((R148/($R141+$R144)))*INT(((S148-$U144)/($S141+$S144)))))</f>
        <v/>
      </c>
      <c r="U148" s="46" t="str">
        <f>IF(OR(T148=0,T148=""),"",CALCULPOIDS(R148,S148,T141,V141)/T148)</f>
        <v/>
      </c>
      <c r="V148" s="47" t="str">
        <f>IF(Q148="","",(($R148*$S148)-(R141*S141*$T148))/($R148*$S148))</f>
        <v/>
      </c>
      <c r="W148" s="42" t="e">
        <f ca="1">CALCUL_FORMATIDEAL(R148,0,R141,R144)</f>
        <v>#NAME?</v>
      </c>
      <c r="X148" s="42" t="e">
        <f ca="1">CALCUL_FORMATIDEAL(S148,U144,S141,S144)</f>
        <v>#NAME?</v>
      </c>
      <c r="Y148" s="42" t="e">
        <f ca="1">CALCULPOIDS(W148,X148,T141,V141)</f>
        <v>#NAME?</v>
      </c>
      <c r="Z148" s="43" t="e">
        <f ca="1">CALCULPOIDS(R148,S148,T141,V141)</f>
        <v>#NAME?</v>
      </c>
    </row>
    <row r="149" spans="16:26" ht="16.5" x14ac:dyDescent="0.25">
      <c r="P149" s="18" t="e">
        <f ca="1">IF(U149=$P147,$AF$2,"")</f>
        <v>#NAME?</v>
      </c>
      <c r="Q149" s="45"/>
      <c r="R149" s="42">
        <v>2000</v>
      </c>
      <c r="S149" s="42">
        <v>4000</v>
      </c>
      <c r="T149" s="42" t="str">
        <f>IF(Q149="","",(INT((R149/($R141+$R144)))*INT(((S149-$U144)/($S141+$S144)))))</f>
        <v/>
      </c>
      <c r="U149" s="46" t="str">
        <f>IF(OR(T149=0,T149=""),"",CALCULPOIDS(R149,S149,T141,V141)/T149)</f>
        <v/>
      </c>
      <c r="V149" s="47" t="str">
        <f>IF(Q149="","",(($R149*$S149)-(R141*S141*$T149))/($R149*$S149))</f>
        <v/>
      </c>
      <c r="W149" s="42" t="e">
        <f ca="1">CALCUL_FORMATIDEAL(R149,0,R141,R144)</f>
        <v>#NAME?</v>
      </c>
      <c r="X149" s="42" t="e">
        <f ca="1">CALCUL_FORMATIDEAL(S149,U144,S141,S144)</f>
        <v>#NAME?</v>
      </c>
      <c r="Y149" s="42" t="e">
        <f ca="1">CALCULPOIDS(W149,X149,T141,V141)</f>
        <v>#NAME?</v>
      </c>
      <c r="Z149" s="43" t="e">
        <f ca="1">CALCULPOIDS(R149,S149,T141,V141)</f>
        <v>#NAME?</v>
      </c>
    </row>
    <row r="150" spans="16:26" ht="16.5" x14ac:dyDescent="0.25">
      <c r="P150" s="18"/>
      <c r="Q150" s="477"/>
      <c r="R150" s="477"/>
      <c r="S150" s="477"/>
      <c r="T150" s="477" t="str">
        <f>IF(UPPER(Q150)="X",(INT((R150/($R$8+$R$11)))*INT(((S150-$U$11)/($S$8+$S$11)))),"")</f>
        <v/>
      </c>
      <c r="U150" s="477" t="str">
        <f>IF(OR(T150=0,T150=""),"",CALCULPOIDS(R150,S150,$T$3,V143)/T150)</f>
        <v/>
      </c>
      <c r="V150" s="47"/>
      <c r="W150" s="42"/>
      <c r="X150" s="42"/>
      <c r="Y150" s="42"/>
      <c r="Z150" s="43"/>
    </row>
    <row r="151" spans="16:26" ht="16.5" x14ac:dyDescent="0.25">
      <c r="P151" s="18" t="e">
        <f ca="1">IF(U151=$P147,$AF$2,"")</f>
        <v>#NAME?</v>
      </c>
      <c r="Q151" s="45" t="s">
        <v>71</v>
      </c>
      <c r="R151" s="42">
        <v>3000</v>
      </c>
      <c r="S151" s="42">
        <v>1500</v>
      </c>
      <c r="T151" s="42">
        <f>IF(Q151="","",(INT((R151/($R141:R141+$R144)))*INT(((S151-$U144)/($S141+$S144)))))</f>
        <v>182</v>
      </c>
      <c r="U151" s="46" t="e">
        <f ca="1">IF(OR(T151=0,T151=""),"",CALCULPOIDS(R151,S151,T141,V141)/T151)</f>
        <v>#NAME?</v>
      </c>
      <c r="V151" s="47">
        <f>IF(Q151="","",(($R151:R151*$S151)-(R141*S141*$T151))/($R151*$S151))</f>
        <v>0.19111111111111112</v>
      </c>
      <c r="W151" s="42" t="e">
        <f ca="1">CALCUL_FORMATIDEAL(R151,0,R141,R144)</f>
        <v>#NAME?</v>
      </c>
      <c r="X151" s="42" t="e">
        <f ca="1">CALCUL_FORMATIDEAL(S151,U144,S141,S144)</f>
        <v>#NAME?</v>
      </c>
      <c r="Y151" s="42" t="e">
        <f ca="1">CALCULPOIDS(W151,X151,T141,V141)</f>
        <v>#NAME?</v>
      </c>
      <c r="Z151" s="43" t="e">
        <f ca="1">CALCULPOIDS(R151,S151,T141,V141)</f>
        <v>#NAME?</v>
      </c>
    </row>
    <row r="152" spans="16:26" ht="16.5" x14ac:dyDescent="0.25">
      <c r="P152" s="18" t="e">
        <f ca="1">IF(U152=$P147,$AF$2,"")</f>
        <v>#NAME?</v>
      </c>
      <c r="Q152" s="45" t="s">
        <v>71</v>
      </c>
      <c r="R152" s="42">
        <v>1500</v>
      </c>
      <c r="S152" s="42">
        <v>3000</v>
      </c>
      <c r="T152" s="42">
        <f>IF(Q152="","",(INT((R152/($R141+$R144)))*INT(((S152-$U144)/($S141+$S144)))))</f>
        <v>189</v>
      </c>
      <c r="U152" s="46" t="e">
        <f ca="1">IF(OR(T152=0,T152=""),"",CALCULPOIDS(R152,S152,T141,V141)/T152)</f>
        <v>#NAME?</v>
      </c>
      <c r="V152" s="47">
        <f>IF(Q152="","",(($R152*$S152)-(R141*S141*$T152))/($R152*$S152))</f>
        <v>0.16</v>
      </c>
      <c r="W152" s="42" t="e">
        <f ca="1">CALCUL_FORMATIDEAL(R152,0,R141,R144)</f>
        <v>#NAME?</v>
      </c>
      <c r="X152" s="42" t="e">
        <f ca="1">CALCUL_FORMATIDEAL(S152,U144,S141,S144)</f>
        <v>#NAME?</v>
      </c>
      <c r="Y152" s="42" t="e">
        <f ca="1">CALCULPOIDS(W152,X152,T141,V141)</f>
        <v>#NAME?</v>
      </c>
      <c r="Z152" s="43" t="e">
        <f ca="1">CALCULPOIDS(R152,S152,T141,V141)</f>
        <v>#NAME?</v>
      </c>
    </row>
    <row r="153" spans="16:26" ht="16.5" x14ac:dyDescent="0.25">
      <c r="P153" s="18"/>
      <c r="Q153" s="477"/>
      <c r="R153" s="477"/>
      <c r="S153" s="477"/>
      <c r="T153" s="477" t="str">
        <f>IF(Q153="","",(INT((R153/($R142:R142+$R145:R145)))*INT(((S153-$U145:U145)/($S142:S142+$S145:S145)))))</f>
        <v/>
      </c>
      <c r="U153" s="477" t="str">
        <f>IF(OR(T153=0,T153=""),"",CALCULPOIDS(R153,S153,$T$3,V146)/T153)</f>
        <v/>
      </c>
      <c r="V153" s="47"/>
      <c r="W153" s="42"/>
      <c r="X153" s="42"/>
      <c r="Y153" s="42"/>
      <c r="Z153" s="43"/>
    </row>
    <row r="154" spans="16:26" ht="16.5" x14ac:dyDescent="0.25">
      <c r="P154" s="18" t="e">
        <f ca="1">IF(U154=$P147,$AF$2,"")</f>
        <v>#NAME?</v>
      </c>
      <c r="Q154" s="45" t="s">
        <v>71</v>
      </c>
      <c r="R154" s="42">
        <v>2500</v>
      </c>
      <c r="S154" s="42">
        <v>1250</v>
      </c>
      <c r="T154" s="42">
        <f>IF(Q154="","",(INT((R154/($R141+$R144)))*INT(((S154-$U144)/($S141+$S144)))))</f>
        <v>121</v>
      </c>
      <c r="U154" s="46" t="e">
        <f ca="1">IF(OR(T154=0,T154=""),"",CALCULPOIDS(R154,S154,T141,V141)/T154)</f>
        <v>#NAME?</v>
      </c>
      <c r="V154" s="47">
        <f>IF(Q154="","",(($R154*$S154)-(R141*S141*$T154))/($R154*$S154))</f>
        <v>0.22559999999999999</v>
      </c>
      <c r="W154" s="42" t="e">
        <f ca="1">CALCUL_FORMATIDEAL(R154,0,R141,R144)</f>
        <v>#NAME?</v>
      </c>
      <c r="X154" s="42" t="e">
        <f ca="1">CALCUL_FORMATIDEAL(S154,U144,S141,S144)</f>
        <v>#NAME?</v>
      </c>
      <c r="Y154" s="42" t="e">
        <f ca="1">CALCULPOIDS(W154,X154,T141,V141)</f>
        <v>#NAME?</v>
      </c>
      <c r="Z154" s="43" t="e">
        <f ca="1">CALCULPOIDS(R154,S154,T141,V141)</f>
        <v>#NAME?</v>
      </c>
    </row>
    <row r="155" spans="16:26" ht="16.5" x14ac:dyDescent="0.25">
      <c r="P155" s="18" t="e">
        <f ca="1">IF(U155=$P147,$AF$2,"")</f>
        <v>#NAME?</v>
      </c>
      <c r="Q155" s="45" t="s">
        <v>71</v>
      </c>
      <c r="R155" s="42">
        <v>1250</v>
      </c>
      <c r="S155" s="42">
        <v>2500</v>
      </c>
      <c r="T155" s="42">
        <f>IF(Q155="","",(INT((R155/($R141+$R144)))*INT(((S155-$U144)/($S141+$S144)))))</f>
        <v>110</v>
      </c>
      <c r="U155" s="46" t="e">
        <f ca="1">IF(OR(T155=0,T155=""),"",CALCULPOIDS(R155,S155,T141,V141)/T155)</f>
        <v>#NAME?</v>
      </c>
      <c r="V155" s="47">
        <f>IF(Q155="","",(($R155*$S155)-(R141*S141*$T155))/($R155*$S155))</f>
        <v>0.29599999999999999</v>
      </c>
      <c r="W155" s="42" t="e">
        <f ca="1">CALCUL_FORMATIDEAL(R155,0,R141,R144)</f>
        <v>#NAME?</v>
      </c>
      <c r="X155" s="42" t="e">
        <f ca="1">CALCUL_FORMATIDEAL(S155,U144,S141,S144)</f>
        <v>#NAME?</v>
      </c>
      <c r="Y155" s="42" t="e">
        <f ca="1">CALCULPOIDS(W155,X155,T141,V141)</f>
        <v>#NAME?</v>
      </c>
      <c r="Z155" s="43" t="e">
        <f ca="1">CALCULPOIDS(R155,S155,T141,V141)</f>
        <v>#NAME?</v>
      </c>
    </row>
    <row r="156" spans="16:26" ht="16.5" x14ac:dyDescent="0.25">
      <c r="P156" s="18"/>
      <c r="Q156" s="477"/>
      <c r="R156" s="477"/>
      <c r="S156" s="477"/>
      <c r="T156" s="477" t="str">
        <f>IF(UPPER(Q156)="X",(INT((R156/($R$8+$R$11)))*INT(((S156-$U$11)/($S$8+$S$11)))),"")</f>
        <v/>
      </c>
      <c r="U156" s="477" t="str">
        <f>IF(OR(T156=0,T156=""),"",CALCULPOIDS(R156,S156,$T$3,V147)/T156)</f>
        <v/>
      </c>
      <c r="V156" s="47"/>
      <c r="W156" s="42"/>
      <c r="X156" s="42"/>
      <c r="Y156" s="42"/>
      <c r="Z156" s="43"/>
    </row>
    <row r="157" spans="16:26" ht="16.5" x14ac:dyDescent="0.25">
      <c r="P157" s="18" t="e">
        <f ca="1">IF(U157=$P147,$AF$2,"")</f>
        <v>#NAME?</v>
      </c>
      <c r="Q157" s="45" t="s">
        <v>71</v>
      </c>
      <c r="R157" s="42">
        <v>2000</v>
      </c>
      <c r="S157" s="42">
        <v>1000</v>
      </c>
      <c r="T157" s="42">
        <f>IF(Q157="","",(INT((R157/($R141+$R144)))*INT(((S157-$U144)/($S141+$S144)))))</f>
        <v>81</v>
      </c>
      <c r="U157" s="46" t="e">
        <f ca="1">IF(OR(T157=0,T157=""),"",CALCULPOIDS(R157,S157,T141,V141)/T157)</f>
        <v>#NAME?</v>
      </c>
      <c r="V157" s="47">
        <f>IF(Q157="","",(($R157*$S157)-(R141*S141*$T157))/($R157*$S157))</f>
        <v>0.19</v>
      </c>
      <c r="W157" s="42" t="e">
        <f ca="1">CALCUL_FORMATIDEAL(R157,0,R141,R144)</f>
        <v>#NAME?</v>
      </c>
      <c r="X157" s="42" t="e">
        <f ca="1">CALCUL_FORMATIDEAL(S157,U144,S141,S144)</f>
        <v>#NAME?</v>
      </c>
      <c r="Y157" s="42" t="e">
        <f ca="1">CALCULPOIDS(W157,X157,T141,V141)</f>
        <v>#NAME?</v>
      </c>
      <c r="Z157" s="43" t="e">
        <f ca="1">CALCULPOIDS(R157,S157,T141,V141)</f>
        <v>#NAME?</v>
      </c>
    </row>
    <row r="158" spans="16:26" ht="16.5" x14ac:dyDescent="0.25">
      <c r="P158" s="18" t="e">
        <f ca="1">IF(U158=$P147,$AF$2,"")</f>
        <v>#NAME?</v>
      </c>
      <c r="Q158" s="45" t="s">
        <v>71</v>
      </c>
      <c r="R158" s="42">
        <v>1000</v>
      </c>
      <c r="S158" s="42">
        <v>2000</v>
      </c>
      <c r="T158" s="42">
        <f>IF(Q158="","",(INT((R158/($R141+$R144)))*INT(((S158-$U144)/($S141+$S144)))))</f>
        <v>72</v>
      </c>
      <c r="U158" s="46" t="e">
        <f ca="1">IF(OR(T158=0,T158=""),"",CALCULPOIDS(R158,S158,T141,V141)/T158)</f>
        <v>#NAME?</v>
      </c>
      <c r="V158" s="47">
        <f>IF(Q158="","",(($R158*$S158)-(R141*S141*$T158))/($R158*$S158))</f>
        <v>0.28000000000000003</v>
      </c>
      <c r="W158" s="42" t="e">
        <f ca="1">CALCUL_FORMATIDEAL(R158,0,R141,R144)</f>
        <v>#NAME?</v>
      </c>
      <c r="X158" s="42" t="e">
        <f ca="1">CALCUL_FORMATIDEAL(S158,U144,S141,S144)</f>
        <v>#NAME?</v>
      </c>
      <c r="Y158" s="42" t="e">
        <f ca="1">CALCULPOIDS(W158,X158,T141,V141)</f>
        <v>#NAME?</v>
      </c>
      <c r="Z158" s="43" t="e">
        <f ca="1">CALCULPOIDS(R158,S158,T141,V141)</f>
        <v>#NAME?</v>
      </c>
    </row>
    <row r="159" spans="16:26" ht="16.5" x14ac:dyDescent="0.25">
      <c r="P159" s="18"/>
      <c r="Q159" s="477"/>
      <c r="R159" s="477"/>
      <c r="S159" s="477"/>
      <c r="T159" s="477" t="str">
        <f>IF(UPPER(Q159)="X",(INT((R159/($R$8+$R$11)))*INT(((S159-$U$11)/($S$8+$S$11)))),"")</f>
        <v/>
      </c>
      <c r="U159" s="477" t="str">
        <f>IF(OR(T159=0,T159=""),"",CALCULPOIDS(R159,S159,$T$3,V150)/T159)</f>
        <v/>
      </c>
      <c r="V159" s="47"/>
      <c r="W159" s="42"/>
      <c r="X159" s="42"/>
      <c r="Y159" s="42"/>
      <c r="Z159" s="43"/>
    </row>
    <row r="160" spans="16:26" ht="16.5" x14ac:dyDescent="0.25">
      <c r="P160" s="18" t="e">
        <f ca="1">IF(U160=$P147,$AF$2,"")</f>
        <v>#NAME?</v>
      </c>
      <c r="Q160" s="45" t="s">
        <v>71</v>
      </c>
      <c r="R160" s="24">
        <v>500</v>
      </c>
      <c r="S160" s="24">
        <v>200</v>
      </c>
      <c r="T160" s="42">
        <f>IF(Q160="","",(INT((R160/($R141+$R144)))*INT(((S160-$U144)/($S141+$S144)))))</f>
        <v>2</v>
      </c>
      <c r="U160" s="46" t="e">
        <f ca="1">IF(OR(T160=0,T160=""),"",CALCULPOIDS(R160,S160,T141,V141)/T160)</f>
        <v>#NAME?</v>
      </c>
      <c r="V160" s="47">
        <f>IF(Q160="","",(($R160*$S160)-(R141*S141*$T160))/($R160*$S160))</f>
        <v>0.6</v>
      </c>
      <c r="W160" s="42" t="e">
        <f ca="1">CALCUL_FORMATIDEAL(R160,0,R141,R144)</f>
        <v>#NAME?</v>
      </c>
      <c r="X160" s="42" t="e">
        <f ca="1">CALCUL_FORMATIDEAL(S160,0,S141,S144)</f>
        <v>#NAME?</v>
      </c>
      <c r="Y160" s="42" t="e">
        <f ca="1">CALCULPOIDS(W160,X160,T141,V141)</f>
        <v>#NAME?</v>
      </c>
      <c r="Z160" s="43" t="e">
        <f ca="1">CALCULPOIDS(R160,S160,T141,V141)</f>
        <v>#NAME?</v>
      </c>
    </row>
    <row r="161" spans="16:26" ht="16.5" x14ac:dyDescent="0.25">
      <c r="P161" s="18" t="e">
        <f ca="1">IF(U161=$P147,$AF$2,"")</f>
        <v>#NAME?</v>
      </c>
      <c r="Q161" s="45" t="s">
        <v>71</v>
      </c>
      <c r="R161" s="67">
        <f>S160</f>
        <v>200</v>
      </c>
      <c r="S161" s="67">
        <f>R160</f>
        <v>500</v>
      </c>
      <c r="T161" s="42">
        <f>IF(Q161="","",(INT((R161/($R141+$R144)))*INT(((S161-$U144)/($S141+$S144)))))</f>
        <v>0</v>
      </c>
      <c r="U161" s="46" t="str">
        <f>IF(OR(T161=0,T161=""),"",CALCULPOIDS(R161,S161,T141,V141)/T161)</f>
        <v/>
      </c>
      <c r="V161" s="47">
        <f>IF(Q161="","",(($R161*$S161)-(R141*S141*$T161))/($R161*$S161))</f>
        <v>1</v>
      </c>
      <c r="W161" s="42" t="e">
        <f ca="1">CALCUL_FORMATIDEAL(R161,U144,R141,R144)</f>
        <v>#NAME?</v>
      </c>
      <c r="X161" s="42" t="e">
        <f ca="1">CALCUL_FORMATIDEAL(S161,0,S141,S144)</f>
        <v>#NAME?</v>
      </c>
      <c r="Y161" s="42" t="e">
        <f ca="1">CALCULPOIDS(W161,X161,T141,V141)</f>
        <v>#NAME?</v>
      </c>
      <c r="Z161" s="43" t="e">
        <f ca="1">CALCULPOIDS(R161,S161,T141,V141)</f>
        <v>#NAME?</v>
      </c>
    </row>
    <row r="162" spans="16:26" ht="16.5" x14ac:dyDescent="0.25">
      <c r="P162" s="5"/>
      <c r="Q162" s="19"/>
      <c r="R162" s="19"/>
      <c r="S162" s="19"/>
      <c r="T162" s="77" t="str">
        <f>IF(UPPER(T166)="OXYGENE","O2","NA")</f>
        <v>O2</v>
      </c>
      <c r="U162" s="77" t="str">
        <f>CONCATENATE(LOWER(U163),"-",T167,"-",U141,"-",T165,"-",T162)</f>
        <v>bystronic3015-0-acier-1-O2</v>
      </c>
      <c r="V162" s="77"/>
      <c r="W162" s="77" t="str">
        <f>CONCATENATE(LOWER(W163),"-",T167,"-",U141,"-",T165,"-",T162)</f>
        <v>bystronic4000-0-acier-1-O2</v>
      </c>
      <c r="X162" s="77"/>
      <c r="Y162" s="77" t="str">
        <f>CONCATENATE(LOWER(Y163),"-",T167,"-",U141,"-",T165,"-",T162)</f>
        <v>amada-0-acier-1-O2</v>
      </c>
      <c r="Z162" s="77" t="str">
        <f>IF(UPPER(T166)="OXYGENE","O2","NA")</f>
        <v>O2</v>
      </c>
    </row>
    <row r="163" spans="16:26" ht="16.5" x14ac:dyDescent="0.25">
      <c r="P163" s="5"/>
      <c r="Q163" s="19"/>
      <c r="R163" s="19"/>
      <c r="S163" s="19"/>
      <c r="T163" s="19"/>
      <c r="U163" s="484" t="s">
        <v>99</v>
      </c>
      <c r="V163" s="484" t="e">
        <f>#N/A</f>
        <v>#N/A</v>
      </c>
      <c r="W163" s="432" t="s">
        <v>100</v>
      </c>
      <c r="X163" s="432">
        <v>0</v>
      </c>
      <c r="Y163" s="433" t="s">
        <v>101</v>
      </c>
      <c r="Z163" s="433">
        <v>0</v>
      </c>
    </row>
    <row r="164" spans="16:26" ht="16.5" x14ac:dyDescent="0.25">
      <c r="P164" s="5"/>
      <c r="Q164" s="428" t="s">
        <v>103</v>
      </c>
      <c r="R164" s="428"/>
      <c r="S164" s="428"/>
      <c r="T164" s="428"/>
      <c r="U164" s="79">
        <f>IF(ISERROR(VLOOKUP(U162,TempsLaser,2,0)),"ERREUR",VLOOKUP(U162,TempsLaser,2,0))</f>
        <v>8649.9999999999982</v>
      </c>
      <c r="V164" s="80" t="s">
        <v>104</v>
      </c>
      <c r="W164" s="81" t="str">
        <f>IF(ISERROR(VLOOKUP(W162,TempsLaser,2,0)),"ERREUR",VLOOKUP(W162,TempsLaser,2,0))</f>
        <v>ERREUR</v>
      </c>
      <c r="X164" s="82"/>
      <c r="Y164" s="81">
        <f>IF(ISERROR(VLOOKUP(Y162,TempsLaser,2,0)),"ERREUR",VLOOKUP(Y162,TempsLaser,2,0))</f>
        <v>3800</v>
      </c>
      <c r="Z164" s="82" t="s">
        <v>104</v>
      </c>
    </row>
    <row r="165" spans="16:26" ht="16.5" x14ac:dyDescent="0.25">
      <c r="P165" s="5"/>
      <c r="Q165" s="83"/>
      <c r="R165" s="426" t="s">
        <v>105</v>
      </c>
      <c r="S165" s="426"/>
      <c r="T165" s="84">
        <f>IF(T141&lt;1,1,IF(T141-INT(T141)=0,T141, IF(T141-INT(T141)&lt;=0.5,0.5+INT(T141),1+INT(T141))))</f>
        <v>1</v>
      </c>
      <c r="U165" s="85">
        <f>IF(ISERROR(VLOOKUP(U162,TempsLaser,3,0)),"ERREUR",VLOOKUP(U162,TempsLaser,3,0))</f>
        <v>7100</v>
      </c>
      <c r="V165" s="86" t="s">
        <v>106</v>
      </c>
      <c r="W165" s="87" t="str">
        <f>IF(ISERROR(VLOOKUP(W162,TempsLaser,3,0)),"ERREUR",VLOOKUP(W162,TempsLaser,3,0))</f>
        <v>ERREUR</v>
      </c>
      <c r="X165" s="82"/>
      <c r="Y165" s="87">
        <f>IF(ISERROR(VLOOKUP(Y162,TempsLaser,3,0)),"ERREUR",VLOOKUP(Y162,TempsLaser,3,0))</f>
        <v>1101</v>
      </c>
      <c r="Z165" s="82" t="s">
        <v>106</v>
      </c>
    </row>
    <row r="166" spans="16:26" ht="16.5" x14ac:dyDescent="0.25">
      <c r="P166" s="5"/>
      <c r="Q166" s="83"/>
      <c r="R166" s="426" t="s">
        <v>108</v>
      </c>
      <c r="S166" s="426"/>
      <c r="T166" s="88" t="s">
        <v>109</v>
      </c>
      <c r="U166" s="85"/>
      <c r="V166" s="86"/>
      <c r="W166" s="87"/>
      <c r="X166" s="82"/>
      <c r="Y166" s="87"/>
      <c r="Z166" s="82"/>
    </row>
    <row r="167" spans="16:26" ht="16.5" x14ac:dyDescent="0.25">
      <c r="P167" s="5"/>
      <c r="Q167" s="83"/>
      <c r="R167" s="425" t="s">
        <v>110</v>
      </c>
      <c r="S167" s="425"/>
      <c r="T167" s="88">
        <v>0</v>
      </c>
      <c r="U167" s="85"/>
      <c r="V167" s="86"/>
      <c r="W167" s="87"/>
      <c r="X167" s="82"/>
      <c r="Y167" s="87"/>
      <c r="Z167" s="82"/>
    </row>
    <row r="168" spans="16:26" ht="16.5" x14ac:dyDescent="0.25">
      <c r="P168" s="5"/>
      <c r="Q168" s="83"/>
      <c r="R168" s="426" t="s">
        <v>111</v>
      </c>
      <c r="S168" s="426"/>
      <c r="T168" s="89">
        <f>(R141+S141)*2</f>
        <v>600</v>
      </c>
      <c r="U168" s="90">
        <f>(T168/U164)/60</f>
        <v>1.15606936416185E-3</v>
      </c>
      <c r="V168" s="91"/>
      <c r="W168" s="92" t="e">
        <f>(T168/W164)/60</f>
        <v>#VALUE!</v>
      </c>
      <c r="X168" s="93"/>
      <c r="Y168" s="92">
        <f>(T168/Y164)/60</f>
        <v>2.631578947368421E-3</v>
      </c>
      <c r="Z168" s="93"/>
    </row>
    <row r="169" spans="16:26" ht="16.5" x14ac:dyDescent="0.25">
      <c r="P169" s="5"/>
      <c r="Q169" s="83"/>
      <c r="R169" s="426" t="s">
        <v>112</v>
      </c>
      <c r="S169" s="426"/>
      <c r="T169" s="89">
        <v>0</v>
      </c>
      <c r="U169" s="90">
        <f>((T169*40)/U165)/60</f>
        <v>0</v>
      </c>
      <c r="V169" s="91"/>
      <c r="W169" s="92" t="e">
        <f>((T169*40)/W165)/60</f>
        <v>#VALUE!</v>
      </c>
      <c r="X169" s="93"/>
      <c r="Y169" s="92">
        <f>((T169*40)/Y165)/60</f>
        <v>0</v>
      </c>
      <c r="Z169" s="93"/>
    </row>
    <row r="170" spans="16:26" ht="16.5" x14ac:dyDescent="0.25">
      <c r="P170" s="5"/>
      <c r="Q170" s="83"/>
      <c r="R170" s="426" t="s">
        <v>113</v>
      </c>
      <c r="S170" s="426"/>
      <c r="T170" s="88">
        <f>T169+1</f>
        <v>1</v>
      </c>
      <c r="U170" s="90">
        <f>V170*T165*T170</f>
        <v>2.7E-4</v>
      </c>
      <c r="V170" s="91">
        <v>2.7E-4</v>
      </c>
      <c r="W170" s="92">
        <f>X170*T165*T170</f>
        <v>2.7E-4</v>
      </c>
      <c r="X170" s="93">
        <v>2.7E-4</v>
      </c>
      <c r="Y170" s="92">
        <f>Z170*T165*T170</f>
        <v>2.7E-4</v>
      </c>
      <c r="Z170" s="93">
        <v>2.7E-4</v>
      </c>
    </row>
    <row r="171" spans="16:26" ht="16.5" x14ac:dyDescent="0.25">
      <c r="P171" s="5"/>
      <c r="Q171" s="83"/>
      <c r="R171" s="426" t="s">
        <v>114</v>
      </c>
      <c r="S171" s="426"/>
      <c r="T171" s="88">
        <v>0</v>
      </c>
      <c r="U171" s="94">
        <v>0</v>
      </c>
      <c r="V171" s="95"/>
      <c r="W171" s="92">
        <f>X171*T171</f>
        <v>0</v>
      </c>
      <c r="X171" s="93">
        <v>2.8E-3</v>
      </c>
      <c r="Y171" s="92">
        <f>Z171*T171</f>
        <v>0</v>
      </c>
      <c r="Z171" s="93">
        <v>2.8E-3</v>
      </c>
    </row>
    <row r="172" spans="16:26" ht="16.5" x14ac:dyDescent="0.25">
      <c r="P172" s="96"/>
      <c r="Q172" s="83"/>
      <c r="R172" s="426" t="s">
        <v>115</v>
      </c>
      <c r="S172" s="426"/>
      <c r="T172" s="88">
        <v>0</v>
      </c>
      <c r="U172" s="90">
        <f>V172*T172</f>
        <v>0</v>
      </c>
      <c r="V172" s="91">
        <f>Z172</f>
        <v>4.1000000000000003E-3</v>
      </c>
      <c r="W172" s="92">
        <f>X172*T172</f>
        <v>0</v>
      </c>
      <c r="X172" s="93">
        <v>4.1000000000000003E-3</v>
      </c>
      <c r="Y172" s="92">
        <f>Z172*T172</f>
        <v>0</v>
      </c>
      <c r="Z172" s="93">
        <v>4.1000000000000003E-3</v>
      </c>
    </row>
    <row r="173" spans="16:26" ht="16.5" x14ac:dyDescent="0.25">
      <c r="P173" s="96"/>
      <c r="Q173" s="83"/>
      <c r="R173" s="426" t="s">
        <v>116</v>
      </c>
      <c r="S173" s="426"/>
      <c r="T173" s="89">
        <v>0</v>
      </c>
      <c r="U173" s="90">
        <f>((T168+T169*10)/8000)/60*IF(T173,1,0)</f>
        <v>0</v>
      </c>
      <c r="V173" s="91"/>
      <c r="W173" s="92">
        <f>((T168+T169*10)/3700)/60*IF(T173,1,0)</f>
        <v>0</v>
      </c>
      <c r="X173" s="93"/>
      <c r="Y173" s="92">
        <f>((T168+T169*10)/3700)/60*IF(T173,1,0)</f>
        <v>0</v>
      </c>
      <c r="Z173" s="93"/>
    </row>
    <row r="174" spans="16:26" ht="16.5" x14ac:dyDescent="0.25">
      <c r="P174" s="96" t="str">
        <f>Q164</f>
        <v>LASER</v>
      </c>
      <c r="Q174" s="97"/>
      <c r="R174" s="98"/>
      <c r="S174" s="98"/>
      <c r="T174" s="99" t="s">
        <v>117</v>
      </c>
      <c r="U174" s="100">
        <f>SUM(U168:U173)*1.3</f>
        <v>1.8538901734104051E-3</v>
      </c>
      <c r="V174" s="101"/>
      <c r="W174" s="102" t="e">
        <f>SUM(W168:W173)*1.2</f>
        <v>#VALUE!</v>
      </c>
      <c r="X174" s="93"/>
      <c r="Y174" s="103">
        <f>SUM(Y168:Y173)*1.2</f>
        <v>3.4818947368421048E-3</v>
      </c>
      <c r="Z174" s="93"/>
    </row>
    <row r="175" spans="16:26" ht="16.5" x14ac:dyDescent="0.25">
      <c r="P175" s="96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6:26" ht="16.5" x14ac:dyDescent="0.25">
      <c r="P176" s="96"/>
      <c r="Q176" s="428" t="s">
        <v>118</v>
      </c>
      <c r="R176" s="428"/>
      <c r="S176" s="428"/>
      <c r="T176" s="428"/>
      <c r="U176" s="428"/>
      <c r="V176" s="428"/>
      <c r="W176" s="19"/>
      <c r="X176" s="19"/>
      <c r="Y176" s="19"/>
      <c r="Z176" s="19"/>
    </row>
    <row r="177" spans="16:26" ht="16.5" x14ac:dyDescent="0.25">
      <c r="P177" s="96"/>
      <c r="Q177" s="429" t="s">
        <v>119</v>
      </c>
      <c r="R177" s="429"/>
      <c r="S177" s="429" t="e">
        <f>#N/A</f>
        <v>#N/A</v>
      </c>
      <c r="T177" s="88">
        <v>5</v>
      </c>
      <c r="U177" s="104">
        <f>(T177/T178)*V177</f>
        <v>1.4999999999999999E-2</v>
      </c>
      <c r="V177" s="105">
        <v>3.0000000000000001E-3</v>
      </c>
      <c r="W177" s="19"/>
      <c r="X177" s="19"/>
      <c r="Y177" s="19"/>
      <c r="Z177" s="19"/>
    </row>
    <row r="178" spans="16:26" ht="16.5" x14ac:dyDescent="0.25">
      <c r="P178" s="96"/>
      <c r="Q178" s="429" t="s">
        <v>120</v>
      </c>
      <c r="R178" s="429"/>
      <c r="S178" s="429"/>
      <c r="T178" s="88">
        <v>1</v>
      </c>
      <c r="U178" s="106"/>
      <c r="V178" s="91"/>
      <c r="W178" s="19"/>
      <c r="X178" s="19"/>
      <c r="Y178" s="19"/>
      <c r="Z178" s="19"/>
    </row>
    <row r="179" spans="16:26" ht="16.5" x14ac:dyDescent="0.25">
      <c r="P179" s="96"/>
      <c r="Q179" s="429" t="s">
        <v>121</v>
      </c>
      <c r="R179" s="429"/>
      <c r="S179" s="429"/>
      <c r="T179" s="88">
        <f>(R141*2+S141*2)/50+50</f>
        <v>62</v>
      </c>
      <c r="U179" s="106">
        <f>T179*V179</f>
        <v>8.6800000000000002E-3</v>
      </c>
      <c r="V179" s="37">
        <v>1.4000000000000001E-4</v>
      </c>
      <c r="W179" s="19"/>
      <c r="X179" s="19"/>
      <c r="Y179" s="19"/>
      <c r="Z179" s="19"/>
    </row>
    <row r="180" spans="16:26" ht="16.5" x14ac:dyDescent="0.25">
      <c r="P180" s="96"/>
      <c r="Q180" s="429" t="s">
        <v>122</v>
      </c>
      <c r="R180" s="429"/>
      <c r="S180" s="429"/>
      <c r="T180" s="88">
        <v>0</v>
      </c>
      <c r="U180" s="106">
        <f>T180*V180</f>
        <v>0</v>
      </c>
      <c r="V180" s="37">
        <v>8.0000000000000004E-4</v>
      </c>
      <c r="W180" s="19"/>
      <c r="X180" s="19"/>
      <c r="Y180" s="19"/>
      <c r="Z180" s="19"/>
    </row>
    <row r="181" spans="16:26" ht="16.5" x14ac:dyDescent="0.25">
      <c r="P181" s="96"/>
      <c r="Q181" s="429" t="s">
        <v>123</v>
      </c>
      <c r="R181" s="429"/>
      <c r="S181" s="429"/>
      <c r="T181" s="88">
        <v>0</v>
      </c>
      <c r="U181" s="106">
        <f>T181*V181</f>
        <v>0</v>
      </c>
      <c r="V181" s="91">
        <v>8.0000000000000004E-4</v>
      </c>
      <c r="W181" s="19"/>
      <c r="X181" s="19"/>
      <c r="Y181" s="19"/>
      <c r="Z181" s="19"/>
    </row>
    <row r="182" spans="16:26" ht="16.5" x14ac:dyDescent="0.25">
      <c r="P182" s="96"/>
      <c r="Q182" s="427" t="s">
        <v>124</v>
      </c>
      <c r="R182" s="427"/>
      <c r="S182" s="427"/>
      <c r="T182" s="88">
        <v>1</v>
      </c>
      <c r="U182" s="106">
        <f>T182*V182</f>
        <v>5.0000000000000001E-3</v>
      </c>
      <c r="V182" s="91">
        <v>5.0000000000000001E-3</v>
      </c>
      <c r="W182" s="19"/>
      <c r="X182" s="19"/>
      <c r="Y182" s="19"/>
      <c r="Z182" s="19"/>
    </row>
    <row r="183" spans="16:26" ht="16.5" x14ac:dyDescent="0.25">
      <c r="P183" s="96"/>
      <c r="Q183" s="427" t="s">
        <v>125</v>
      </c>
      <c r="R183" s="427"/>
      <c r="S183" s="427"/>
      <c r="T183" s="88">
        <v>1</v>
      </c>
      <c r="U183" s="115">
        <f>V183*(T183/T178)</f>
        <v>7.0000000000000001E-3</v>
      </c>
      <c r="V183" s="91">
        <v>7.0000000000000001E-3</v>
      </c>
      <c r="W183" s="19"/>
      <c r="X183" s="19"/>
      <c r="Y183" s="19"/>
      <c r="Z183" s="19"/>
    </row>
    <row r="184" spans="16:26" ht="16.5" x14ac:dyDescent="0.25">
      <c r="P184" s="96" t="str">
        <f>Q176</f>
        <v>Poinconnage</v>
      </c>
      <c r="Q184" s="97"/>
      <c r="R184" s="98" t="s">
        <v>129</v>
      </c>
      <c r="S184" s="122">
        <f>SUM(0.2,PRODUCT(0.08,T177))</f>
        <v>0.60000000000000009</v>
      </c>
      <c r="T184" s="99" t="s">
        <v>117</v>
      </c>
      <c r="U184" s="100">
        <f>SUM(U177:U183)*1.3</f>
        <v>4.6384000000000009E-2</v>
      </c>
      <c r="V184" s="123">
        <f>PRODUCT(U184,3600)</f>
        <v>166.98240000000004</v>
      </c>
      <c r="W184" s="19"/>
      <c r="X184" s="19"/>
      <c r="Y184" s="19"/>
      <c r="Z184" s="19"/>
    </row>
    <row r="185" spans="16:26" ht="16.5" x14ac:dyDescent="0.25">
      <c r="P185" s="131"/>
      <c r="Q185" s="132"/>
      <c r="R185" s="132"/>
      <c r="S185" s="132"/>
      <c r="T185" s="132"/>
      <c r="U185" s="132"/>
      <c r="V185" s="132"/>
      <c r="W185" s="132"/>
      <c r="X185" s="132"/>
      <c r="Y185" s="132"/>
      <c r="Z185" s="132"/>
    </row>
  </sheetData>
  <sheetProtection selectLockedCells="1" selectUnlockedCells="1"/>
  <mergeCells count="159">
    <mergeCell ref="Q179:S179"/>
    <mergeCell ref="Q180:S180"/>
    <mergeCell ref="Q181:S181"/>
    <mergeCell ref="Q182:S182"/>
    <mergeCell ref="Q183:S183"/>
    <mergeCell ref="R171:S171"/>
    <mergeCell ref="R172:S172"/>
    <mergeCell ref="R173:S173"/>
    <mergeCell ref="Q176:V176"/>
    <mergeCell ref="Q177:S177"/>
    <mergeCell ref="Q178:S178"/>
    <mergeCell ref="R165:S165"/>
    <mergeCell ref="R166:S166"/>
    <mergeCell ref="R167:S167"/>
    <mergeCell ref="R168:S168"/>
    <mergeCell ref="R169:S169"/>
    <mergeCell ref="R170:S170"/>
    <mergeCell ref="Q156:U156"/>
    <mergeCell ref="Q159:U159"/>
    <mergeCell ref="U163:V163"/>
    <mergeCell ref="W163:X163"/>
    <mergeCell ref="Y163:Z163"/>
    <mergeCell ref="Q164:T164"/>
    <mergeCell ref="Q137:S137"/>
    <mergeCell ref="R143:S143"/>
    <mergeCell ref="Q146:S146"/>
    <mergeCell ref="W146:Y146"/>
    <mergeCell ref="Q150:U150"/>
    <mergeCell ref="Q153:U153"/>
    <mergeCell ref="Q131:S131"/>
    <mergeCell ref="Q132:S132"/>
    <mergeCell ref="Q133:S133"/>
    <mergeCell ref="Q134:S134"/>
    <mergeCell ref="Q135:S135"/>
    <mergeCell ref="Q136:S136"/>
    <mergeCell ref="R123:S123"/>
    <mergeCell ref="R124:S124"/>
    <mergeCell ref="R125:S125"/>
    <mergeCell ref="R126:S126"/>
    <mergeCell ref="R127:S127"/>
    <mergeCell ref="Q130:V130"/>
    <mergeCell ref="Y117:Z117"/>
    <mergeCell ref="Q118:T118"/>
    <mergeCell ref="R119:S119"/>
    <mergeCell ref="R120:S120"/>
    <mergeCell ref="R121:S121"/>
    <mergeCell ref="R122:S122"/>
    <mergeCell ref="Q104:U104"/>
    <mergeCell ref="Q107:U107"/>
    <mergeCell ref="Q110:U110"/>
    <mergeCell ref="Q113:U113"/>
    <mergeCell ref="U117:V117"/>
    <mergeCell ref="W117:X117"/>
    <mergeCell ref="Q89:S89"/>
    <mergeCell ref="Q90:S90"/>
    <mergeCell ref="Q91:S91"/>
    <mergeCell ref="R97:S97"/>
    <mergeCell ref="Q100:S100"/>
    <mergeCell ref="W100:Y100"/>
    <mergeCell ref="R81:S81"/>
    <mergeCell ref="Q84:V84"/>
    <mergeCell ref="Q85:S85"/>
    <mergeCell ref="Q86:S86"/>
    <mergeCell ref="Q87:S87"/>
    <mergeCell ref="Q88:S88"/>
    <mergeCell ref="R75:S75"/>
    <mergeCell ref="R76:S76"/>
    <mergeCell ref="R77:S77"/>
    <mergeCell ref="R78:S78"/>
    <mergeCell ref="R79:S79"/>
    <mergeCell ref="R80:S80"/>
    <mergeCell ref="U71:V71"/>
    <mergeCell ref="W71:X71"/>
    <mergeCell ref="Y71:Z71"/>
    <mergeCell ref="Q72:T72"/>
    <mergeCell ref="R73:S73"/>
    <mergeCell ref="R74:S74"/>
    <mergeCell ref="N63:O63"/>
    <mergeCell ref="N64:O64"/>
    <mergeCell ref="Q64:U64"/>
    <mergeCell ref="N65:O65"/>
    <mergeCell ref="N66:O66"/>
    <mergeCell ref="N67:O67"/>
    <mergeCell ref="Q67:U67"/>
    <mergeCell ref="R51:S51"/>
    <mergeCell ref="A54:N54"/>
    <mergeCell ref="Q54:S54"/>
    <mergeCell ref="W54:Y54"/>
    <mergeCell ref="B55:L62"/>
    <mergeCell ref="Q58:U58"/>
    <mergeCell ref="Q61:U61"/>
    <mergeCell ref="Q41:S41"/>
    <mergeCell ref="Q42:S42"/>
    <mergeCell ref="Q43:S43"/>
    <mergeCell ref="Q44:S44"/>
    <mergeCell ref="Q45:S45"/>
    <mergeCell ref="J46:N46"/>
    <mergeCell ref="R33:S33"/>
    <mergeCell ref="R34:S34"/>
    <mergeCell ref="R35:S35"/>
    <mergeCell ref="Q38:V38"/>
    <mergeCell ref="Q39:S39"/>
    <mergeCell ref="Q40:S40"/>
    <mergeCell ref="R27:S27"/>
    <mergeCell ref="R28:S28"/>
    <mergeCell ref="R29:S29"/>
    <mergeCell ref="R30:S30"/>
    <mergeCell ref="R31:S31"/>
    <mergeCell ref="R32:S32"/>
    <mergeCell ref="A22:G22"/>
    <mergeCell ref="L22:M22"/>
    <mergeCell ref="U25:V25"/>
    <mergeCell ref="W25:X25"/>
    <mergeCell ref="Y25:Z25"/>
    <mergeCell ref="Q26:T26"/>
    <mergeCell ref="Q18:U18"/>
    <mergeCell ref="D19:H19"/>
    <mergeCell ref="J19:N19"/>
    <mergeCell ref="D20:H20"/>
    <mergeCell ref="J20:N20"/>
    <mergeCell ref="B21:H21"/>
    <mergeCell ref="J21:N21"/>
    <mergeCell ref="Q21:U21"/>
    <mergeCell ref="D16:H16"/>
    <mergeCell ref="J16:N16"/>
    <mergeCell ref="D17:H17"/>
    <mergeCell ref="J17:N17"/>
    <mergeCell ref="D18:H18"/>
    <mergeCell ref="J18:N18"/>
    <mergeCell ref="D14:H14"/>
    <mergeCell ref="J14:N14"/>
    <mergeCell ref="AB14:AF14"/>
    <mergeCell ref="D15:H15"/>
    <mergeCell ref="J15:N15"/>
    <mergeCell ref="Q15:U15"/>
    <mergeCell ref="AB11:AF11"/>
    <mergeCell ref="B12:H12"/>
    <mergeCell ref="K12:L12"/>
    <mergeCell ref="Q12:U12"/>
    <mergeCell ref="D13:H13"/>
    <mergeCell ref="J13:M13"/>
    <mergeCell ref="K8:L8"/>
    <mergeCell ref="Q8:S8"/>
    <mergeCell ref="W8:Y8"/>
    <mergeCell ref="K9:L9"/>
    <mergeCell ref="K10:L10"/>
    <mergeCell ref="K11:L11"/>
    <mergeCell ref="K3:L3"/>
    <mergeCell ref="K4:L4"/>
    <mergeCell ref="K5:L5"/>
    <mergeCell ref="R5:S5"/>
    <mergeCell ref="K6:L6"/>
    <mergeCell ref="K7:L7"/>
    <mergeCell ref="B1:C1"/>
    <mergeCell ref="D1:K1"/>
    <mergeCell ref="L1:M1"/>
    <mergeCell ref="N1:O1"/>
    <mergeCell ref="D2:M2"/>
    <mergeCell ref="N2:O2"/>
  </mergeCells>
  <conditionalFormatting sqref="K24:K44 M24:M45">
    <cfRule type="cellIs" dxfId="8" priority="1" stopIfTrue="1" operator="equal">
      <formula>0</formula>
    </cfRule>
  </conditionalFormatting>
  <conditionalFormatting sqref="P10:P23 P56:P69 P102:P115 P148:P161">
    <cfRule type="cellIs" dxfId="7" priority="2" stopIfTrue="1" operator="notEqual">
      <formula>#N/A</formula>
    </cfRule>
    <cfRule type="cellIs" dxfId="6" priority="3" stopIfTrue="1" operator="equal">
      <formula>#N/A</formula>
    </cfRule>
  </conditionalFormatting>
  <conditionalFormatting sqref="T10:T23 T56:T69 T102:T115 T148:T161">
    <cfRule type="cellIs" dxfId="5" priority="4" stopIfTrue="1" operator="equal">
      <formula>0</formula>
    </cfRule>
    <cfRule type="cellIs" dxfId="4" priority="5" stopIfTrue="1" operator="greaterThan">
      <formula>0</formula>
    </cfRule>
  </conditionalFormatting>
  <conditionalFormatting sqref="C14:C20">
    <cfRule type="expression" dxfId="3" priority="6" stopIfTrue="1">
      <formula>B14=""</formula>
    </cfRule>
    <cfRule type="expression" dxfId="2" priority="7" stopIfTrue="1">
      <formula>B14&lt;&gt;""</formula>
    </cfRule>
  </conditionalFormatting>
  <conditionalFormatting sqref="G4:H11">
    <cfRule type="cellIs" dxfId="1" priority="8" stopIfTrue="1" operator="equal">
      <formula>0</formula>
    </cfRule>
    <cfRule type="cellIs" dxfId="0" priority="9" stopIfTrue="1" operator="greaterThan">
      <formula>0</formula>
    </cfRule>
  </conditionalFormatting>
  <dataValidations count="32">
    <dataValidation type="list" operator="equal" showErrorMessage="1" errorTitle="Erreur" error="Veuillez selectionner une valeur_x000a_dans la liste déroulante" sqref="U3 U49 U95 U141">
      <formula1>TypeMatiere</formula1>
      <formula2>0</formula2>
    </dataValidation>
    <dataValidation type="list" operator="equal" allowBlank="1" sqref="B4:B11">
      <formula1>DesignationMatiere</formula1>
      <formula2>0</formula2>
    </dataValidation>
    <dataValidation type="list" operator="equal" allowBlank="1" sqref="C4:C11">
      <formula1>"1000,1250,1500,2000,2500,3000,"</formula1>
      <formula2>0</formula2>
    </dataValidation>
    <dataValidation type="list" operator="equal" allowBlank="1" sqref="D4:D11">
      <formula1>"1000,1250,1500,2000,2500,3000"</formula1>
      <formula2>0</formula2>
    </dataValidation>
    <dataValidation operator="equal" allowBlank="1" showInputMessage="1" promptTitle="Aide" prompt="70 Pour le Laser Amada" sqref="U6 U52 U98 U144">
      <formula1>0</formula1>
      <formula2>0</formula2>
    </dataValidation>
    <dataValidation type="list" operator="equal" allowBlank="1" sqref="AB13">
      <formula1>TypeMatiere</formula1>
      <formula2>0</formula2>
    </dataValidation>
    <dataValidation type="list" operator="equal" allowBlank="1" sqref="B14:B20">
      <formula1>DesignationComposant</formula1>
      <formula2>0</formula2>
    </dataValidation>
    <dataValidation type="list" operator="equal" allowBlank="1" sqref="C14:C20">
      <formula1>"0,1,2,3,4,5,6,7,8,9,10,20,50,100,150,200"</formula1>
      <formula2>0</formula2>
    </dataValidation>
    <dataValidation type="list" operator="equal" allowBlank="1" sqref="AB16">
      <formula1>TypeMatiere</formula1>
      <formula2>0</formula2>
    </dataValidation>
    <dataValidation type="list" operator="equal" allowBlank="1" sqref="B24:B44">
      <formula1>DesignationOperation</formula1>
      <formula2>0</formula2>
    </dataValidation>
    <dataValidation type="list" operator="equal" promptTitle="aide" prompt="si aide calcul alors mettre valeur a 1" sqref="D24:D44 T32:T34 T40:T45 T78:T80 T86:T91 T124:T126 T132:T137 T170:T172 T178:T183">
      <formula1>"0,1,2,3,4,5,6,7,8,9,10,50,150,,"</formula1>
      <formula2>0</formula2>
    </dataValidation>
    <dataValidation type="list" operator="equal" allowBlank="1" sqref="F24:F44">
      <mc:AlternateContent xmlns:x12ac="http://schemas.microsoft.com/office/spreadsheetml/2011/1/ac" xmlns:mc="http://schemas.openxmlformats.org/markup-compatibility/2006">
        <mc:Choice Requires="x12ac">
          <x12ac:list>,"0,2","0,3","0,4","0,5","0,6","0,7","0,8","0,9",1</x12ac:list>
        </mc:Choice>
        <mc:Fallback>
          <formula1>",0,2,0,3,0,4,0,5,0,6,0,7,0,8,0,9,1"</formula1>
        </mc:Fallback>
      </mc:AlternateContent>
      <formula2>0</formula2>
    </dataValidation>
    <dataValidation type="decimal" errorStyle="information" operator="greaterThan" allowBlank="1" errorTitle="ERREUR" error="Verifier vos paramètres" sqref="U26:U27 W26:W27 Y26:Y27 U72:U73 W72:W73 Y72:Y73 U118:U119 W118:W119 Y118:Y119 U164:U165 W164:W165 Y164:Y165">
      <formula1>0</formula1>
      <formula2>0</formula2>
    </dataValidation>
    <dataValidation operator="equal" allowBlank="1" promptTitle="aide" prompt="si aide calcul alors mettre valeur a 1" sqref="T27 T73 T119 T165">
      <formula1>0</formula1>
      <formula2>0</formula2>
    </dataValidation>
    <dataValidation type="list" operator="equal" showErrorMessage="1" errorTitle="Erreur" error="Seules les valueurs Oxygene/Azote sont autorisées" promptTitle="aide" prompt="si aide calcul alors mettre valeur a 1" sqref="T28 T74 T120 T166">
      <formula1>"Oxygene,Azote"</formula1>
      <formula2>0</formula2>
    </dataValidation>
    <dataValidation type="list" operator="equal" showInputMessage="1" showErrorMessage="1" errorTitle="Erreur" error="Seule les valeurs 0/1 sont autorisées" promptTitle="aide" prompt="0 HighSpeed Désactivé_x000a_1 HighSpeed Activé" sqref="T29 T75 T121 T167">
      <formula1>"0,1"</formula1>
      <formula2>0</formula2>
    </dataValidation>
    <dataValidation type="list" operator="equal" allowBlank="1" sqref="T30 T76 T122 T168">
      <formula1>"100,300,600,700,750"</formula1>
      <formula2>0</formula2>
    </dataValidation>
    <dataValidation type="list" operator="equal" allowBlank="1" sqref="T31 T77 T123 T169">
      <formula1>"0,1,2,3,4,5,6,7,8,9,10,50,150"</formula1>
      <formula2>0</formula2>
    </dataValidation>
    <dataValidation type="list" operator="equal" allowBlank="1" sqref="T35 T81 T127 T173">
      <formula1>"0,1"</formula1>
      <formula2>0</formula2>
    </dataValidation>
    <dataValidation type="list" operator="equal" promptTitle="aide" prompt="si aide calcul alors mettre valeur a 1" sqref="T39 T85 T131 T177">
      <formula1>"0,1,2,3,4,5,6,7,8,9,10,11,12,13,14,15,16,17,18,19,20"</formula1>
      <formula2>0</formula2>
    </dataValidation>
    <dataValidation type="list" operator="equal" allowBlank="1" sqref="C45:F45 D46 G46 L47 D66">
      <formula1>#N/A</formula1>
      <formula2>0</formula2>
    </dataValidation>
    <dataValidation type="list" operator="equal" allowBlank="1" sqref="C46">
      <mc:AlternateContent xmlns:x12ac="http://schemas.microsoft.com/office/spreadsheetml/2011/1/ac" xmlns:mc="http://schemas.openxmlformats.org/markup-compatibility/2006">
        <mc:Choice Requires="x12ac">
          <x12ac:list>0,"0,15","0,25","0,5","0,75",1,"1,5",2,3,4,5,6,12</x12ac:list>
        </mc:Choice>
        <mc:Fallback>
          <formula1>"0,0,15,0,25,0,5,0,75,1,1,5,2,3,4,5,6,12"</formula1>
        </mc:Fallback>
      </mc:AlternateContent>
      <formula2>0</formula2>
    </dataValidation>
    <dataValidation type="list" operator="equal" allowBlank="1" sqref="F46">
      <formula1>"5,10,15,20,25,30,40"</formula1>
      <formula2>0</formula2>
    </dataValidation>
    <dataValidation type="list" operator="equal" allowBlank="1" sqref="B47:D47">
      <formula1>DesignationTS</formula1>
      <formula2>0</formula2>
    </dataValidation>
    <dataValidation type="list" operator="equal" allowBlank="1" sqref="E47">
      <formula1>"Usinage,Usi Esti"</formula1>
      <formula2>0</formula2>
    </dataValidation>
    <dataValidation type="list" operator="equal" allowBlank="1" sqref="A48:A53 F48:F53">
      <formula1>DesignationDensiteMatiere</formula1>
      <formula2>0</formula2>
    </dataValidation>
    <dataValidation type="list" operator="equal" allowBlank="1" sqref="K48:K53">
      <formula1>"1,2,5,10,15,20,25,50,100,150,200"</formula1>
      <formula2>0</formula2>
    </dataValidation>
    <dataValidation type="list" operator="equal" sqref="L48:L53">
      <formula1>"6,9,11,16,19,21,26,31,36,41,46,51,56,61,100,"</formula1>
      <formula2>0</formula2>
    </dataValidation>
    <dataValidation type="list" operator="equal" allowBlank="1" sqref="N56">
      <formula1>Difficulte</formula1>
      <formula2>0</formula2>
    </dataValidation>
    <dataValidation type="list" operator="equal" allowBlank="1" sqref="N57">
      <formula1>Delai</formula1>
      <formula2>0</formula2>
    </dataValidation>
    <dataValidation type="list" operator="equal" allowBlank="1" sqref="N58">
      <formula1>Traitement</formula1>
      <formula2>0</formula2>
    </dataValidation>
    <dataValidation type="list" operator="equal" allowBlank="1" sqref="B1">
      <formula1>Auteur</formula1>
      <formula2>0</formula2>
    </dataValidation>
  </dataValidations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PushButton3">
              <controlPr defaultSize="0" print="0" autoFill="0" autoLine="0" autoPict="0" macro="[0]!Chiffrage.Main" altText="">
                <anchor moveWithCells="1" sizeWithCells="1">
                  <from>
                    <xdr:col>33</xdr:col>
                    <xdr:colOff>142875</xdr:colOff>
                    <xdr:row>0</xdr:row>
                    <xdr:rowOff>0</xdr:rowOff>
                  </from>
                  <to>
                    <xdr:col>36</xdr:col>
                    <xdr:colOff>200025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outon 1">
              <controlPr defaultSize="0" print="0" autoFill="0" autoLine="0" autoPict="0" altText="">
                <anchor>
                  <from>
                    <xdr:col>13</xdr:col>
                    <xdr:colOff>790575</xdr:colOff>
                    <xdr:row>2</xdr:row>
                    <xdr:rowOff>200025</xdr:rowOff>
                  </from>
                  <to>
                    <xdr:col>15</xdr:col>
                    <xdr:colOff>390525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outon 2">
              <controlPr defaultSize="0" print="0" autoFill="0" autoLine="0" autoPict="0" macro="[0]!Chiffrage.CopierPlageCalcul" altText="">
                <anchor>
                  <from>
                    <xdr:col>13</xdr:col>
                    <xdr:colOff>790575</xdr:colOff>
                    <xdr:row>3</xdr:row>
                    <xdr:rowOff>219075</xdr:rowOff>
                  </from>
                  <to>
                    <xdr:col>15</xdr:col>
                    <xdr:colOff>390525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outon 3">
              <controlPr defaultSize="0" print="0" autoFill="0" autoLine="0" autoPict="0" altText="">
                <anchor>
                  <from>
                    <xdr:col>13</xdr:col>
                    <xdr:colOff>752475</xdr:colOff>
                    <xdr:row>11</xdr:row>
                    <xdr:rowOff>66675</xdr:rowOff>
                  </from>
                  <to>
                    <xdr:col>15</xdr:col>
                    <xdr:colOff>342900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1"/>
  <sheetViews>
    <sheetView zoomScaleNormal="100" workbookViewId="0"/>
  </sheetViews>
  <sheetFormatPr baseColWidth="10" defaultColWidth="11.5703125" defaultRowHeight="12.75" x14ac:dyDescent="0.2"/>
  <cols>
    <col min="6" max="6" width="11.5703125" style="158"/>
    <col min="8" max="8" width="43.140625" customWidth="1"/>
  </cols>
  <sheetData>
    <row r="1" spans="1:9" x14ac:dyDescent="0.2">
      <c r="E1">
        <f>COUNTA(DesignationMatiere)</f>
        <v>38</v>
      </c>
    </row>
    <row r="2" spans="1:9" ht="15" x14ac:dyDescent="0.2">
      <c r="D2" s="490" t="s">
        <v>159</v>
      </c>
      <c r="E2" s="490"/>
      <c r="F2" s="490"/>
      <c r="G2" s="490"/>
      <c r="H2" s="159"/>
    </row>
    <row r="3" spans="1:9" ht="15" x14ac:dyDescent="0.2">
      <c r="A3" s="160" t="s">
        <v>61</v>
      </c>
      <c r="B3" s="160" t="s">
        <v>160</v>
      </c>
      <c r="D3" s="161" t="s">
        <v>8</v>
      </c>
      <c r="E3" s="161" t="s">
        <v>161</v>
      </c>
      <c r="F3" s="162" t="s">
        <v>162</v>
      </c>
      <c r="G3" s="161" t="s">
        <v>160</v>
      </c>
      <c r="H3" s="161" t="s">
        <v>163</v>
      </c>
    </row>
    <row r="4" spans="1:9" x14ac:dyDescent="0.2">
      <c r="A4" s="159" t="s">
        <v>23</v>
      </c>
      <c r="B4" s="159">
        <v>7.8</v>
      </c>
      <c r="C4" t="s">
        <v>164</v>
      </c>
      <c r="D4" s="159" t="s">
        <v>23</v>
      </c>
      <c r="E4" s="159" t="s">
        <v>24</v>
      </c>
      <c r="F4" s="163">
        <v>0.65</v>
      </c>
      <c r="G4" s="164">
        <f>VLOOKUP(D4,$A$4:$B$17,2,0)</f>
        <v>7.8</v>
      </c>
      <c r="H4" s="164" t="s">
        <v>24</v>
      </c>
    </row>
    <row r="5" spans="1:9" x14ac:dyDescent="0.2">
      <c r="A5" s="159" t="s">
        <v>165</v>
      </c>
      <c r="B5" s="159">
        <v>7.8</v>
      </c>
      <c r="C5" t="s">
        <v>164</v>
      </c>
      <c r="D5" s="159" t="s">
        <v>23</v>
      </c>
      <c r="E5" s="159" t="s">
        <v>166</v>
      </c>
      <c r="F5" s="163">
        <v>0.65</v>
      </c>
      <c r="G5" s="164">
        <f>VLOOKUP(D5,$A$4:$B$17,2,0)</f>
        <v>7.8</v>
      </c>
      <c r="H5" s="164"/>
      <c r="I5" t="s">
        <v>167</v>
      </c>
    </row>
    <row r="6" spans="1:9" x14ac:dyDescent="0.2">
      <c r="A6" s="159" t="s">
        <v>72</v>
      </c>
      <c r="B6" s="159">
        <v>2.8</v>
      </c>
      <c r="C6" t="s">
        <v>164</v>
      </c>
      <c r="D6" s="159" t="s">
        <v>23</v>
      </c>
      <c r="E6" s="159" t="s">
        <v>168</v>
      </c>
      <c r="F6" s="163">
        <v>0.65</v>
      </c>
      <c r="G6" s="164">
        <f>VLOOKUP(D6,$A$4:$B$17,2,0)</f>
        <v>7.8</v>
      </c>
      <c r="H6" s="164"/>
    </row>
    <row r="7" spans="1:9" x14ac:dyDescent="0.2">
      <c r="A7" s="159" t="s">
        <v>169</v>
      </c>
      <c r="B7" s="159">
        <v>8.5</v>
      </c>
      <c r="C7" t="s">
        <v>164</v>
      </c>
      <c r="D7" s="159" t="s">
        <v>23</v>
      </c>
      <c r="E7" s="159" t="s">
        <v>170</v>
      </c>
      <c r="F7" s="163">
        <v>0.75</v>
      </c>
      <c r="G7" s="164">
        <v>8</v>
      </c>
      <c r="H7" s="164"/>
    </row>
    <row r="8" spans="1:9" x14ac:dyDescent="0.2">
      <c r="A8" s="159" t="s">
        <v>171</v>
      </c>
      <c r="B8" s="159">
        <v>9</v>
      </c>
      <c r="C8" t="s">
        <v>164</v>
      </c>
      <c r="D8" s="159" t="s">
        <v>23</v>
      </c>
      <c r="E8" s="159" t="s">
        <v>172</v>
      </c>
      <c r="F8" s="163">
        <v>0.75</v>
      </c>
      <c r="G8" s="164">
        <f>VLOOKUP(D8,$A$4:$B$17,2,0)</f>
        <v>7.8</v>
      </c>
      <c r="H8" s="164"/>
    </row>
    <row r="9" spans="1:9" x14ac:dyDescent="0.2">
      <c r="A9" s="159" t="s">
        <v>173</v>
      </c>
      <c r="B9" s="159">
        <v>9</v>
      </c>
      <c r="C9" t="s">
        <v>164</v>
      </c>
      <c r="D9" s="159" t="s">
        <v>23</v>
      </c>
      <c r="E9" s="159" t="s">
        <v>174</v>
      </c>
      <c r="F9" s="163">
        <v>0.75</v>
      </c>
      <c r="G9" s="164">
        <f>VLOOKUP(D9,$A$4:$B$17,2,0)</f>
        <v>7.8</v>
      </c>
      <c r="H9" s="164"/>
    </row>
    <row r="10" spans="1:9" x14ac:dyDescent="0.2">
      <c r="A10" s="159" t="s">
        <v>175</v>
      </c>
      <c r="B10" s="159">
        <v>1.2</v>
      </c>
      <c r="D10" s="159" t="s">
        <v>23</v>
      </c>
      <c r="E10" s="159" t="s">
        <v>176</v>
      </c>
      <c r="F10" s="163">
        <v>1</v>
      </c>
      <c r="G10" s="164">
        <f>VLOOKUP(D10,$A$4:$B$17,2,0)</f>
        <v>7.8</v>
      </c>
      <c r="H10" s="164"/>
    </row>
    <row r="11" spans="1:9" x14ac:dyDescent="0.2">
      <c r="D11" s="159" t="s">
        <v>23</v>
      </c>
      <c r="E11" s="159" t="s">
        <v>177</v>
      </c>
      <c r="F11" s="163">
        <v>6</v>
      </c>
      <c r="G11" s="164">
        <f>VLOOKUP(D11,$A$4:$B$17,2,0)</f>
        <v>7.8</v>
      </c>
      <c r="H11" s="164"/>
    </row>
    <row r="12" spans="1:9" x14ac:dyDescent="0.2">
      <c r="D12" s="159" t="s">
        <v>23</v>
      </c>
      <c r="E12" s="159" t="s">
        <v>178</v>
      </c>
      <c r="F12" s="163"/>
      <c r="G12" s="164"/>
      <c r="H12" s="164"/>
    </row>
    <row r="13" spans="1:9" x14ac:dyDescent="0.2">
      <c r="D13" s="159" t="s">
        <v>23</v>
      </c>
      <c r="E13" s="159" t="s">
        <v>179</v>
      </c>
      <c r="F13" s="163">
        <v>0.9</v>
      </c>
      <c r="G13" s="164">
        <f>VLOOKUP(D13,$A$4:$B$17,2,0)</f>
        <v>7.8</v>
      </c>
      <c r="H13" s="164"/>
    </row>
    <row r="14" spans="1:9" x14ac:dyDescent="0.2">
      <c r="D14" s="159" t="s">
        <v>23</v>
      </c>
      <c r="E14" s="159" t="s">
        <v>178</v>
      </c>
      <c r="F14" s="163"/>
      <c r="G14" s="164"/>
      <c r="H14" s="164"/>
    </row>
    <row r="15" spans="1:9" x14ac:dyDescent="0.2">
      <c r="C15" t="s">
        <v>164</v>
      </c>
      <c r="D15" s="159" t="s">
        <v>165</v>
      </c>
      <c r="E15" s="159" t="s">
        <v>180</v>
      </c>
      <c r="F15" s="163">
        <v>3</v>
      </c>
      <c r="G15" s="164">
        <f t="shared" ref="G15:G22" si="0">VLOOKUP(D15,$A$4:$B$17,2,0)</f>
        <v>7.8</v>
      </c>
      <c r="H15" s="164"/>
    </row>
    <row r="16" spans="1:9" x14ac:dyDescent="0.2">
      <c r="D16" s="159" t="s">
        <v>165</v>
      </c>
      <c r="E16" s="159" t="s">
        <v>181</v>
      </c>
      <c r="F16" s="163">
        <v>3</v>
      </c>
      <c r="G16" s="164">
        <f t="shared" si="0"/>
        <v>7.8</v>
      </c>
      <c r="H16" s="164"/>
    </row>
    <row r="17" spans="3:9" x14ac:dyDescent="0.2">
      <c r="D17" s="159" t="s">
        <v>165</v>
      </c>
      <c r="E17" s="165">
        <v>430</v>
      </c>
      <c r="F17" s="163">
        <v>2.5</v>
      </c>
      <c r="G17" s="164">
        <f t="shared" si="0"/>
        <v>7.8</v>
      </c>
      <c r="H17" s="164"/>
    </row>
    <row r="18" spans="3:9" x14ac:dyDescent="0.2">
      <c r="D18" s="159" t="s">
        <v>165</v>
      </c>
      <c r="E18" s="159" t="s">
        <v>182</v>
      </c>
      <c r="F18" s="163">
        <v>3.5</v>
      </c>
      <c r="G18" s="164">
        <f t="shared" si="0"/>
        <v>7.8</v>
      </c>
      <c r="H18" s="164"/>
      <c r="I18" s="166"/>
    </row>
    <row r="19" spans="3:9" x14ac:dyDescent="0.2">
      <c r="D19" s="159" t="s">
        <v>165</v>
      </c>
      <c r="E19" s="159" t="s">
        <v>183</v>
      </c>
      <c r="F19" s="163">
        <v>8</v>
      </c>
      <c r="G19" s="164">
        <f t="shared" si="0"/>
        <v>7.8</v>
      </c>
      <c r="H19" s="164"/>
    </row>
    <row r="20" spans="3:9" x14ac:dyDescent="0.2">
      <c r="D20" s="159" t="s">
        <v>165</v>
      </c>
      <c r="E20" s="159" t="s">
        <v>184</v>
      </c>
      <c r="F20" s="163">
        <v>4.4000000000000004</v>
      </c>
      <c r="G20" s="164">
        <f t="shared" si="0"/>
        <v>7.8</v>
      </c>
      <c r="H20" s="167">
        <v>41340</v>
      </c>
    </row>
    <row r="21" spans="3:9" x14ac:dyDescent="0.2">
      <c r="D21" s="159" t="s">
        <v>165</v>
      </c>
      <c r="E21" s="165">
        <v>321</v>
      </c>
      <c r="F21" s="163">
        <v>4.0999999999999996</v>
      </c>
      <c r="G21" s="164">
        <f t="shared" si="0"/>
        <v>7.8</v>
      </c>
      <c r="H21" s="164"/>
    </row>
    <row r="22" spans="3:9" x14ac:dyDescent="0.2">
      <c r="D22" s="159" t="s">
        <v>165</v>
      </c>
      <c r="E22" s="159" t="s">
        <v>185</v>
      </c>
      <c r="F22" s="163">
        <v>8.1</v>
      </c>
      <c r="G22" s="164">
        <f t="shared" si="0"/>
        <v>7.8</v>
      </c>
      <c r="H22" s="164"/>
    </row>
    <row r="23" spans="3:9" x14ac:dyDescent="0.2">
      <c r="D23" s="159"/>
      <c r="E23" s="159" t="s">
        <v>178</v>
      </c>
      <c r="F23" s="163"/>
      <c r="G23" s="164"/>
      <c r="H23" s="164"/>
    </row>
    <row r="24" spans="3:9" x14ac:dyDescent="0.2">
      <c r="C24" t="s">
        <v>164</v>
      </c>
      <c r="D24" s="159" t="s">
        <v>72</v>
      </c>
      <c r="E24" s="159" t="s">
        <v>186</v>
      </c>
      <c r="F24" s="164">
        <v>3.2</v>
      </c>
      <c r="G24" s="164">
        <f t="shared" ref="G24:G33" si="1">VLOOKUP(D24,$A$4:$B$17,2,0)</f>
        <v>2.8</v>
      </c>
      <c r="H24" s="164"/>
    </row>
    <row r="25" spans="3:9" x14ac:dyDescent="0.2">
      <c r="D25" s="159" t="s">
        <v>72</v>
      </c>
      <c r="E25" s="159" t="s">
        <v>187</v>
      </c>
      <c r="F25" s="164">
        <v>3.2</v>
      </c>
      <c r="G25" s="164">
        <f t="shared" si="1"/>
        <v>2.8</v>
      </c>
      <c r="H25" s="164"/>
    </row>
    <row r="26" spans="3:9" x14ac:dyDescent="0.2">
      <c r="D26" s="159" t="s">
        <v>72</v>
      </c>
      <c r="E26" s="159" t="s">
        <v>188</v>
      </c>
      <c r="F26" s="164">
        <v>4.5</v>
      </c>
      <c r="G26" s="164">
        <f t="shared" si="1"/>
        <v>2.8</v>
      </c>
      <c r="H26" s="164"/>
    </row>
    <row r="27" spans="3:9" x14ac:dyDescent="0.2">
      <c r="D27" s="159" t="s">
        <v>72</v>
      </c>
      <c r="E27" s="159" t="s">
        <v>189</v>
      </c>
      <c r="F27" s="164">
        <v>5.5</v>
      </c>
      <c r="G27" s="164">
        <f t="shared" si="1"/>
        <v>2.8</v>
      </c>
      <c r="H27" s="164"/>
    </row>
    <row r="28" spans="3:9" x14ac:dyDescent="0.2">
      <c r="D28" s="159" t="s">
        <v>72</v>
      </c>
      <c r="E28" s="159" t="s">
        <v>190</v>
      </c>
      <c r="F28" s="164">
        <v>5.5</v>
      </c>
      <c r="G28" s="164">
        <f t="shared" si="1"/>
        <v>2.8</v>
      </c>
      <c r="H28" s="164"/>
    </row>
    <row r="29" spans="3:9" x14ac:dyDescent="0.2">
      <c r="D29" s="159" t="s">
        <v>72</v>
      </c>
      <c r="E29" s="159" t="s">
        <v>191</v>
      </c>
      <c r="F29" s="164">
        <v>5.6</v>
      </c>
      <c r="G29" s="164">
        <f t="shared" si="1"/>
        <v>2.8</v>
      </c>
      <c r="H29" s="164"/>
    </row>
    <row r="30" spans="3:9" x14ac:dyDescent="0.2">
      <c r="D30" s="159" t="s">
        <v>72</v>
      </c>
      <c r="E30" s="159" t="s">
        <v>192</v>
      </c>
      <c r="F30" s="164">
        <v>5</v>
      </c>
      <c r="G30" s="164">
        <f t="shared" si="1"/>
        <v>2.8</v>
      </c>
      <c r="H30" s="164"/>
    </row>
    <row r="31" spans="3:9" x14ac:dyDescent="0.2">
      <c r="D31" s="159" t="s">
        <v>72</v>
      </c>
      <c r="E31" s="159" t="s">
        <v>193</v>
      </c>
      <c r="F31" s="159">
        <v>2.7</v>
      </c>
      <c r="G31" s="164">
        <f t="shared" si="1"/>
        <v>2.8</v>
      </c>
      <c r="H31" s="164"/>
    </row>
    <row r="32" spans="3:9" x14ac:dyDescent="0.2">
      <c r="D32" s="159" t="s">
        <v>72</v>
      </c>
      <c r="E32" s="159" t="s">
        <v>194</v>
      </c>
      <c r="F32" s="164">
        <v>10</v>
      </c>
      <c r="G32" s="164">
        <f t="shared" si="1"/>
        <v>2.8</v>
      </c>
      <c r="H32" s="164"/>
    </row>
    <row r="33" spans="4:9" x14ac:dyDescent="0.2">
      <c r="D33" s="159" t="s">
        <v>72</v>
      </c>
      <c r="E33" s="159" t="s">
        <v>195</v>
      </c>
      <c r="F33" s="164">
        <v>6.5</v>
      </c>
      <c r="G33" s="164">
        <f t="shared" si="1"/>
        <v>2.8</v>
      </c>
      <c r="H33" s="164"/>
    </row>
    <row r="34" spans="4:9" x14ac:dyDescent="0.2">
      <c r="D34" s="159"/>
      <c r="E34" s="159" t="s">
        <v>178</v>
      </c>
      <c r="F34" s="164"/>
      <c r="G34" s="164"/>
      <c r="H34" s="164"/>
    </row>
    <row r="35" spans="4:9" x14ac:dyDescent="0.2">
      <c r="D35" s="159" t="s">
        <v>169</v>
      </c>
      <c r="E35" s="168" t="s">
        <v>196</v>
      </c>
      <c r="F35" s="164">
        <v>17</v>
      </c>
      <c r="G35" s="164">
        <f>VLOOKUP(D35,$A$4:$B$17,2,0)</f>
        <v>8.5</v>
      </c>
      <c r="H35" s="164"/>
    </row>
    <row r="36" spans="4:9" x14ac:dyDescent="0.2">
      <c r="D36" s="159"/>
      <c r="E36" s="159" t="s">
        <v>178</v>
      </c>
      <c r="F36" s="164"/>
      <c r="G36" s="164"/>
      <c r="H36" s="164"/>
    </row>
    <row r="37" spans="4:9" x14ac:dyDescent="0.2">
      <c r="D37" s="159" t="s">
        <v>171</v>
      </c>
      <c r="E37" s="159" t="s">
        <v>171</v>
      </c>
      <c r="F37" s="159">
        <v>20.2</v>
      </c>
      <c r="G37" s="164">
        <f>VLOOKUP(D37,$A$4:$B$17,2,0)</f>
        <v>9</v>
      </c>
      <c r="H37" s="164"/>
    </row>
    <row r="38" spans="4:9" x14ac:dyDescent="0.2">
      <c r="D38" s="159"/>
      <c r="E38" s="159" t="s">
        <v>178</v>
      </c>
      <c r="F38" s="159"/>
      <c r="G38" s="164"/>
      <c r="H38" t="s">
        <v>197</v>
      </c>
    </row>
    <row r="39" spans="4:9" x14ac:dyDescent="0.2">
      <c r="D39" s="159" t="s">
        <v>198</v>
      </c>
      <c r="E39" s="159" t="s">
        <v>199</v>
      </c>
      <c r="F39" s="159">
        <v>5.2</v>
      </c>
      <c r="G39" s="164">
        <v>1.2</v>
      </c>
      <c r="H39" t="s">
        <v>200</v>
      </c>
    </row>
    <row r="40" spans="4:9" x14ac:dyDescent="0.2">
      <c r="D40" s="159" t="s">
        <v>201</v>
      </c>
      <c r="E40" s="159" t="s">
        <v>201</v>
      </c>
      <c r="F40" s="159">
        <v>5</v>
      </c>
      <c r="G40" s="164">
        <v>1.4</v>
      </c>
    </row>
    <row r="41" spans="4:9" x14ac:dyDescent="0.2">
      <c r="E41" t="str">
        <f>CONCATENATE("_",'349A6898P001'!C3)</f>
        <v>_Plan :</v>
      </c>
      <c r="F41" s="158">
        <f>'349A6898P001'!H14</f>
        <v>8.6520140946697868E-2</v>
      </c>
      <c r="G41">
        <v>0</v>
      </c>
      <c r="H41">
        <f>'349A6898P001'!L14</f>
        <v>3.1763969999999996E-2</v>
      </c>
      <c r="I41">
        <f>'349A6898P001'!M14</f>
        <v>0.123879483</v>
      </c>
    </row>
  </sheetData>
  <sheetProtection selectLockedCells="1" selectUnlockedCells="1"/>
  <mergeCells count="1">
    <mergeCell ref="D2:G2"/>
  </mergeCells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zoomScaleNormal="100" workbookViewId="0"/>
  </sheetViews>
  <sheetFormatPr baseColWidth="10" defaultColWidth="11.5703125" defaultRowHeight="12.75" x14ac:dyDescent="0.2"/>
  <cols>
    <col min="1" max="1" width="17.5703125" style="158" customWidth="1"/>
    <col min="2" max="2" width="17.5703125" customWidth="1"/>
    <col min="8" max="8" width="18.5703125" customWidth="1"/>
    <col min="9" max="9" width="11.5703125" style="158"/>
  </cols>
  <sheetData>
    <row r="1" spans="1:9" x14ac:dyDescent="0.2">
      <c r="A1"/>
      <c r="B1" t="s">
        <v>202</v>
      </c>
      <c r="C1">
        <f>COUNTA(DesignationAchatQte)</f>
        <v>0</v>
      </c>
      <c r="G1">
        <f>COUNTA(DesignationComposant)</f>
        <v>24</v>
      </c>
      <c r="H1" t="s">
        <v>68</v>
      </c>
    </row>
    <row r="2" spans="1:9" x14ac:dyDescent="0.2">
      <c r="A2"/>
      <c r="B2" t="s">
        <v>203</v>
      </c>
      <c r="C2" t="s">
        <v>69</v>
      </c>
      <c r="D2" t="s">
        <v>204</v>
      </c>
      <c r="H2" t="s">
        <v>161</v>
      </c>
      <c r="I2" s="158" t="s">
        <v>205</v>
      </c>
    </row>
    <row r="3" spans="1:9" x14ac:dyDescent="0.2">
      <c r="A3" s="169"/>
      <c r="H3" t="s">
        <v>206</v>
      </c>
      <c r="I3" s="169">
        <v>0.15</v>
      </c>
    </row>
    <row r="4" spans="1:9" x14ac:dyDescent="0.2">
      <c r="A4" s="169"/>
      <c r="H4" t="s">
        <v>207</v>
      </c>
      <c r="I4" s="169">
        <v>0.25</v>
      </c>
    </row>
    <row r="5" spans="1:9" x14ac:dyDescent="0.2">
      <c r="A5" s="169"/>
      <c r="H5" t="s">
        <v>208</v>
      </c>
      <c r="I5" s="169">
        <v>0.2</v>
      </c>
    </row>
    <row r="6" spans="1:9" x14ac:dyDescent="0.2">
      <c r="A6" s="169"/>
      <c r="H6" t="s">
        <v>209</v>
      </c>
      <c r="I6" s="169">
        <v>0.30000000000000004</v>
      </c>
    </row>
    <row r="7" spans="1:9" x14ac:dyDescent="0.2">
      <c r="H7" t="s">
        <v>210</v>
      </c>
      <c r="I7" s="169">
        <v>0.1</v>
      </c>
    </row>
    <row r="8" spans="1:9" x14ac:dyDescent="0.2">
      <c r="B8" s="170"/>
      <c r="H8" t="s">
        <v>211</v>
      </c>
      <c r="I8" s="169">
        <v>0.2</v>
      </c>
    </row>
    <row r="9" spans="1:9" x14ac:dyDescent="0.2">
      <c r="H9" t="s">
        <v>212</v>
      </c>
      <c r="I9" s="169">
        <v>0.15</v>
      </c>
    </row>
    <row r="10" spans="1:9" x14ac:dyDescent="0.2">
      <c r="H10" t="s">
        <v>213</v>
      </c>
      <c r="I10" s="169">
        <v>0.30000000000000004</v>
      </c>
    </row>
    <row r="11" spans="1:9" x14ac:dyDescent="0.2">
      <c r="H11" t="s">
        <v>214</v>
      </c>
      <c r="I11" s="158">
        <v>0.15</v>
      </c>
    </row>
    <row r="12" spans="1:9" x14ac:dyDescent="0.2">
      <c r="H12" t="s">
        <v>215</v>
      </c>
      <c r="I12" s="158">
        <v>0.35</v>
      </c>
    </row>
    <row r="13" spans="1:9" x14ac:dyDescent="0.2">
      <c r="H13" t="s">
        <v>216</v>
      </c>
      <c r="I13" s="158">
        <v>0.35</v>
      </c>
    </row>
    <row r="14" spans="1:9" x14ac:dyDescent="0.2">
      <c r="H14" t="s">
        <v>217</v>
      </c>
      <c r="I14">
        <v>0.4</v>
      </c>
    </row>
    <row r="15" spans="1:9" x14ac:dyDescent="0.2">
      <c r="H15" t="s">
        <v>218</v>
      </c>
      <c r="I15" s="158">
        <v>0.45</v>
      </c>
    </row>
    <row r="16" spans="1:9" x14ac:dyDescent="0.2">
      <c r="H16" t="s">
        <v>219</v>
      </c>
      <c r="I16" s="158">
        <v>0.08</v>
      </c>
    </row>
    <row r="17" spans="6:10" x14ac:dyDescent="0.2">
      <c r="H17" t="s">
        <v>220</v>
      </c>
      <c r="I17" s="158">
        <v>5</v>
      </c>
      <c r="J17" t="s">
        <v>221</v>
      </c>
    </row>
    <row r="18" spans="6:10" x14ac:dyDescent="0.2">
      <c r="H18" t="s">
        <v>222</v>
      </c>
      <c r="I18" s="158">
        <v>1</v>
      </c>
      <c r="J18" t="s">
        <v>221</v>
      </c>
    </row>
    <row r="19" spans="6:10" x14ac:dyDescent="0.2">
      <c r="H19" t="s">
        <v>223</v>
      </c>
      <c r="I19" s="158">
        <v>5</v>
      </c>
      <c r="J19" t="s">
        <v>221</v>
      </c>
    </row>
    <row r="20" spans="6:10" x14ac:dyDescent="0.2">
      <c r="H20" t="s">
        <v>224</v>
      </c>
      <c r="I20" s="158">
        <v>5</v>
      </c>
      <c r="J20" t="s">
        <v>221</v>
      </c>
    </row>
    <row r="21" spans="6:10" x14ac:dyDescent="0.2">
      <c r="H21" t="s">
        <v>225</v>
      </c>
      <c r="I21" s="158">
        <v>1</v>
      </c>
      <c r="J21" t="s">
        <v>221</v>
      </c>
    </row>
    <row r="22" spans="6:10" x14ac:dyDescent="0.2">
      <c r="H22" t="s">
        <v>226</v>
      </c>
      <c r="I22" s="158">
        <v>7</v>
      </c>
      <c r="J22" t="s">
        <v>221</v>
      </c>
    </row>
    <row r="23" spans="6:10" x14ac:dyDescent="0.2">
      <c r="H23" t="s">
        <v>227</v>
      </c>
      <c r="I23" s="158">
        <v>660</v>
      </c>
      <c r="J23" t="s">
        <v>228</v>
      </c>
    </row>
    <row r="24" spans="6:10" x14ac:dyDescent="0.2">
      <c r="H24" t="s">
        <v>229</v>
      </c>
      <c r="J24" t="s">
        <v>230</v>
      </c>
    </row>
    <row r="25" spans="6:10" ht="16.5" x14ac:dyDescent="0.25">
      <c r="F25" s="171"/>
    </row>
    <row r="26" spans="6:10" x14ac:dyDescent="0.2">
      <c r="H26" t="str">
        <f>CONCATENATE("_",'349A6898P001'!C3)</f>
        <v>_Plan :</v>
      </c>
      <c r="I26" s="158">
        <f>'349A6898P001'!H23</f>
        <v>0</v>
      </c>
    </row>
  </sheetData>
  <sheetProtection selectLockedCells="1" selectUnlockedCells="1"/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63"/>
  <sheetViews>
    <sheetView topLeftCell="A4" zoomScaleNormal="100" workbookViewId="0">
      <selection activeCell="H34" sqref="H34"/>
    </sheetView>
  </sheetViews>
  <sheetFormatPr baseColWidth="10" defaultColWidth="11.5703125" defaultRowHeight="12.75" x14ac:dyDescent="0.2"/>
  <cols>
    <col min="1" max="1" width="23.28515625" customWidth="1"/>
    <col min="5" max="5" width="15.5703125" customWidth="1"/>
    <col min="16" max="16" width="19" customWidth="1"/>
  </cols>
  <sheetData>
    <row r="1" spans="1:23" x14ac:dyDescent="0.2">
      <c r="A1">
        <f>COUNTA(DesignationOperation)</f>
        <v>59</v>
      </c>
    </row>
    <row r="3" spans="1:23" x14ac:dyDescent="0.2">
      <c r="B3" s="172" t="s">
        <v>231</v>
      </c>
      <c r="C3" s="172" t="s">
        <v>232</v>
      </c>
      <c r="D3" s="172" t="s">
        <v>233</v>
      </c>
      <c r="E3" s="172"/>
      <c r="F3" s="172"/>
      <c r="G3" s="173" t="s">
        <v>234</v>
      </c>
      <c r="H3" s="174" t="s">
        <v>235</v>
      </c>
      <c r="I3" s="175" t="s">
        <v>236</v>
      </c>
      <c r="J3" t="s">
        <v>237</v>
      </c>
      <c r="K3" t="s">
        <v>238</v>
      </c>
      <c r="P3" t="s">
        <v>239</v>
      </c>
      <c r="Q3" t="s">
        <v>240</v>
      </c>
      <c r="R3" t="s">
        <v>241</v>
      </c>
      <c r="S3" t="s">
        <v>69</v>
      </c>
    </row>
    <row r="4" spans="1:23" x14ac:dyDescent="0.2">
      <c r="A4" t="s">
        <v>242</v>
      </c>
      <c r="B4" s="172"/>
      <c r="C4" s="172"/>
      <c r="D4" s="172"/>
      <c r="F4" s="176"/>
      <c r="G4" s="177"/>
      <c r="H4" s="174"/>
      <c r="P4" t="s">
        <v>42</v>
      </c>
    </row>
    <row r="5" spans="1:23" x14ac:dyDescent="0.2">
      <c r="A5" s="54" t="s">
        <v>418</v>
      </c>
      <c r="B5" s="172">
        <v>70</v>
      </c>
      <c r="C5" s="172">
        <v>110</v>
      </c>
      <c r="D5" s="172">
        <v>0.30000000000000004</v>
      </c>
      <c r="E5" t="s">
        <v>243</v>
      </c>
      <c r="F5" s="178" t="s">
        <v>244</v>
      </c>
      <c r="G5" s="179">
        <v>0</v>
      </c>
      <c r="H5" s="174">
        <v>1</v>
      </c>
      <c r="P5" t="s">
        <v>67</v>
      </c>
    </row>
    <row r="6" spans="1:23" x14ac:dyDescent="0.2">
      <c r="A6" s="54" t="s">
        <v>245</v>
      </c>
      <c r="B6" s="172">
        <v>80</v>
      </c>
      <c r="C6" s="172">
        <v>95</v>
      </c>
      <c r="D6" s="172">
        <v>0.5</v>
      </c>
      <c r="E6" t="s">
        <v>243</v>
      </c>
      <c r="F6" s="176"/>
      <c r="G6" s="177">
        <f>Laser!AB37</f>
        <v>0</v>
      </c>
      <c r="H6" s="174">
        <v>1</v>
      </c>
      <c r="P6" t="s">
        <v>246</v>
      </c>
    </row>
    <row r="7" spans="1:23" x14ac:dyDescent="0.2">
      <c r="A7" t="s">
        <v>242</v>
      </c>
      <c r="B7" s="172">
        <v>0</v>
      </c>
      <c r="C7" s="172">
        <v>0</v>
      </c>
      <c r="D7" s="172">
        <v>0</v>
      </c>
      <c r="E7" s="172">
        <v>0</v>
      </c>
      <c r="F7" s="172">
        <v>0</v>
      </c>
      <c r="G7" s="180">
        <v>0</v>
      </c>
      <c r="H7" s="174"/>
      <c r="P7" t="s">
        <v>247</v>
      </c>
    </row>
    <row r="8" spans="1:23" x14ac:dyDescent="0.2">
      <c r="A8" s="54" t="s">
        <v>248</v>
      </c>
      <c r="B8" s="172">
        <v>70</v>
      </c>
      <c r="C8" s="172">
        <v>70</v>
      </c>
      <c r="D8" s="172">
        <v>0.30000000000000004</v>
      </c>
      <c r="E8" t="s">
        <v>249</v>
      </c>
      <c r="F8" s="176"/>
      <c r="G8" s="180">
        <v>3.0000000000000001E-3</v>
      </c>
      <c r="H8" s="174">
        <v>0.03</v>
      </c>
      <c r="I8">
        <f t="shared" ref="I8:I39" si="0">IF(G8&lt;&gt;0,1/G8,0)</f>
        <v>333.33333333333331</v>
      </c>
      <c r="J8">
        <f t="shared" ref="J8:J39" si="1">PRODUCT(G8,3600)</f>
        <v>10.8</v>
      </c>
      <c r="K8">
        <f t="shared" ref="K8:K39" si="2">J8/60</f>
        <v>0.18000000000000002</v>
      </c>
      <c r="P8" t="s">
        <v>250</v>
      </c>
    </row>
    <row r="9" spans="1:23" x14ac:dyDescent="0.2">
      <c r="A9" s="54" t="s">
        <v>251</v>
      </c>
      <c r="B9" s="172">
        <v>70</v>
      </c>
      <c r="C9" s="172">
        <v>125</v>
      </c>
      <c r="D9" s="172">
        <v>0.4</v>
      </c>
      <c r="E9" t="s">
        <v>249</v>
      </c>
      <c r="F9" s="176"/>
      <c r="G9" s="180">
        <v>5.0000000000000001E-3</v>
      </c>
      <c r="H9" s="174">
        <v>0.03</v>
      </c>
      <c r="I9">
        <f t="shared" si="0"/>
        <v>200</v>
      </c>
      <c r="J9">
        <f t="shared" si="1"/>
        <v>18</v>
      </c>
      <c r="K9">
        <f t="shared" si="2"/>
        <v>0.3</v>
      </c>
      <c r="P9" t="s">
        <v>252</v>
      </c>
      <c r="Q9" t="s">
        <v>10</v>
      </c>
      <c r="R9">
        <v>80</v>
      </c>
      <c r="S9">
        <v>15</v>
      </c>
    </row>
    <row r="10" spans="1:23" x14ac:dyDescent="0.2">
      <c r="A10" t="s">
        <v>242</v>
      </c>
      <c r="B10" s="172">
        <v>0</v>
      </c>
      <c r="C10" s="172">
        <v>0</v>
      </c>
      <c r="D10" s="172">
        <v>0</v>
      </c>
      <c r="E10" s="172">
        <v>0</v>
      </c>
      <c r="F10" s="172">
        <v>0</v>
      </c>
      <c r="G10" s="180">
        <v>0</v>
      </c>
      <c r="H10" s="174">
        <v>0.03</v>
      </c>
      <c r="I10">
        <f t="shared" si="0"/>
        <v>0</v>
      </c>
      <c r="J10">
        <f t="shared" si="1"/>
        <v>0</v>
      </c>
      <c r="K10">
        <f t="shared" si="2"/>
        <v>0</v>
      </c>
      <c r="P10" t="s">
        <v>253</v>
      </c>
      <c r="Q10" t="s">
        <v>10</v>
      </c>
      <c r="R10">
        <v>80</v>
      </c>
      <c r="S10">
        <v>15</v>
      </c>
    </row>
    <row r="11" spans="1:23" x14ac:dyDescent="0.2">
      <c r="A11" s="181" t="s">
        <v>102</v>
      </c>
      <c r="B11" s="172">
        <v>70</v>
      </c>
      <c r="C11" s="172">
        <v>75</v>
      </c>
      <c r="D11" s="172">
        <v>0.30000000000000004</v>
      </c>
      <c r="E11" t="s">
        <v>254</v>
      </c>
      <c r="G11" s="180">
        <v>4.0000000000000001E-3</v>
      </c>
      <c r="H11" s="174">
        <v>0.03</v>
      </c>
      <c r="I11">
        <f t="shared" si="0"/>
        <v>250</v>
      </c>
      <c r="J11">
        <f t="shared" si="1"/>
        <v>14.4</v>
      </c>
      <c r="K11">
        <f t="shared" si="2"/>
        <v>0.24000000000000002</v>
      </c>
      <c r="P11" t="s">
        <v>130</v>
      </c>
      <c r="Q11" t="s">
        <v>9</v>
      </c>
      <c r="R11">
        <v>120</v>
      </c>
      <c r="S11">
        <v>3</v>
      </c>
    </row>
    <row r="12" spans="1:23" x14ac:dyDescent="0.2">
      <c r="A12" s="181" t="s">
        <v>255</v>
      </c>
      <c r="B12" s="172">
        <v>70</v>
      </c>
      <c r="C12" s="172">
        <v>80</v>
      </c>
      <c r="D12" s="172">
        <v>0.4</v>
      </c>
      <c r="E12" t="s">
        <v>254</v>
      </c>
      <c r="F12" s="176"/>
      <c r="G12" s="180">
        <v>6.0000000000000001E-3</v>
      </c>
      <c r="H12" s="174">
        <v>0.03</v>
      </c>
      <c r="I12">
        <f t="shared" si="0"/>
        <v>166.66666666666666</v>
      </c>
      <c r="J12">
        <f t="shared" si="1"/>
        <v>21.6</v>
      </c>
      <c r="K12">
        <f t="shared" si="2"/>
        <v>0.36000000000000004</v>
      </c>
      <c r="P12" t="s">
        <v>256</v>
      </c>
      <c r="Q12" t="s">
        <v>9</v>
      </c>
      <c r="R12">
        <v>120</v>
      </c>
      <c r="S12">
        <v>1.5</v>
      </c>
    </row>
    <row r="13" spans="1:23" x14ac:dyDescent="0.2">
      <c r="A13" s="181" t="s">
        <v>257</v>
      </c>
      <c r="B13" s="172">
        <v>90</v>
      </c>
      <c r="C13" s="172">
        <v>125</v>
      </c>
      <c r="D13" s="172">
        <v>0.5</v>
      </c>
      <c r="E13" t="s">
        <v>254</v>
      </c>
      <c r="F13" s="176"/>
      <c r="G13" s="180">
        <v>8.0000000000000002E-3</v>
      </c>
      <c r="H13" s="174">
        <v>0.03</v>
      </c>
      <c r="I13">
        <f t="shared" si="0"/>
        <v>125</v>
      </c>
      <c r="J13">
        <f t="shared" si="1"/>
        <v>28.8</v>
      </c>
      <c r="K13">
        <f t="shared" si="2"/>
        <v>0.48000000000000004</v>
      </c>
      <c r="P13" t="s">
        <v>258</v>
      </c>
      <c r="Q13" t="s">
        <v>9</v>
      </c>
      <c r="R13">
        <v>230</v>
      </c>
      <c r="S13">
        <v>2.5</v>
      </c>
      <c r="T13" t="s">
        <v>259</v>
      </c>
      <c r="U13" t="s">
        <v>260</v>
      </c>
      <c r="V13" t="s">
        <v>261</v>
      </c>
      <c r="W13" t="s">
        <v>262</v>
      </c>
    </row>
    <row r="14" spans="1:23" x14ac:dyDescent="0.2">
      <c r="A14" t="s">
        <v>242</v>
      </c>
      <c r="B14" s="172">
        <v>0</v>
      </c>
      <c r="C14" s="172">
        <v>0</v>
      </c>
      <c r="D14" s="172">
        <v>0</v>
      </c>
      <c r="E14" s="172">
        <v>0</v>
      </c>
      <c r="F14" s="172">
        <v>0</v>
      </c>
      <c r="G14" s="180">
        <v>0</v>
      </c>
      <c r="H14" s="174">
        <v>0.03</v>
      </c>
      <c r="I14">
        <f t="shared" si="0"/>
        <v>0</v>
      </c>
      <c r="J14">
        <f t="shared" si="1"/>
        <v>0</v>
      </c>
      <c r="K14">
        <f t="shared" si="2"/>
        <v>0</v>
      </c>
      <c r="P14" t="s">
        <v>263</v>
      </c>
      <c r="Q14" t="s">
        <v>9</v>
      </c>
      <c r="R14">
        <v>80</v>
      </c>
      <c r="S14">
        <v>2</v>
      </c>
    </row>
    <row r="15" spans="1:23" x14ac:dyDescent="0.2">
      <c r="A15" s="54" t="s">
        <v>264</v>
      </c>
      <c r="B15" s="172">
        <v>70</v>
      </c>
      <c r="C15" s="172">
        <v>70</v>
      </c>
      <c r="D15" s="172">
        <v>0.30000000000000004</v>
      </c>
      <c r="E15" t="s">
        <v>265</v>
      </c>
      <c r="F15" s="176"/>
      <c r="G15" s="180">
        <v>5.0000000000000001E-4</v>
      </c>
      <c r="H15" s="174">
        <v>0.03</v>
      </c>
      <c r="I15">
        <f t="shared" si="0"/>
        <v>2000</v>
      </c>
      <c r="J15">
        <f t="shared" si="1"/>
        <v>1.8</v>
      </c>
      <c r="K15">
        <f t="shared" si="2"/>
        <v>3.0000000000000002E-2</v>
      </c>
      <c r="P15" t="s">
        <v>266</v>
      </c>
      <c r="Q15" t="s">
        <v>9</v>
      </c>
      <c r="R15">
        <v>80</v>
      </c>
      <c r="S15">
        <v>4</v>
      </c>
    </row>
    <row r="16" spans="1:23" x14ac:dyDescent="0.2">
      <c r="A16" t="s">
        <v>267</v>
      </c>
      <c r="B16" s="172">
        <v>70</v>
      </c>
      <c r="C16" s="172">
        <v>70</v>
      </c>
      <c r="D16" s="172">
        <v>0.5</v>
      </c>
      <c r="E16" s="181" t="s">
        <v>268</v>
      </c>
      <c r="F16" s="172"/>
      <c r="G16" s="182">
        <v>1.66E-2</v>
      </c>
      <c r="H16" s="174">
        <v>0.03</v>
      </c>
      <c r="I16">
        <f t="shared" si="0"/>
        <v>60.240963855421683</v>
      </c>
      <c r="J16">
        <f t="shared" si="1"/>
        <v>59.76</v>
      </c>
      <c r="K16">
        <f t="shared" si="2"/>
        <v>0.996</v>
      </c>
    </row>
    <row r="17" spans="1:11" x14ac:dyDescent="0.2">
      <c r="A17" t="s">
        <v>269</v>
      </c>
      <c r="B17" s="172">
        <v>70</v>
      </c>
      <c r="C17" s="172">
        <v>70</v>
      </c>
      <c r="D17" s="172">
        <v>0.5</v>
      </c>
      <c r="E17" s="181" t="s">
        <v>270</v>
      </c>
      <c r="F17" s="172"/>
      <c r="G17" s="182">
        <v>0.02</v>
      </c>
      <c r="H17" s="174">
        <v>0.03</v>
      </c>
      <c r="I17">
        <f t="shared" si="0"/>
        <v>50</v>
      </c>
      <c r="J17">
        <f t="shared" si="1"/>
        <v>72</v>
      </c>
      <c r="K17">
        <f t="shared" si="2"/>
        <v>1.2</v>
      </c>
    </row>
    <row r="18" spans="1:11" x14ac:dyDescent="0.2">
      <c r="A18" t="s">
        <v>271</v>
      </c>
      <c r="B18" s="172">
        <v>70</v>
      </c>
      <c r="C18" s="172">
        <v>70</v>
      </c>
      <c r="D18" s="172">
        <v>0.2</v>
      </c>
      <c r="E18" s="181" t="s">
        <v>272</v>
      </c>
      <c r="F18" s="172"/>
      <c r="G18" s="180">
        <v>3.0000000000000001E-3</v>
      </c>
      <c r="H18" s="174">
        <v>0.03</v>
      </c>
      <c r="I18">
        <f t="shared" si="0"/>
        <v>333.33333333333331</v>
      </c>
      <c r="J18">
        <f t="shared" si="1"/>
        <v>10.8</v>
      </c>
      <c r="K18">
        <f t="shared" si="2"/>
        <v>0.18000000000000002</v>
      </c>
    </row>
    <row r="19" spans="1:11" x14ac:dyDescent="0.2">
      <c r="A19" t="s">
        <v>273</v>
      </c>
      <c r="B19" s="172">
        <v>70</v>
      </c>
      <c r="C19" s="172">
        <v>70</v>
      </c>
      <c r="D19" s="172">
        <v>0.30000000000000004</v>
      </c>
      <c r="E19" t="s">
        <v>270</v>
      </c>
      <c r="F19" s="176"/>
      <c r="G19" s="180">
        <v>3.0000000000000001E-3</v>
      </c>
      <c r="H19" s="174">
        <v>0.03</v>
      </c>
      <c r="I19">
        <f t="shared" si="0"/>
        <v>333.33333333333331</v>
      </c>
      <c r="J19">
        <f t="shared" si="1"/>
        <v>10.8</v>
      </c>
      <c r="K19">
        <f t="shared" si="2"/>
        <v>0.18000000000000002</v>
      </c>
    </row>
    <row r="20" spans="1:11" x14ac:dyDescent="0.2">
      <c r="A20" t="s">
        <v>242</v>
      </c>
      <c r="B20" s="172">
        <v>70</v>
      </c>
      <c r="C20" s="172">
        <v>0</v>
      </c>
      <c r="D20" s="172">
        <v>0</v>
      </c>
      <c r="E20" s="172">
        <v>0</v>
      </c>
      <c r="F20" s="172">
        <v>0</v>
      </c>
      <c r="G20" s="180">
        <v>0</v>
      </c>
      <c r="H20" s="174">
        <v>0.03</v>
      </c>
      <c r="I20">
        <f t="shared" si="0"/>
        <v>0</v>
      </c>
      <c r="J20">
        <f t="shared" si="1"/>
        <v>0</v>
      </c>
      <c r="K20">
        <f t="shared" si="2"/>
        <v>0</v>
      </c>
    </row>
    <row r="21" spans="1:11" x14ac:dyDescent="0.2">
      <c r="A21" t="s">
        <v>274</v>
      </c>
      <c r="B21" s="172">
        <v>70</v>
      </c>
      <c r="C21" s="172">
        <v>70</v>
      </c>
      <c r="D21" s="172">
        <v>0.30000000000000004</v>
      </c>
      <c r="E21" t="s">
        <v>275</v>
      </c>
      <c r="F21" s="176"/>
      <c r="G21" s="180">
        <v>5.0000000000000001E-3</v>
      </c>
      <c r="H21" s="174">
        <v>0.03</v>
      </c>
      <c r="I21">
        <f t="shared" si="0"/>
        <v>200</v>
      </c>
      <c r="J21">
        <f t="shared" si="1"/>
        <v>18</v>
      </c>
      <c r="K21">
        <f t="shared" si="2"/>
        <v>0.3</v>
      </c>
    </row>
    <row r="22" spans="1:11" x14ac:dyDescent="0.2">
      <c r="A22" t="s">
        <v>276</v>
      </c>
      <c r="B22" s="172">
        <v>70</v>
      </c>
      <c r="C22" s="172">
        <v>70</v>
      </c>
      <c r="D22" s="172">
        <v>0.30000000000000004</v>
      </c>
      <c r="E22" t="s">
        <v>275</v>
      </c>
      <c r="F22" s="176"/>
      <c r="G22" s="180">
        <v>8.0000000000000002E-3</v>
      </c>
      <c r="H22" s="174">
        <v>0.03</v>
      </c>
      <c r="I22">
        <f t="shared" si="0"/>
        <v>125</v>
      </c>
      <c r="J22">
        <f t="shared" si="1"/>
        <v>28.8</v>
      </c>
      <c r="K22">
        <f t="shared" si="2"/>
        <v>0.48000000000000004</v>
      </c>
    </row>
    <row r="23" spans="1:11" x14ac:dyDescent="0.2">
      <c r="A23" t="s">
        <v>277</v>
      </c>
      <c r="B23" s="172">
        <v>70</v>
      </c>
      <c r="C23" s="172">
        <v>70</v>
      </c>
      <c r="D23" s="172">
        <v>0.30000000000000004</v>
      </c>
      <c r="E23" t="s">
        <v>275</v>
      </c>
      <c r="F23" s="176"/>
      <c r="G23" s="180">
        <v>4.0000000000000001E-3</v>
      </c>
      <c r="H23" s="174">
        <v>0.03</v>
      </c>
      <c r="I23">
        <f t="shared" si="0"/>
        <v>250</v>
      </c>
      <c r="J23">
        <f t="shared" si="1"/>
        <v>14.4</v>
      </c>
      <c r="K23">
        <f t="shared" si="2"/>
        <v>0.24000000000000002</v>
      </c>
    </row>
    <row r="24" spans="1:11" x14ac:dyDescent="0.2">
      <c r="A24" t="s">
        <v>278</v>
      </c>
      <c r="B24" s="172">
        <v>70</v>
      </c>
      <c r="C24" s="172">
        <v>70</v>
      </c>
      <c r="D24" s="172">
        <v>0.30000000000000004</v>
      </c>
      <c r="E24" t="s">
        <v>275</v>
      </c>
      <c r="F24" s="176"/>
      <c r="G24" s="180">
        <v>0.01</v>
      </c>
      <c r="H24" s="174">
        <v>0.03</v>
      </c>
      <c r="I24">
        <f t="shared" si="0"/>
        <v>100</v>
      </c>
      <c r="J24">
        <f t="shared" si="1"/>
        <v>36</v>
      </c>
      <c r="K24">
        <f t="shared" si="2"/>
        <v>0.6</v>
      </c>
    </row>
    <row r="25" spans="1:11" x14ac:dyDescent="0.2">
      <c r="A25" t="s">
        <v>242</v>
      </c>
      <c r="B25" s="172">
        <v>70</v>
      </c>
      <c r="C25" s="172">
        <v>70</v>
      </c>
      <c r="D25" s="172">
        <v>0</v>
      </c>
      <c r="E25" s="172">
        <v>0</v>
      </c>
      <c r="F25" s="172">
        <v>0</v>
      </c>
      <c r="G25" s="180">
        <v>0</v>
      </c>
      <c r="H25" s="174">
        <v>0.03</v>
      </c>
      <c r="I25">
        <f t="shared" si="0"/>
        <v>0</v>
      </c>
      <c r="J25">
        <f t="shared" si="1"/>
        <v>0</v>
      </c>
      <c r="K25">
        <f t="shared" si="2"/>
        <v>0</v>
      </c>
    </row>
    <row r="26" spans="1:11" x14ac:dyDescent="0.2">
      <c r="A26" s="54" t="s">
        <v>279</v>
      </c>
      <c r="B26" s="172">
        <v>70</v>
      </c>
      <c r="C26" s="172">
        <v>70</v>
      </c>
      <c r="D26" s="172">
        <v>0.2</v>
      </c>
      <c r="E26" t="s">
        <v>280</v>
      </c>
      <c r="F26" s="176"/>
      <c r="G26" s="180">
        <v>1.4999999999999999E-5</v>
      </c>
      <c r="H26" s="174">
        <v>0.03</v>
      </c>
      <c r="I26">
        <f t="shared" si="0"/>
        <v>66666.666666666672</v>
      </c>
      <c r="J26">
        <f t="shared" si="1"/>
        <v>5.3999999999999992E-2</v>
      </c>
      <c r="K26">
        <f t="shared" si="2"/>
        <v>8.9999999999999987E-4</v>
      </c>
    </row>
    <row r="27" spans="1:11" x14ac:dyDescent="0.2">
      <c r="A27" s="54" t="s">
        <v>281</v>
      </c>
      <c r="B27" s="172">
        <v>70</v>
      </c>
      <c r="C27" s="172">
        <v>70</v>
      </c>
      <c r="D27" s="172">
        <v>0.2</v>
      </c>
      <c r="E27" t="s">
        <v>280</v>
      </c>
      <c r="F27" s="176"/>
      <c r="G27" s="180">
        <v>3.4999999999999997E-5</v>
      </c>
      <c r="H27" s="174">
        <v>0.03</v>
      </c>
      <c r="I27">
        <f t="shared" si="0"/>
        <v>28571.428571428572</v>
      </c>
      <c r="J27">
        <f t="shared" si="1"/>
        <v>0.126</v>
      </c>
      <c r="K27">
        <f t="shared" si="2"/>
        <v>2.0999999999999999E-3</v>
      </c>
    </row>
    <row r="28" spans="1:11" x14ac:dyDescent="0.2">
      <c r="A28" t="s">
        <v>242</v>
      </c>
      <c r="B28" s="172">
        <v>70</v>
      </c>
      <c r="C28" s="172">
        <v>70</v>
      </c>
      <c r="D28" s="172">
        <v>0</v>
      </c>
      <c r="E28" s="172">
        <v>0</v>
      </c>
      <c r="F28" s="172">
        <v>0</v>
      </c>
      <c r="G28" s="180">
        <v>0</v>
      </c>
      <c r="H28" s="174">
        <v>0.03</v>
      </c>
      <c r="I28">
        <f t="shared" si="0"/>
        <v>0</v>
      </c>
      <c r="J28">
        <f t="shared" si="1"/>
        <v>0</v>
      </c>
      <c r="K28">
        <f t="shared" si="2"/>
        <v>0</v>
      </c>
    </row>
    <row r="29" spans="1:11" x14ac:dyDescent="0.2">
      <c r="A29" t="s">
        <v>282</v>
      </c>
      <c r="B29" s="172">
        <v>70</v>
      </c>
      <c r="C29" s="172">
        <v>70</v>
      </c>
      <c r="D29" s="172">
        <v>0.30000000000000004</v>
      </c>
      <c r="E29" t="s">
        <v>283</v>
      </c>
      <c r="F29" s="176"/>
      <c r="G29" s="180">
        <v>3.0000000000000001E-3</v>
      </c>
      <c r="H29" s="174">
        <v>0.03</v>
      </c>
      <c r="I29">
        <f t="shared" si="0"/>
        <v>333.33333333333331</v>
      </c>
      <c r="J29">
        <f t="shared" si="1"/>
        <v>10.8</v>
      </c>
      <c r="K29">
        <f t="shared" si="2"/>
        <v>0.18000000000000002</v>
      </c>
    </row>
    <row r="30" spans="1:11" x14ac:dyDescent="0.2">
      <c r="A30" t="s">
        <v>284</v>
      </c>
      <c r="B30" s="172">
        <v>70</v>
      </c>
      <c r="C30" s="172">
        <v>70</v>
      </c>
      <c r="D30" s="172">
        <v>0.30000000000000004</v>
      </c>
      <c r="E30" t="s">
        <v>283</v>
      </c>
      <c r="F30" s="176"/>
      <c r="G30" s="180">
        <v>5.0000000000000001E-3</v>
      </c>
      <c r="H30" s="174">
        <v>0.03</v>
      </c>
      <c r="I30">
        <f t="shared" si="0"/>
        <v>200</v>
      </c>
      <c r="J30">
        <f t="shared" si="1"/>
        <v>18</v>
      </c>
      <c r="K30">
        <f t="shared" si="2"/>
        <v>0.3</v>
      </c>
    </row>
    <row r="31" spans="1:11" x14ac:dyDescent="0.2">
      <c r="A31" t="s">
        <v>285</v>
      </c>
      <c r="B31" s="172">
        <v>70</v>
      </c>
      <c r="C31" s="172">
        <v>70</v>
      </c>
      <c r="D31" s="172">
        <v>0.30000000000000004</v>
      </c>
      <c r="E31" t="s">
        <v>283</v>
      </c>
      <c r="F31" s="176"/>
      <c r="G31" s="180">
        <v>9.0000000000000011E-3</v>
      </c>
      <c r="H31" s="174">
        <v>0.03</v>
      </c>
      <c r="I31">
        <f t="shared" si="0"/>
        <v>111.1111111111111</v>
      </c>
      <c r="J31">
        <f t="shared" si="1"/>
        <v>32.400000000000006</v>
      </c>
      <c r="K31">
        <f t="shared" si="2"/>
        <v>0.54000000000000015</v>
      </c>
    </row>
    <row r="32" spans="1:11" x14ac:dyDescent="0.2">
      <c r="A32" t="s">
        <v>286</v>
      </c>
      <c r="B32" s="172">
        <v>70</v>
      </c>
      <c r="C32" s="172">
        <v>70</v>
      </c>
      <c r="D32" s="172">
        <v>0.30000000000000004</v>
      </c>
      <c r="E32" t="s">
        <v>283</v>
      </c>
      <c r="F32" s="176"/>
      <c r="G32" s="180">
        <v>5.0000000000000001E-3</v>
      </c>
      <c r="H32" s="174">
        <v>0.03</v>
      </c>
      <c r="I32">
        <f t="shared" si="0"/>
        <v>200</v>
      </c>
      <c r="J32">
        <f t="shared" si="1"/>
        <v>18</v>
      </c>
      <c r="K32">
        <f t="shared" si="2"/>
        <v>0.3</v>
      </c>
    </row>
    <row r="33" spans="1:11" x14ac:dyDescent="0.2">
      <c r="A33" t="s">
        <v>242</v>
      </c>
      <c r="B33" s="172">
        <v>70</v>
      </c>
      <c r="C33" s="172">
        <v>70</v>
      </c>
      <c r="D33" s="172">
        <v>0</v>
      </c>
      <c r="E33" s="172">
        <v>0</v>
      </c>
      <c r="F33" s="172">
        <v>0</v>
      </c>
      <c r="G33" s="180">
        <v>0</v>
      </c>
      <c r="H33" s="174">
        <v>0.03</v>
      </c>
      <c r="I33">
        <f t="shared" si="0"/>
        <v>0</v>
      </c>
      <c r="J33">
        <f t="shared" si="1"/>
        <v>0</v>
      </c>
      <c r="K33">
        <f t="shared" si="2"/>
        <v>0</v>
      </c>
    </row>
    <row r="34" spans="1:11" x14ac:dyDescent="0.2">
      <c r="A34" t="s">
        <v>287</v>
      </c>
      <c r="B34" s="172">
        <v>70</v>
      </c>
      <c r="C34" s="172">
        <v>70</v>
      </c>
      <c r="D34" s="172">
        <v>0.2</v>
      </c>
      <c r="E34" t="s">
        <v>288</v>
      </c>
      <c r="F34" s="176"/>
      <c r="G34" s="180">
        <v>3.0000000000000001E-3</v>
      </c>
      <c r="H34" s="174">
        <v>0.03</v>
      </c>
      <c r="I34">
        <f t="shared" si="0"/>
        <v>333.33333333333331</v>
      </c>
      <c r="J34">
        <f t="shared" si="1"/>
        <v>10.8</v>
      </c>
      <c r="K34">
        <f t="shared" si="2"/>
        <v>0.18000000000000002</v>
      </c>
    </row>
    <row r="35" spans="1:11" x14ac:dyDescent="0.2">
      <c r="A35" t="s">
        <v>289</v>
      </c>
      <c r="B35" s="172">
        <v>70</v>
      </c>
      <c r="C35" s="172">
        <v>70</v>
      </c>
      <c r="D35" s="172">
        <v>0.2</v>
      </c>
      <c r="E35" t="s">
        <v>288</v>
      </c>
      <c r="F35" s="176">
        <v>0</v>
      </c>
      <c r="G35" s="180">
        <v>8.0000000000000002E-3</v>
      </c>
      <c r="H35" s="174">
        <v>0.03</v>
      </c>
      <c r="I35">
        <f t="shared" si="0"/>
        <v>125</v>
      </c>
      <c r="J35">
        <f t="shared" si="1"/>
        <v>28.8</v>
      </c>
      <c r="K35">
        <f t="shared" si="2"/>
        <v>0.48000000000000004</v>
      </c>
    </row>
    <row r="36" spans="1:11" x14ac:dyDescent="0.2">
      <c r="A36" t="s">
        <v>290</v>
      </c>
      <c r="B36" s="172">
        <v>70</v>
      </c>
      <c r="C36" s="172">
        <v>70</v>
      </c>
      <c r="D36" s="172">
        <v>0.2</v>
      </c>
      <c r="E36" t="s">
        <v>291</v>
      </c>
      <c r="F36" s="176"/>
      <c r="G36" s="180">
        <v>1.7000000000000001E-3</v>
      </c>
      <c r="H36" s="174">
        <v>0.03</v>
      </c>
      <c r="I36">
        <f t="shared" si="0"/>
        <v>588.23529411764707</v>
      </c>
      <c r="J36">
        <f t="shared" si="1"/>
        <v>6.12</v>
      </c>
      <c r="K36">
        <f t="shared" si="2"/>
        <v>0.10200000000000001</v>
      </c>
    </row>
    <row r="37" spans="1:11" x14ac:dyDescent="0.2">
      <c r="A37" t="s">
        <v>107</v>
      </c>
      <c r="B37" s="172">
        <v>70</v>
      </c>
      <c r="C37" s="172">
        <v>70</v>
      </c>
      <c r="D37" s="172">
        <v>0.2</v>
      </c>
      <c r="E37" t="s">
        <v>292</v>
      </c>
      <c r="F37" s="176"/>
      <c r="G37" s="180">
        <v>1.5E-3</v>
      </c>
      <c r="H37" s="174">
        <v>0.03</v>
      </c>
      <c r="I37">
        <f t="shared" si="0"/>
        <v>666.66666666666663</v>
      </c>
      <c r="J37">
        <f t="shared" si="1"/>
        <v>5.4</v>
      </c>
      <c r="K37">
        <f t="shared" si="2"/>
        <v>9.0000000000000011E-2</v>
      </c>
    </row>
    <row r="38" spans="1:11" x14ac:dyDescent="0.2">
      <c r="A38" t="s">
        <v>293</v>
      </c>
      <c r="B38" s="172">
        <v>70</v>
      </c>
      <c r="C38" s="172">
        <v>70</v>
      </c>
      <c r="D38" s="172">
        <v>0.2</v>
      </c>
      <c r="E38" t="s">
        <v>294</v>
      </c>
      <c r="F38" s="176"/>
      <c r="G38" s="180">
        <v>8.0000000000000002E-3</v>
      </c>
      <c r="H38" s="174">
        <v>0.03</v>
      </c>
      <c r="I38">
        <f t="shared" si="0"/>
        <v>125</v>
      </c>
      <c r="J38">
        <f t="shared" si="1"/>
        <v>28.8</v>
      </c>
      <c r="K38">
        <f t="shared" si="2"/>
        <v>0.48000000000000004</v>
      </c>
    </row>
    <row r="39" spans="1:11" x14ac:dyDescent="0.2">
      <c r="A39" t="s">
        <v>295</v>
      </c>
      <c r="B39" s="172">
        <v>70</v>
      </c>
      <c r="C39" s="172">
        <v>70</v>
      </c>
      <c r="D39" s="172">
        <v>0.30000000000000004</v>
      </c>
      <c r="E39" t="s">
        <v>283</v>
      </c>
      <c r="F39" s="176"/>
      <c r="G39" s="180">
        <v>5.0000000000000001E-3</v>
      </c>
      <c r="H39" s="174">
        <v>0.03</v>
      </c>
      <c r="I39">
        <f t="shared" si="0"/>
        <v>200</v>
      </c>
      <c r="J39">
        <f t="shared" si="1"/>
        <v>18</v>
      </c>
      <c r="K39">
        <f t="shared" si="2"/>
        <v>0.3</v>
      </c>
    </row>
    <row r="40" spans="1:11" x14ac:dyDescent="0.2">
      <c r="A40" t="s">
        <v>296</v>
      </c>
      <c r="B40" s="172">
        <v>70</v>
      </c>
      <c r="C40" s="172">
        <v>70</v>
      </c>
      <c r="D40" s="172">
        <v>0.30000000000000004</v>
      </c>
      <c r="E40" t="s">
        <v>283</v>
      </c>
      <c r="F40" s="176"/>
      <c r="G40" s="180">
        <v>7.0000000000000001E-3</v>
      </c>
      <c r="H40" s="174">
        <v>0.03</v>
      </c>
      <c r="I40">
        <f t="shared" ref="I40:I62" si="3">IF(G40&lt;&gt;0,1/G40,0)</f>
        <v>142.85714285714286</v>
      </c>
      <c r="J40">
        <f t="shared" ref="J40:J62" si="4">PRODUCT(G40,3600)</f>
        <v>25.2</v>
      </c>
      <c r="K40">
        <f t="shared" ref="K40:K62" si="5">J40/60</f>
        <v>0.42</v>
      </c>
    </row>
    <row r="41" spans="1:11" x14ac:dyDescent="0.2">
      <c r="A41" t="s">
        <v>242</v>
      </c>
      <c r="B41" s="172">
        <v>70</v>
      </c>
      <c r="C41" s="172">
        <v>70</v>
      </c>
      <c r="D41" s="172">
        <v>0</v>
      </c>
      <c r="E41" s="172">
        <v>0</v>
      </c>
      <c r="F41" s="172">
        <v>0</v>
      </c>
      <c r="G41" s="180">
        <v>0</v>
      </c>
      <c r="H41" s="174">
        <v>0.03</v>
      </c>
      <c r="I41">
        <f t="shared" si="3"/>
        <v>0</v>
      </c>
      <c r="J41">
        <f t="shared" si="4"/>
        <v>0</v>
      </c>
      <c r="K41">
        <f t="shared" si="5"/>
        <v>0</v>
      </c>
    </row>
    <row r="42" spans="1:11" x14ac:dyDescent="0.2">
      <c r="A42" t="s">
        <v>297</v>
      </c>
      <c r="B42" s="172">
        <v>70</v>
      </c>
      <c r="C42" s="172">
        <v>70</v>
      </c>
      <c r="D42" s="172">
        <v>0.30000000000000004</v>
      </c>
      <c r="E42" t="s">
        <v>298</v>
      </c>
      <c r="F42" s="176"/>
      <c r="G42" s="180">
        <v>1.4999999999999999E-2</v>
      </c>
      <c r="H42" s="174">
        <v>0.03</v>
      </c>
      <c r="I42">
        <f t="shared" si="3"/>
        <v>66.666666666666671</v>
      </c>
      <c r="J42">
        <f t="shared" si="4"/>
        <v>54</v>
      </c>
      <c r="K42">
        <f t="shared" si="5"/>
        <v>0.9</v>
      </c>
    </row>
    <row r="43" spans="1:11" x14ac:dyDescent="0.2">
      <c r="A43" t="s">
        <v>299</v>
      </c>
      <c r="B43" s="172">
        <v>70</v>
      </c>
      <c r="C43" s="172">
        <v>70</v>
      </c>
      <c r="D43" s="172">
        <v>0.30000000000000004</v>
      </c>
      <c r="E43" t="s">
        <v>300</v>
      </c>
      <c r="F43" s="176"/>
      <c r="G43" s="180">
        <v>0.02</v>
      </c>
      <c r="H43" s="174">
        <v>0.03</v>
      </c>
      <c r="I43">
        <f t="shared" si="3"/>
        <v>50</v>
      </c>
      <c r="J43">
        <f t="shared" si="4"/>
        <v>72</v>
      </c>
      <c r="K43">
        <f t="shared" si="5"/>
        <v>1.2</v>
      </c>
    </row>
    <row r="44" spans="1:11" x14ac:dyDescent="0.2">
      <c r="A44" t="s">
        <v>242</v>
      </c>
      <c r="B44" s="172">
        <v>70</v>
      </c>
      <c r="C44" s="172">
        <v>70</v>
      </c>
      <c r="D44" s="172">
        <v>0</v>
      </c>
      <c r="E44" s="172">
        <v>0</v>
      </c>
      <c r="F44" s="172">
        <v>0</v>
      </c>
      <c r="G44" s="180">
        <v>0</v>
      </c>
      <c r="H44" s="174">
        <v>0.03</v>
      </c>
      <c r="I44">
        <f t="shared" si="3"/>
        <v>0</v>
      </c>
      <c r="J44">
        <f t="shared" si="4"/>
        <v>0</v>
      </c>
      <c r="K44">
        <f t="shared" si="5"/>
        <v>0</v>
      </c>
    </row>
    <row r="45" spans="1:11" x14ac:dyDescent="0.2">
      <c r="A45" t="s">
        <v>301</v>
      </c>
      <c r="B45" s="172">
        <v>70</v>
      </c>
      <c r="C45" s="172">
        <v>70</v>
      </c>
      <c r="D45" s="172">
        <v>0.30000000000000004</v>
      </c>
      <c r="E45" t="s">
        <v>302</v>
      </c>
      <c r="F45" s="176"/>
      <c r="G45" s="180">
        <v>3.0000000000000001E-3</v>
      </c>
      <c r="H45" s="174">
        <v>0.03</v>
      </c>
      <c r="I45">
        <f t="shared" si="3"/>
        <v>333.33333333333331</v>
      </c>
      <c r="J45">
        <f t="shared" si="4"/>
        <v>10.8</v>
      </c>
      <c r="K45">
        <f t="shared" si="5"/>
        <v>0.18000000000000002</v>
      </c>
    </row>
    <row r="46" spans="1:11" x14ac:dyDescent="0.2">
      <c r="A46" t="s">
        <v>303</v>
      </c>
      <c r="B46" s="172">
        <v>70</v>
      </c>
      <c r="C46" s="172">
        <v>80</v>
      </c>
      <c r="D46" s="172">
        <v>0.30000000000000004</v>
      </c>
      <c r="E46" t="s">
        <v>304</v>
      </c>
      <c r="F46" s="176"/>
      <c r="G46" s="180">
        <v>3.0000000000000003E-4</v>
      </c>
      <c r="H46" s="174">
        <v>0.03</v>
      </c>
      <c r="I46">
        <f t="shared" si="3"/>
        <v>3333.333333333333</v>
      </c>
      <c r="J46">
        <f t="shared" si="4"/>
        <v>1.08</v>
      </c>
      <c r="K46">
        <f t="shared" si="5"/>
        <v>1.8000000000000002E-2</v>
      </c>
    </row>
    <row r="47" spans="1:11" x14ac:dyDescent="0.2">
      <c r="A47" t="s">
        <v>305</v>
      </c>
      <c r="B47" s="172">
        <v>100</v>
      </c>
      <c r="C47" s="172">
        <v>80</v>
      </c>
      <c r="D47" s="172">
        <v>0.30000000000000004</v>
      </c>
      <c r="E47" t="s">
        <v>304</v>
      </c>
      <c r="F47" s="176"/>
      <c r="G47" s="180">
        <v>4.0000000000000002E-4</v>
      </c>
      <c r="H47" s="174">
        <v>0.03</v>
      </c>
      <c r="I47">
        <f t="shared" si="3"/>
        <v>2500</v>
      </c>
      <c r="J47">
        <f t="shared" si="4"/>
        <v>1.4400000000000002</v>
      </c>
      <c r="K47">
        <f t="shared" si="5"/>
        <v>2.4000000000000004E-2</v>
      </c>
    </row>
    <row r="48" spans="1:11" x14ac:dyDescent="0.2">
      <c r="A48" t="s">
        <v>306</v>
      </c>
      <c r="B48" s="172">
        <v>70</v>
      </c>
      <c r="C48" s="172">
        <v>90</v>
      </c>
      <c r="D48" s="172">
        <v>0.30000000000000004</v>
      </c>
      <c r="E48" t="s">
        <v>304</v>
      </c>
      <c r="F48" s="176"/>
      <c r="G48" s="180">
        <v>5.0000000000000001E-4</v>
      </c>
      <c r="H48" s="174">
        <v>0.03</v>
      </c>
      <c r="I48">
        <f t="shared" si="3"/>
        <v>2000</v>
      </c>
      <c r="J48">
        <f t="shared" si="4"/>
        <v>1.8</v>
      </c>
      <c r="K48">
        <f t="shared" si="5"/>
        <v>3.0000000000000002E-2</v>
      </c>
    </row>
    <row r="49" spans="1:13" x14ac:dyDescent="0.2">
      <c r="A49" t="s">
        <v>307</v>
      </c>
      <c r="B49" s="172">
        <v>70</v>
      </c>
      <c r="C49" s="172">
        <v>90</v>
      </c>
      <c r="D49" s="172">
        <v>0.30000000000000004</v>
      </c>
      <c r="E49" t="s">
        <v>304</v>
      </c>
      <c r="F49" s="176"/>
      <c r="G49" s="180">
        <v>5.5000000000000003E-4</v>
      </c>
      <c r="H49" s="174">
        <v>0.03</v>
      </c>
      <c r="I49">
        <f t="shared" si="3"/>
        <v>1818.181818181818</v>
      </c>
      <c r="J49">
        <f t="shared" si="4"/>
        <v>1.9800000000000002</v>
      </c>
      <c r="K49">
        <f t="shared" si="5"/>
        <v>3.3000000000000002E-2</v>
      </c>
    </row>
    <row r="50" spans="1:13" x14ac:dyDescent="0.2">
      <c r="A50" t="s">
        <v>308</v>
      </c>
      <c r="B50" s="172">
        <v>70</v>
      </c>
      <c r="C50" s="172">
        <v>70</v>
      </c>
      <c r="D50" s="172">
        <v>0.15</v>
      </c>
      <c r="E50" t="s">
        <v>309</v>
      </c>
      <c r="F50" s="176"/>
      <c r="G50" s="180">
        <v>2.5000000000000001E-4</v>
      </c>
      <c r="H50" s="174">
        <v>0.03</v>
      </c>
      <c r="I50">
        <f t="shared" si="3"/>
        <v>4000</v>
      </c>
      <c r="J50">
        <f t="shared" si="4"/>
        <v>0.9</v>
      </c>
      <c r="K50">
        <f t="shared" si="5"/>
        <v>1.5000000000000001E-2</v>
      </c>
    </row>
    <row r="51" spans="1:13" x14ac:dyDescent="0.2">
      <c r="A51" t="s">
        <v>242</v>
      </c>
      <c r="B51" s="172">
        <v>70</v>
      </c>
      <c r="C51" s="172">
        <v>70</v>
      </c>
      <c r="D51" s="172">
        <v>0</v>
      </c>
      <c r="E51" s="172">
        <v>0</v>
      </c>
      <c r="F51" s="172">
        <v>0</v>
      </c>
      <c r="G51" s="180">
        <v>0</v>
      </c>
      <c r="H51" s="174">
        <v>0.03</v>
      </c>
      <c r="I51">
        <f t="shared" si="3"/>
        <v>0</v>
      </c>
      <c r="J51">
        <f t="shared" si="4"/>
        <v>0</v>
      </c>
      <c r="K51">
        <f t="shared" si="5"/>
        <v>0</v>
      </c>
    </row>
    <row r="52" spans="1:13" x14ac:dyDescent="0.2">
      <c r="A52" t="s">
        <v>310</v>
      </c>
      <c r="B52" s="172">
        <v>70</v>
      </c>
      <c r="C52" s="172">
        <v>70</v>
      </c>
      <c r="D52" s="172">
        <v>0.30000000000000004</v>
      </c>
      <c r="E52" t="s">
        <v>311</v>
      </c>
      <c r="F52" s="176"/>
      <c r="G52" s="180">
        <v>1.7000000000000001E-2</v>
      </c>
      <c r="H52" s="174">
        <v>0.03</v>
      </c>
      <c r="I52">
        <f t="shared" si="3"/>
        <v>58.823529411764703</v>
      </c>
      <c r="J52">
        <f t="shared" si="4"/>
        <v>61.2</v>
      </c>
      <c r="K52">
        <f t="shared" si="5"/>
        <v>1.02</v>
      </c>
    </row>
    <row r="53" spans="1:13" x14ac:dyDescent="0.2">
      <c r="A53" t="s">
        <v>312</v>
      </c>
      <c r="B53" s="172">
        <v>70</v>
      </c>
      <c r="C53" s="172">
        <v>70</v>
      </c>
      <c r="D53" s="172">
        <v>0.2</v>
      </c>
      <c r="E53" t="s">
        <v>313</v>
      </c>
      <c r="F53" s="176"/>
      <c r="G53" s="180">
        <v>4.0000000000000001E-3</v>
      </c>
      <c r="H53" s="174">
        <v>0.03</v>
      </c>
      <c r="I53">
        <f t="shared" si="3"/>
        <v>250</v>
      </c>
      <c r="J53">
        <f t="shared" si="4"/>
        <v>14.4</v>
      </c>
      <c r="K53">
        <f t="shared" si="5"/>
        <v>0.24000000000000002</v>
      </c>
    </row>
    <row r="54" spans="1:13" x14ac:dyDescent="0.2">
      <c r="A54" t="s">
        <v>314</v>
      </c>
      <c r="B54" s="172">
        <v>70</v>
      </c>
      <c r="C54" s="172">
        <v>70</v>
      </c>
      <c r="D54" s="172">
        <v>0.15</v>
      </c>
      <c r="E54" t="s">
        <v>315</v>
      </c>
      <c r="F54" s="176"/>
      <c r="G54" s="180">
        <v>0.55000000000000004</v>
      </c>
      <c r="H54" s="174">
        <v>0.03</v>
      </c>
      <c r="I54">
        <f t="shared" si="3"/>
        <v>1.8181818181818181</v>
      </c>
      <c r="J54">
        <f t="shared" si="4"/>
        <v>1980.0000000000002</v>
      </c>
      <c r="K54">
        <f t="shared" si="5"/>
        <v>33.000000000000007</v>
      </c>
    </row>
    <row r="55" spans="1:13" x14ac:dyDescent="0.2">
      <c r="A55" t="s">
        <v>316</v>
      </c>
      <c r="B55" s="172">
        <v>70</v>
      </c>
      <c r="C55" s="172">
        <v>70</v>
      </c>
      <c r="D55" s="172">
        <v>0.2</v>
      </c>
      <c r="E55" t="s">
        <v>311</v>
      </c>
      <c r="F55" s="176"/>
      <c r="G55" s="180">
        <v>1.7000000000000001E-2</v>
      </c>
      <c r="H55" s="174">
        <v>0.03</v>
      </c>
      <c r="I55">
        <f t="shared" si="3"/>
        <v>58.823529411764703</v>
      </c>
      <c r="J55">
        <f t="shared" si="4"/>
        <v>61.2</v>
      </c>
      <c r="K55">
        <f t="shared" si="5"/>
        <v>1.02</v>
      </c>
    </row>
    <row r="56" spans="1:13" x14ac:dyDescent="0.2">
      <c r="A56" t="s">
        <v>317</v>
      </c>
      <c r="B56" s="172">
        <v>70</v>
      </c>
      <c r="C56" s="172">
        <v>70</v>
      </c>
      <c r="D56" s="172">
        <v>0.2</v>
      </c>
      <c r="E56" t="s">
        <v>315</v>
      </c>
      <c r="F56" s="176"/>
      <c r="G56" s="180">
        <v>0.30000000000000004</v>
      </c>
      <c r="H56" s="174">
        <v>0.03</v>
      </c>
      <c r="I56">
        <f t="shared" si="3"/>
        <v>3.333333333333333</v>
      </c>
      <c r="J56">
        <f t="shared" si="4"/>
        <v>1080.0000000000002</v>
      </c>
      <c r="K56">
        <f t="shared" si="5"/>
        <v>18.000000000000004</v>
      </c>
    </row>
    <row r="57" spans="1:13" x14ac:dyDescent="0.2">
      <c r="A57" t="s">
        <v>318</v>
      </c>
      <c r="B57" s="172">
        <v>70</v>
      </c>
      <c r="C57" s="172">
        <v>70</v>
      </c>
      <c r="D57" s="172">
        <v>0.2</v>
      </c>
      <c r="E57" t="s">
        <v>311</v>
      </c>
      <c r="G57" s="180">
        <v>1.7000000000000001E-2</v>
      </c>
      <c r="H57" s="174">
        <v>0.03</v>
      </c>
      <c r="I57">
        <f t="shared" si="3"/>
        <v>58.823529411764703</v>
      </c>
      <c r="J57">
        <f t="shared" si="4"/>
        <v>61.2</v>
      </c>
      <c r="K57">
        <f t="shared" si="5"/>
        <v>1.02</v>
      </c>
    </row>
    <row r="58" spans="1:13" x14ac:dyDescent="0.2">
      <c r="A58" t="s">
        <v>242</v>
      </c>
      <c r="B58" s="172">
        <v>70</v>
      </c>
      <c r="C58" s="172">
        <v>70</v>
      </c>
      <c r="D58" s="172">
        <v>0</v>
      </c>
      <c r="E58" s="172">
        <v>0</v>
      </c>
      <c r="F58" s="172">
        <v>0</v>
      </c>
      <c r="G58" s="180">
        <v>0</v>
      </c>
      <c r="H58" s="174">
        <v>0.03</v>
      </c>
      <c r="I58">
        <f t="shared" si="3"/>
        <v>0</v>
      </c>
      <c r="J58">
        <f t="shared" si="4"/>
        <v>0</v>
      </c>
      <c r="K58">
        <f t="shared" si="5"/>
        <v>0</v>
      </c>
    </row>
    <row r="59" spans="1:13" x14ac:dyDescent="0.2">
      <c r="A59" t="s">
        <v>319</v>
      </c>
      <c r="B59">
        <v>60</v>
      </c>
      <c r="C59">
        <v>11.82</v>
      </c>
      <c r="D59">
        <v>0.2</v>
      </c>
      <c r="E59" t="s">
        <v>320</v>
      </c>
      <c r="G59">
        <v>1</v>
      </c>
      <c r="H59">
        <v>1</v>
      </c>
      <c r="I59">
        <f t="shared" si="3"/>
        <v>1</v>
      </c>
      <c r="J59">
        <f t="shared" si="4"/>
        <v>3600</v>
      </c>
      <c r="K59">
        <f t="shared" si="5"/>
        <v>60</v>
      </c>
      <c r="M59">
        <v>0.34</v>
      </c>
    </row>
    <row r="60" spans="1:13" x14ac:dyDescent="0.2">
      <c r="A60" t="s">
        <v>321</v>
      </c>
      <c r="B60">
        <v>60</v>
      </c>
      <c r="C60">
        <v>11</v>
      </c>
      <c r="D60">
        <v>0.2</v>
      </c>
      <c r="E60" t="s">
        <v>320</v>
      </c>
      <c r="G60">
        <f>4.1/5</f>
        <v>0.82</v>
      </c>
      <c r="H60">
        <f>4.8/14</f>
        <v>0.34285714285714286</v>
      </c>
      <c r="I60">
        <f t="shared" si="3"/>
        <v>1.2195121951219512</v>
      </c>
      <c r="J60">
        <f t="shared" si="4"/>
        <v>2952</v>
      </c>
      <c r="K60">
        <f t="shared" si="5"/>
        <v>49.2</v>
      </c>
      <c r="L60" t="s">
        <v>322</v>
      </c>
      <c r="M60">
        <f>0.65</f>
        <v>0.65</v>
      </c>
    </row>
    <row r="61" spans="1:13" x14ac:dyDescent="0.2">
      <c r="A61" t="s">
        <v>323</v>
      </c>
      <c r="B61">
        <v>60</v>
      </c>
      <c r="C61">
        <v>11</v>
      </c>
      <c r="D61">
        <v>0.2</v>
      </c>
      <c r="E61" t="s">
        <v>320</v>
      </c>
      <c r="G61">
        <f>10.8/6</f>
        <v>1.8</v>
      </c>
      <c r="H61">
        <f>4.8/14</f>
        <v>0.34285714285714286</v>
      </c>
      <c r="I61">
        <f t="shared" si="3"/>
        <v>0.55555555555555558</v>
      </c>
      <c r="J61">
        <f t="shared" si="4"/>
        <v>6480</v>
      </c>
      <c r="K61">
        <f t="shared" si="5"/>
        <v>108</v>
      </c>
      <c r="L61" t="s">
        <v>322</v>
      </c>
      <c r="M61">
        <v>1.75</v>
      </c>
    </row>
    <row r="62" spans="1:13" x14ac:dyDescent="0.2">
      <c r="A62" t="s">
        <v>324</v>
      </c>
      <c r="B62">
        <v>60</v>
      </c>
      <c r="C62">
        <v>11</v>
      </c>
      <c r="D62">
        <v>0.2</v>
      </c>
      <c r="E62" t="s">
        <v>320</v>
      </c>
      <c r="G62">
        <f>10.5*1.25/8</f>
        <v>1.640625</v>
      </c>
      <c r="H62">
        <f>10.5*1.25/8</f>
        <v>1.640625</v>
      </c>
      <c r="I62">
        <f t="shared" si="3"/>
        <v>0.60952380952380958</v>
      </c>
      <c r="J62">
        <f t="shared" si="4"/>
        <v>5906.25</v>
      </c>
      <c r="K62">
        <f t="shared" si="5"/>
        <v>98.4375</v>
      </c>
    </row>
    <row r="63" spans="1:13" x14ac:dyDescent="0.2">
      <c r="A63" t="str">
        <f>CONCATENATE("_",'349A6898P001'!C3)</f>
        <v>_Plan :</v>
      </c>
      <c r="B63">
        <f>'349A6898P001'!F47</f>
        <v>56.000000000000007</v>
      </c>
      <c r="C63">
        <f>'349A6898P001'!J47</f>
        <v>0.78092391191077104</v>
      </c>
    </row>
  </sheetData>
  <sheetProtection selectLockedCells="1" selectUnlockedCells="1"/>
  <dataValidations count="1">
    <dataValidation type="list" operator="equal" allowBlank="1" sqref="F5">
      <mc:AlternateContent xmlns:x12ac="http://schemas.microsoft.com/office/spreadsheetml/2011/1/ac" xmlns:mc="http://schemas.openxmlformats.org/markup-compatibility/2006">
        <mc:Choice Requires="x12ac">
          <x12ac:list>"0,1","0,2"</x12ac:list>
        </mc:Choice>
        <mc:Fallback>
          <formula1>"0,1,0,2"</formula1>
        </mc:Fallback>
      </mc:AlternateContent>
      <formula2>0</formula2>
    </dataValidation>
  </dataValidations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88"/>
  <sheetViews>
    <sheetView zoomScaleNormal="100" workbookViewId="0"/>
  </sheetViews>
  <sheetFormatPr baseColWidth="10" defaultColWidth="11.5703125" defaultRowHeight="13.35" customHeight="1" x14ac:dyDescent="0.2"/>
  <cols>
    <col min="1" max="1" width="13" customWidth="1"/>
    <col min="2" max="2" width="16.28515625" customWidth="1"/>
    <col min="3" max="4" width="9.7109375" customWidth="1"/>
    <col min="5" max="5" width="4.7109375" customWidth="1"/>
    <col min="6" max="6" width="26" customWidth="1"/>
    <col min="7" max="7" width="11.140625" customWidth="1"/>
    <col min="8" max="8" width="10.28515625" customWidth="1"/>
    <col min="10" max="10" width="6" customWidth="1"/>
    <col min="11" max="11" width="5" customWidth="1"/>
  </cols>
  <sheetData>
    <row r="1" spans="1:11" ht="13.35" customHeight="1" x14ac:dyDescent="0.2">
      <c r="A1" t="s">
        <v>325</v>
      </c>
      <c r="B1" t="s">
        <v>326</v>
      </c>
      <c r="C1" t="s">
        <v>61</v>
      </c>
      <c r="D1" t="s">
        <v>327</v>
      </c>
      <c r="E1" t="s">
        <v>108</v>
      </c>
      <c r="G1" t="s">
        <v>328</v>
      </c>
      <c r="H1" t="s">
        <v>329</v>
      </c>
    </row>
    <row r="2" spans="1:11" ht="13.35" customHeight="1" x14ac:dyDescent="0.2">
      <c r="A2" t="s">
        <v>330</v>
      </c>
      <c r="B2" s="183">
        <v>1</v>
      </c>
      <c r="C2" t="s">
        <v>23</v>
      </c>
      <c r="D2">
        <v>1</v>
      </c>
      <c r="E2" t="s">
        <v>331</v>
      </c>
      <c r="F2" t="str">
        <f t="shared" ref="F2:F33" si="0">CONCATENATE(A2,"-",B2,"-",C2,"-",D2,"-",E2)</f>
        <v>bystronic3015-1-acier-1-O2</v>
      </c>
      <c r="G2">
        <f t="shared" ref="G2:G33" si="1">J2*1000</f>
        <v>15000</v>
      </c>
      <c r="H2">
        <f t="shared" ref="H2:H33" si="2">K2*1000</f>
        <v>10000</v>
      </c>
      <c r="J2">
        <f>(20+10)/2</f>
        <v>15</v>
      </c>
      <c r="K2">
        <v>10</v>
      </c>
    </row>
    <row r="3" spans="1:11" ht="13.35" customHeight="1" x14ac:dyDescent="0.2">
      <c r="A3" t="s">
        <v>330</v>
      </c>
      <c r="B3" s="183">
        <v>0</v>
      </c>
      <c r="C3" t="s">
        <v>23</v>
      </c>
      <c r="D3">
        <v>1</v>
      </c>
      <c r="E3" t="s">
        <v>331</v>
      </c>
      <c r="F3" t="str">
        <f t="shared" si="0"/>
        <v>bystronic3015-0-acier-1-O2</v>
      </c>
      <c r="G3">
        <f t="shared" si="1"/>
        <v>8649.9999999999982</v>
      </c>
      <c r="H3">
        <f t="shared" si="2"/>
        <v>7100</v>
      </c>
      <c r="J3">
        <f>(10.2+7.1)/2</f>
        <v>8.6499999999999986</v>
      </c>
      <c r="K3">
        <v>7.1</v>
      </c>
    </row>
    <row r="4" spans="1:11" ht="13.35" customHeight="1" x14ac:dyDescent="0.2">
      <c r="A4" t="s">
        <v>330</v>
      </c>
      <c r="B4" s="183">
        <v>1</v>
      </c>
      <c r="C4" t="s">
        <v>23</v>
      </c>
      <c r="D4">
        <v>1.5</v>
      </c>
      <c r="E4" t="s">
        <v>331</v>
      </c>
      <c r="F4" t="str">
        <f t="shared" si="0"/>
        <v>bystronic3015-1-acier-1,5-O2</v>
      </c>
      <c r="G4">
        <f t="shared" si="1"/>
        <v>8250</v>
      </c>
      <c r="H4">
        <f t="shared" si="2"/>
        <v>5500</v>
      </c>
      <c r="J4">
        <f>(11+5.5)/2</f>
        <v>8.25</v>
      </c>
      <c r="K4">
        <v>5.5</v>
      </c>
    </row>
    <row r="5" spans="1:11" ht="13.35" customHeight="1" x14ac:dyDescent="0.2">
      <c r="A5" t="s">
        <v>330</v>
      </c>
      <c r="B5" s="183">
        <v>0</v>
      </c>
      <c r="C5" t="s">
        <v>23</v>
      </c>
      <c r="D5">
        <v>1.5</v>
      </c>
      <c r="E5" t="s">
        <v>331</v>
      </c>
      <c r="F5" t="str">
        <f t="shared" si="0"/>
        <v>bystronic3015-0-acier-1,5-O2</v>
      </c>
      <c r="G5">
        <f t="shared" si="1"/>
        <v>7399.9999999999991</v>
      </c>
      <c r="H5">
        <f t="shared" si="2"/>
        <v>6100</v>
      </c>
      <c r="J5">
        <f>(8.7+6.1)/2</f>
        <v>7.3999999999999995</v>
      </c>
      <c r="K5">
        <v>6.1</v>
      </c>
    </row>
    <row r="6" spans="1:11" ht="13.35" customHeight="1" x14ac:dyDescent="0.2">
      <c r="A6" t="s">
        <v>330</v>
      </c>
      <c r="B6" s="183">
        <v>0</v>
      </c>
      <c r="C6" t="s">
        <v>23</v>
      </c>
      <c r="D6">
        <v>2</v>
      </c>
      <c r="E6" t="s">
        <v>331</v>
      </c>
      <c r="F6" t="str">
        <f t="shared" si="0"/>
        <v>bystronic3015-0-acier-2-O2</v>
      </c>
      <c r="G6">
        <f t="shared" si="1"/>
        <v>5800</v>
      </c>
      <c r="H6">
        <f t="shared" si="2"/>
        <v>4800</v>
      </c>
      <c r="J6">
        <f>(6.8+4.8)/2</f>
        <v>5.8</v>
      </c>
      <c r="K6">
        <v>4.8</v>
      </c>
    </row>
    <row r="7" spans="1:11" ht="13.35" customHeight="1" x14ac:dyDescent="0.2">
      <c r="A7" t="s">
        <v>330</v>
      </c>
      <c r="B7" s="183">
        <v>0</v>
      </c>
      <c r="C7" t="s">
        <v>23</v>
      </c>
      <c r="D7">
        <v>3</v>
      </c>
      <c r="E7" t="s">
        <v>331</v>
      </c>
      <c r="F7" t="str">
        <f t="shared" si="0"/>
        <v>bystronic3015-0-acier-3-O2</v>
      </c>
      <c r="G7">
        <f t="shared" si="1"/>
        <v>4000</v>
      </c>
      <c r="H7">
        <f t="shared" si="2"/>
        <v>3300</v>
      </c>
      <c r="J7">
        <f>(4.7+3.3)/2</f>
        <v>4</v>
      </c>
      <c r="K7">
        <v>3.3</v>
      </c>
    </row>
    <row r="8" spans="1:11" ht="13.35" customHeight="1" x14ac:dyDescent="0.2">
      <c r="A8" t="s">
        <v>330</v>
      </c>
      <c r="B8" s="183">
        <v>0</v>
      </c>
      <c r="C8" t="s">
        <v>23</v>
      </c>
      <c r="D8">
        <v>4</v>
      </c>
      <c r="E8" t="s">
        <v>331</v>
      </c>
      <c r="F8" t="str">
        <f t="shared" si="0"/>
        <v>bystronic3015-0-acier-4-O2</v>
      </c>
      <c r="G8">
        <f t="shared" si="1"/>
        <v>3000</v>
      </c>
      <c r="H8">
        <f t="shared" si="2"/>
        <v>2500</v>
      </c>
      <c r="J8">
        <f>(3.5+2.5)/2</f>
        <v>3</v>
      </c>
      <c r="K8">
        <v>2.5</v>
      </c>
    </row>
    <row r="9" spans="1:11" ht="13.35" customHeight="1" x14ac:dyDescent="0.2">
      <c r="A9" t="s">
        <v>330</v>
      </c>
      <c r="B9" s="183">
        <v>0</v>
      </c>
      <c r="C9" t="s">
        <v>23</v>
      </c>
      <c r="D9">
        <v>5</v>
      </c>
      <c r="E9" t="s">
        <v>331</v>
      </c>
      <c r="F9" t="str">
        <f t="shared" si="0"/>
        <v>bystronic3015-0-acier-5-O2</v>
      </c>
      <c r="G9">
        <f t="shared" si="1"/>
        <v>2300</v>
      </c>
      <c r="H9">
        <f t="shared" si="2"/>
        <v>1900</v>
      </c>
      <c r="J9">
        <f>(2.7+1.9)/2</f>
        <v>2.2999999999999998</v>
      </c>
      <c r="K9">
        <v>1.9</v>
      </c>
    </row>
    <row r="10" spans="1:11" ht="13.35" customHeight="1" x14ac:dyDescent="0.2">
      <c r="A10" t="s">
        <v>330</v>
      </c>
      <c r="B10" s="183">
        <v>0</v>
      </c>
      <c r="C10" t="s">
        <v>23</v>
      </c>
      <c r="D10">
        <v>6</v>
      </c>
      <c r="E10" t="s">
        <v>331</v>
      </c>
      <c r="F10" t="str">
        <f t="shared" si="0"/>
        <v>bystronic3015-0-acier-6-O2</v>
      </c>
      <c r="G10">
        <f t="shared" si="1"/>
        <v>1572.5</v>
      </c>
      <c r="H10">
        <f t="shared" si="2"/>
        <v>1500</v>
      </c>
      <c r="J10">
        <f>(2.2+1.5)/2*0.85</f>
        <v>1.5725</v>
      </c>
      <c r="K10">
        <v>1.5</v>
      </c>
    </row>
    <row r="11" spans="1:11" ht="13.35" customHeight="1" x14ac:dyDescent="0.2">
      <c r="A11" t="s">
        <v>330</v>
      </c>
      <c r="B11" s="183">
        <v>0</v>
      </c>
      <c r="C11" t="s">
        <v>23</v>
      </c>
      <c r="D11">
        <v>8</v>
      </c>
      <c r="E11" t="s">
        <v>331</v>
      </c>
      <c r="F11" t="str">
        <f t="shared" si="0"/>
        <v>bystronic3015-0-acier-8-O2</v>
      </c>
      <c r="G11">
        <f t="shared" si="1"/>
        <v>800</v>
      </c>
      <c r="H11">
        <f t="shared" si="2"/>
        <v>800</v>
      </c>
      <c r="J11">
        <f>(1.2+0.8)/2*0.8</f>
        <v>0.8</v>
      </c>
      <c r="K11">
        <v>0.8</v>
      </c>
    </row>
    <row r="12" spans="1:11" ht="13.35" customHeight="1" x14ac:dyDescent="0.2">
      <c r="A12" t="s">
        <v>330</v>
      </c>
      <c r="B12" s="183">
        <v>0</v>
      </c>
      <c r="C12" t="s">
        <v>23</v>
      </c>
      <c r="D12">
        <v>10</v>
      </c>
      <c r="E12" t="s">
        <v>331</v>
      </c>
      <c r="F12" t="str">
        <f t="shared" si="0"/>
        <v>bystronic3015-0-acier-10-O2</v>
      </c>
      <c r="G12">
        <f t="shared" si="1"/>
        <v>1500</v>
      </c>
      <c r="H12">
        <f t="shared" si="2"/>
        <v>1000</v>
      </c>
      <c r="J12">
        <v>1.5</v>
      </c>
      <c r="K12">
        <v>1</v>
      </c>
    </row>
    <row r="13" spans="1:11" ht="13.35" customHeight="1" x14ac:dyDescent="0.2">
      <c r="A13" t="s">
        <v>330</v>
      </c>
      <c r="B13" s="183">
        <v>0</v>
      </c>
      <c r="C13" t="s">
        <v>23</v>
      </c>
      <c r="D13">
        <v>1</v>
      </c>
      <c r="E13" t="s">
        <v>332</v>
      </c>
      <c r="F13" t="str">
        <f t="shared" si="0"/>
        <v>bystronic3015-0-acier-1-NA</v>
      </c>
      <c r="G13">
        <f t="shared" si="1"/>
        <v>7250</v>
      </c>
      <c r="H13">
        <f t="shared" si="2"/>
        <v>6000</v>
      </c>
      <c r="J13">
        <f>(8.5+6)/2</f>
        <v>7.25</v>
      </c>
      <c r="K13">
        <v>6</v>
      </c>
    </row>
    <row r="14" spans="1:11" ht="13.35" customHeight="1" x14ac:dyDescent="0.2">
      <c r="A14" t="s">
        <v>330</v>
      </c>
      <c r="B14" s="183">
        <v>0</v>
      </c>
      <c r="C14" t="s">
        <v>23</v>
      </c>
      <c r="D14">
        <v>1.5</v>
      </c>
      <c r="E14" t="s">
        <v>332</v>
      </c>
      <c r="F14" t="str">
        <f t="shared" si="0"/>
        <v>bystronic3015-0-acier-1,5-NA</v>
      </c>
      <c r="G14">
        <f t="shared" si="1"/>
        <v>6300.0000000000009</v>
      </c>
      <c r="H14">
        <f t="shared" si="2"/>
        <v>5200</v>
      </c>
      <c r="J14">
        <f>(7.4+5.2)/2</f>
        <v>6.3000000000000007</v>
      </c>
      <c r="K14">
        <v>5.2</v>
      </c>
    </row>
    <row r="15" spans="1:11" ht="13.35" customHeight="1" x14ac:dyDescent="0.2">
      <c r="A15" t="s">
        <v>330</v>
      </c>
      <c r="B15" s="183">
        <v>0</v>
      </c>
      <c r="C15" t="s">
        <v>23</v>
      </c>
      <c r="D15">
        <v>2</v>
      </c>
      <c r="E15" t="s">
        <v>332</v>
      </c>
      <c r="F15" t="str">
        <f t="shared" si="0"/>
        <v>bystronic3015-0-acier-2-NA</v>
      </c>
      <c r="G15">
        <f t="shared" si="1"/>
        <v>5250</v>
      </c>
      <c r="H15">
        <f t="shared" si="2"/>
        <v>4300</v>
      </c>
      <c r="J15">
        <f>(6.2+4.3)/2</f>
        <v>5.25</v>
      </c>
      <c r="K15">
        <v>4.3</v>
      </c>
    </row>
    <row r="16" spans="1:11" ht="13.35" customHeight="1" x14ac:dyDescent="0.2">
      <c r="A16" t="s">
        <v>330</v>
      </c>
      <c r="B16" s="183">
        <v>0</v>
      </c>
      <c r="C16" t="s">
        <v>23</v>
      </c>
      <c r="D16">
        <v>2.5</v>
      </c>
      <c r="E16" t="s">
        <v>332</v>
      </c>
      <c r="F16" t="str">
        <f t="shared" si="0"/>
        <v>bystronic3015-0-acier-2,5-NA</v>
      </c>
      <c r="G16">
        <f t="shared" si="1"/>
        <v>4500</v>
      </c>
      <c r="H16">
        <f t="shared" si="2"/>
        <v>3700</v>
      </c>
      <c r="J16">
        <f>(5.3+3.7)/2</f>
        <v>4.5</v>
      </c>
      <c r="K16">
        <v>3.7</v>
      </c>
    </row>
    <row r="17" spans="1:22" ht="13.35" customHeight="1" x14ac:dyDescent="0.2">
      <c r="A17" t="s">
        <v>330</v>
      </c>
      <c r="B17" s="183">
        <v>0</v>
      </c>
      <c r="C17" t="s">
        <v>23</v>
      </c>
      <c r="D17">
        <v>3</v>
      </c>
      <c r="E17" t="s">
        <v>332</v>
      </c>
      <c r="F17" t="str">
        <f t="shared" si="0"/>
        <v>bystronic3015-0-acier-3-NA</v>
      </c>
      <c r="G17">
        <f t="shared" si="1"/>
        <v>3650</v>
      </c>
      <c r="H17">
        <f t="shared" si="2"/>
        <v>3000</v>
      </c>
      <c r="J17">
        <f>(4.3+3)/2</f>
        <v>3.65</v>
      </c>
      <c r="K17">
        <v>3</v>
      </c>
    </row>
    <row r="18" spans="1:22" ht="13.35" customHeight="1" x14ac:dyDescent="0.2">
      <c r="A18" t="s">
        <v>330</v>
      </c>
      <c r="B18" s="183">
        <v>0</v>
      </c>
      <c r="C18" t="s">
        <v>23</v>
      </c>
      <c r="D18">
        <v>4</v>
      </c>
      <c r="E18" t="s">
        <v>332</v>
      </c>
      <c r="F18" t="str">
        <f t="shared" si="0"/>
        <v>bystronic3015-0-acier-4-NA</v>
      </c>
      <c r="G18">
        <f t="shared" si="1"/>
        <v>3550</v>
      </c>
      <c r="H18">
        <f t="shared" si="2"/>
        <v>2900</v>
      </c>
      <c r="J18">
        <f>(4.2+2.9)/2</f>
        <v>3.55</v>
      </c>
      <c r="K18">
        <v>2.9</v>
      </c>
    </row>
    <row r="19" spans="1:22" ht="13.35" customHeight="1" x14ac:dyDescent="0.2">
      <c r="A19" t="s">
        <v>330</v>
      </c>
      <c r="B19" s="183">
        <v>0</v>
      </c>
      <c r="C19" t="s">
        <v>23</v>
      </c>
      <c r="D19">
        <v>5</v>
      </c>
      <c r="E19" t="s">
        <v>332</v>
      </c>
      <c r="F19" t="str">
        <f t="shared" si="0"/>
        <v>bystronic3015-0-acier-5-NA</v>
      </c>
      <c r="G19">
        <f t="shared" si="1"/>
        <v>5150</v>
      </c>
      <c r="H19">
        <f t="shared" si="2"/>
        <v>2700</v>
      </c>
      <c r="J19">
        <f>(3.8+2.7/2)</f>
        <v>5.15</v>
      </c>
      <c r="K19">
        <v>2.7</v>
      </c>
    </row>
    <row r="20" spans="1:22" ht="13.35" customHeight="1" x14ac:dyDescent="0.2">
      <c r="A20" t="s">
        <v>330</v>
      </c>
      <c r="B20" s="183">
        <v>0</v>
      </c>
      <c r="C20" t="s">
        <v>23</v>
      </c>
      <c r="D20">
        <v>6</v>
      </c>
      <c r="E20" t="s">
        <v>332</v>
      </c>
      <c r="F20" t="str">
        <f t="shared" si="0"/>
        <v>bystronic3015-0-acier-6-NA</v>
      </c>
      <c r="G20">
        <f t="shared" si="1"/>
        <v>2380</v>
      </c>
      <c r="H20">
        <f t="shared" si="2"/>
        <v>2300</v>
      </c>
      <c r="J20">
        <f>(3.3+2.3)/2*0.85</f>
        <v>2.38</v>
      </c>
      <c r="K20">
        <v>2.2999999999999998</v>
      </c>
    </row>
    <row r="21" spans="1:22" ht="13.35" customHeight="1" x14ac:dyDescent="0.2">
      <c r="A21" t="s">
        <v>330</v>
      </c>
      <c r="B21" s="183">
        <v>0</v>
      </c>
      <c r="C21" t="s">
        <v>23</v>
      </c>
      <c r="D21">
        <v>8</v>
      </c>
      <c r="E21" t="s">
        <v>332</v>
      </c>
      <c r="F21" t="str">
        <f t="shared" si="0"/>
        <v>bystronic3015-0-acier-8-NA</v>
      </c>
      <c r="G21">
        <f t="shared" si="1"/>
        <v>1760.0000000000002</v>
      </c>
      <c r="H21">
        <f t="shared" si="2"/>
        <v>1800</v>
      </c>
      <c r="J21">
        <f>(2.6+1.8)/2*0.8</f>
        <v>1.7600000000000002</v>
      </c>
      <c r="K21">
        <v>1.8</v>
      </c>
    </row>
    <row r="22" spans="1:22" ht="13.35" customHeight="1" x14ac:dyDescent="0.2">
      <c r="A22" t="s">
        <v>330</v>
      </c>
      <c r="B22" s="183">
        <v>0</v>
      </c>
      <c r="C22" t="s">
        <v>23</v>
      </c>
      <c r="D22">
        <v>10</v>
      </c>
      <c r="E22" t="s">
        <v>332</v>
      </c>
      <c r="F22" t="str">
        <f t="shared" si="0"/>
        <v>bystronic3015-0-acier-10-NA</v>
      </c>
      <c r="G22">
        <f t="shared" si="1"/>
        <v>1530</v>
      </c>
      <c r="H22">
        <f t="shared" si="2"/>
        <v>1500</v>
      </c>
      <c r="J22">
        <f>(2.1+1.5)/2*0.85</f>
        <v>1.53</v>
      </c>
      <c r="K22">
        <v>1.5</v>
      </c>
      <c r="V22">
        <v>0</v>
      </c>
    </row>
    <row r="23" spans="1:22" ht="13.35" customHeight="1" x14ac:dyDescent="0.2">
      <c r="A23" t="s">
        <v>330</v>
      </c>
      <c r="B23" s="183">
        <v>0</v>
      </c>
      <c r="C23" t="s">
        <v>23</v>
      </c>
      <c r="D23">
        <v>12</v>
      </c>
      <c r="E23" t="s">
        <v>332</v>
      </c>
      <c r="F23" t="str">
        <f t="shared" si="0"/>
        <v>bystronic3015-0-acier-12-NA</v>
      </c>
      <c r="G23">
        <f t="shared" si="1"/>
        <v>1200.0000000000002</v>
      </c>
      <c r="H23">
        <f t="shared" si="2"/>
        <v>1200</v>
      </c>
      <c r="J23">
        <f>(1.8+1.2)/2*0.8</f>
        <v>1.2000000000000002</v>
      </c>
      <c r="K23">
        <v>1.2</v>
      </c>
    </row>
    <row r="24" spans="1:22" ht="13.35" customHeight="1" x14ac:dyDescent="0.2">
      <c r="A24" t="s">
        <v>330</v>
      </c>
      <c r="B24" s="183">
        <v>0</v>
      </c>
      <c r="C24" t="s">
        <v>23</v>
      </c>
      <c r="D24">
        <v>15</v>
      </c>
      <c r="E24" t="s">
        <v>332</v>
      </c>
      <c r="F24" t="str">
        <f t="shared" si="0"/>
        <v>bystronic3015-0-acier-15-NA</v>
      </c>
      <c r="G24">
        <f t="shared" si="1"/>
        <v>1000</v>
      </c>
      <c r="H24">
        <f t="shared" si="2"/>
        <v>1000</v>
      </c>
      <c r="J24">
        <f>(1.5+1)/2*0.8</f>
        <v>1</v>
      </c>
      <c r="K24">
        <v>1</v>
      </c>
    </row>
    <row r="25" spans="1:22" ht="13.35" customHeight="1" x14ac:dyDescent="0.2">
      <c r="A25" t="s">
        <v>330</v>
      </c>
      <c r="B25" s="183">
        <v>0</v>
      </c>
      <c r="C25" t="s">
        <v>23</v>
      </c>
      <c r="D25">
        <v>20</v>
      </c>
      <c r="E25" t="s">
        <v>332</v>
      </c>
      <c r="F25" t="str">
        <f t="shared" si="0"/>
        <v>bystronic3015-0-acier-20-NA</v>
      </c>
      <c r="G25">
        <f t="shared" si="1"/>
        <v>850.00000000000011</v>
      </c>
      <c r="H25">
        <f t="shared" si="2"/>
        <v>700</v>
      </c>
      <c r="J25">
        <f>(1+0.7)/2</f>
        <v>0.85000000000000009</v>
      </c>
      <c r="K25">
        <v>0.7</v>
      </c>
    </row>
    <row r="26" spans="1:22" ht="13.35" customHeight="1" x14ac:dyDescent="0.2">
      <c r="A26" t="s">
        <v>330</v>
      </c>
      <c r="B26" s="183">
        <v>1</v>
      </c>
      <c r="C26" t="s">
        <v>165</v>
      </c>
      <c r="D26">
        <v>1</v>
      </c>
      <c r="E26" t="s">
        <v>332</v>
      </c>
      <c r="F26" t="str">
        <f t="shared" si="0"/>
        <v>bystronic3015-1-inox-1-NA</v>
      </c>
      <c r="G26">
        <f t="shared" si="1"/>
        <v>16500</v>
      </c>
      <c r="H26">
        <f t="shared" si="2"/>
        <v>11000</v>
      </c>
      <c r="J26">
        <f>(22+11)/2</f>
        <v>16.5</v>
      </c>
      <c r="K26">
        <v>11</v>
      </c>
    </row>
    <row r="27" spans="1:22" ht="13.35" customHeight="1" x14ac:dyDescent="0.2">
      <c r="A27" t="s">
        <v>330</v>
      </c>
      <c r="B27" s="183">
        <v>0</v>
      </c>
      <c r="C27" t="s">
        <v>165</v>
      </c>
      <c r="D27">
        <v>1</v>
      </c>
      <c r="E27" t="s">
        <v>332</v>
      </c>
      <c r="F27" t="str">
        <f t="shared" si="0"/>
        <v>bystronic3015-0-inox-1-NA</v>
      </c>
      <c r="G27">
        <f t="shared" si="1"/>
        <v>8149.9999999999982</v>
      </c>
      <c r="H27">
        <f t="shared" si="2"/>
        <v>6100</v>
      </c>
      <c r="J27">
        <f>(10.2+6.1)/2</f>
        <v>8.1499999999999986</v>
      </c>
      <c r="K27">
        <v>6.1</v>
      </c>
    </row>
    <row r="28" spans="1:22" ht="13.35" customHeight="1" x14ac:dyDescent="0.2">
      <c r="A28" t="s">
        <v>330</v>
      </c>
      <c r="B28" s="183">
        <v>1</v>
      </c>
      <c r="C28" t="s">
        <v>165</v>
      </c>
      <c r="D28">
        <v>1.5</v>
      </c>
      <c r="E28" t="s">
        <v>332</v>
      </c>
      <c r="F28" t="str">
        <f t="shared" si="0"/>
        <v>bystronic3015-1-inox-1,5-NA</v>
      </c>
      <c r="G28">
        <f t="shared" si="1"/>
        <v>9000</v>
      </c>
      <c r="H28">
        <f t="shared" si="2"/>
        <v>6000</v>
      </c>
      <c r="J28">
        <f>(12+6)/2</f>
        <v>9</v>
      </c>
      <c r="K28">
        <v>6</v>
      </c>
    </row>
    <row r="29" spans="1:22" ht="13.35" customHeight="1" x14ac:dyDescent="0.2">
      <c r="A29" t="s">
        <v>330</v>
      </c>
      <c r="B29" s="183">
        <v>0</v>
      </c>
      <c r="C29" t="s">
        <v>165</v>
      </c>
      <c r="D29">
        <v>1.5</v>
      </c>
      <c r="E29" t="s">
        <v>332</v>
      </c>
      <c r="F29" t="str">
        <f t="shared" si="0"/>
        <v>bystronic3015-0-inox-1,5-NA</v>
      </c>
      <c r="G29">
        <f t="shared" si="1"/>
        <v>6900</v>
      </c>
      <c r="H29">
        <f t="shared" si="2"/>
        <v>5200</v>
      </c>
      <c r="J29">
        <f>(8.6+5.2)/2</f>
        <v>6.9</v>
      </c>
      <c r="K29">
        <v>5.2</v>
      </c>
    </row>
    <row r="30" spans="1:22" ht="13.35" customHeight="1" x14ac:dyDescent="0.2">
      <c r="A30" t="s">
        <v>330</v>
      </c>
      <c r="B30" s="183">
        <v>0</v>
      </c>
      <c r="C30" t="s">
        <v>165</v>
      </c>
      <c r="D30">
        <v>2</v>
      </c>
      <c r="E30" t="s">
        <v>332</v>
      </c>
      <c r="F30" t="str">
        <f t="shared" si="0"/>
        <v>bystronic3015-0-inox-2-NA</v>
      </c>
      <c r="G30">
        <f t="shared" si="1"/>
        <v>5500</v>
      </c>
      <c r="H30">
        <f t="shared" si="2"/>
        <v>4100</v>
      </c>
      <c r="J30">
        <f>(6.9+4.1)/2</f>
        <v>5.5</v>
      </c>
      <c r="K30">
        <v>4.0999999999999996</v>
      </c>
    </row>
    <row r="31" spans="1:22" ht="13.35" customHeight="1" x14ac:dyDescent="0.2">
      <c r="A31" t="s">
        <v>330</v>
      </c>
      <c r="B31" s="183">
        <v>0</v>
      </c>
      <c r="C31" t="s">
        <v>165</v>
      </c>
      <c r="D31">
        <v>2.5</v>
      </c>
      <c r="E31" t="s">
        <v>332</v>
      </c>
      <c r="F31" t="str">
        <f t="shared" si="0"/>
        <v>bystronic3015-0-inox-2,5-NA</v>
      </c>
      <c r="G31">
        <f t="shared" si="1"/>
        <v>4300.0000000000009</v>
      </c>
      <c r="H31">
        <f t="shared" si="2"/>
        <v>3200</v>
      </c>
      <c r="J31">
        <f>(5.4+3.2)/2</f>
        <v>4.3000000000000007</v>
      </c>
      <c r="K31">
        <v>3.2</v>
      </c>
    </row>
    <row r="32" spans="1:22" ht="13.35" customHeight="1" x14ac:dyDescent="0.2">
      <c r="A32" t="s">
        <v>330</v>
      </c>
      <c r="B32" s="183">
        <v>0</v>
      </c>
      <c r="C32" t="s">
        <v>165</v>
      </c>
      <c r="D32">
        <v>3</v>
      </c>
      <c r="E32" t="s">
        <v>332</v>
      </c>
      <c r="F32" t="str">
        <f t="shared" si="0"/>
        <v>bystronic3015-0-inox-3-NA</v>
      </c>
      <c r="G32">
        <f t="shared" si="1"/>
        <v>3450</v>
      </c>
      <c r="H32">
        <f t="shared" si="2"/>
        <v>2600</v>
      </c>
      <c r="J32">
        <f>(4.3+2.6)/2</f>
        <v>3.45</v>
      </c>
      <c r="K32">
        <v>2.6</v>
      </c>
    </row>
    <row r="33" spans="1:11" ht="13.35" customHeight="1" x14ac:dyDescent="0.2">
      <c r="A33" t="s">
        <v>330</v>
      </c>
      <c r="B33" s="183">
        <v>0</v>
      </c>
      <c r="C33" t="s">
        <v>165</v>
      </c>
      <c r="D33">
        <v>4</v>
      </c>
      <c r="E33" t="s">
        <v>332</v>
      </c>
      <c r="F33" t="str">
        <f t="shared" si="0"/>
        <v>bystronic3015-0-inox-4-NA</v>
      </c>
      <c r="G33">
        <f t="shared" si="1"/>
        <v>2800</v>
      </c>
      <c r="H33">
        <f t="shared" si="2"/>
        <v>2100</v>
      </c>
      <c r="J33">
        <f>(3.5+2.1)/2</f>
        <v>2.8</v>
      </c>
      <c r="K33">
        <v>2.1</v>
      </c>
    </row>
    <row r="34" spans="1:11" ht="13.35" customHeight="1" x14ac:dyDescent="0.2">
      <c r="A34" t="s">
        <v>330</v>
      </c>
      <c r="B34" s="183">
        <v>0</v>
      </c>
      <c r="C34" t="s">
        <v>165</v>
      </c>
      <c r="D34">
        <v>5</v>
      </c>
      <c r="E34" t="s">
        <v>332</v>
      </c>
      <c r="F34" t="str">
        <f t="shared" ref="F34:F65" si="3">CONCATENATE(A34,"-",B34,"-",C34,"-",D34,"-",E34)</f>
        <v>bystronic3015-0-inox-5-NA</v>
      </c>
      <c r="G34">
        <f t="shared" ref="G34:G52" si="4">J34*1000</f>
        <v>2300</v>
      </c>
      <c r="H34">
        <f t="shared" ref="H34:H52" si="5">K34*1000</f>
        <v>1700.0000000000002</v>
      </c>
      <c r="J34">
        <f>(2.9+1.7)/2</f>
        <v>2.2999999999999998</v>
      </c>
      <c r="K34">
        <v>1.7000000000000002</v>
      </c>
    </row>
    <row r="35" spans="1:11" ht="13.35" customHeight="1" x14ac:dyDescent="0.2">
      <c r="A35" t="s">
        <v>330</v>
      </c>
      <c r="B35" s="183">
        <v>0</v>
      </c>
      <c r="C35" t="s">
        <v>165</v>
      </c>
      <c r="D35">
        <v>6</v>
      </c>
      <c r="E35" t="s">
        <v>332</v>
      </c>
      <c r="F35" t="str">
        <f t="shared" si="3"/>
        <v>bystronic3015-0-inox-6-NA</v>
      </c>
      <c r="G35">
        <f t="shared" si="4"/>
        <v>1615</v>
      </c>
      <c r="H35">
        <f t="shared" si="5"/>
        <v>1400</v>
      </c>
      <c r="J35">
        <f>(2.4+1.4)/2*0.85</f>
        <v>1.615</v>
      </c>
      <c r="K35">
        <v>1.4</v>
      </c>
    </row>
    <row r="36" spans="1:11" ht="13.35" customHeight="1" x14ac:dyDescent="0.2">
      <c r="A36" t="s">
        <v>330</v>
      </c>
      <c r="B36" s="183">
        <v>0</v>
      </c>
      <c r="C36" t="s">
        <v>165</v>
      </c>
      <c r="D36">
        <v>8</v>
      </c>
      <c r="E36" t="s">
        <v>332</v>
      </c>
      <c r="F36" t="str">
        <f t="shared" si="3"/>
        <v>bystronic3015-0-inox-8-NA</v>
      </c>
      <c r="G36">
        <f t="shared" si="4"/>
        <v>1080</v>
      </c>
      <c r="H36">
        <f t="shared" si="5"/>
        <v>1000</v>
      </c>
      <c r="J36">
        <f>(1.7+1)/2*0.8</f>
        <v>1.08</v>
      </c>
      <c r="K36">
        <v>1</v>
      </c>
    </row>
    <row r="37" spans="1:11" ht="13.35" customHeight="1" x14ac:dyDescent="0.2">
      <c r="A37" t="s">
        <v>330</v>
      </c>
      <c r="B37" s="183">
        <v>0</v>
      </c>
      <c r="C37" t="s">
        <v>165</v>
      </c>
      <c r="D37">
        <v>10</v>
      </c>
      <c r="E37" t="s">
        <v>332</v>
      </c>
      <c r="F37" t="str">
        <f t="shared" si="3"/>
        <v>bystronic3015-0-inox-10-NA</v>
      </c>
      <c r="G37">
        <f t="shared" si="4"/>
        <v>765.00000000000011</v>
      </c>
      <c r="H37">
        <f t="shared" si="5"/>
        <v>700</v>
      </c>
      <c r="J37">
        <f>(1.1+0.7)/2*0.85</f>
        <v>0.76500000000000012</v>
      </c>
      <c r="K37">
        <v>0.7</v>
      </c>
    </row>
    <row r="38" spans="1:11" ht="13.35" customHeight="1" x14ac:dyDescent="0.2">
      <c r="A38" t="s">
        <v>330</v>
      </c>
      <c r="B38" s="183">
        <v>0</v>
      </c>
      <c r="C38" t="s">
        <v>165</v>
      </c>
      <c r="D38">
        <v>12</v>
      </c>
      <c r="E38" t="s">
        <v>332</v>
      </c>
      <c r="F38" t="str">
        <f t="shared" si="3"/>
        <v>bystronic3015-0-inox-12-NA</v>
      </c>
      <c r="G38">
        <f t="shared" si="4"/>
        <v>440.00000000000006</v>
      </c>
      <c r="H38">
        <f t="shared" si="5"/>
        <v>400</v>
      </c>
      <c r="J38">
        <f>(0.7+0.4)/2*0.8</f>
        <v>0.44000000000000006</v>
      </c>
      <c r="K38">
        <v>0.4</v>
      </c>
    </row>
    <row r="39" spans="1:11" ht="13.35" customHeight="1" x14ac:dyDescent="0.2">
      <c r="A39" t="s">
        <v>330</v>
      </c>
      <c r="B39" s="183">
        <v>0</v>
      </c>
      <c r="C39" t="s">
        <v>165</v>
      </c>
      <c r="D39">
        <v>15</v>
      </c>
      <c r="E39" t="s">
        <v>332</v>
      </c>
      <c r="F39" t="str">
        <f t="shared" si="3"/>
        <v>bystronic3015-0-inox-15-NA</v>
      </c>
      <c r="G39">
        <f t="shared" si="4"/>
        <v>240.00000000000006</v>
      </c>
      <c r="H39">
        <f t="shared" si="5"/>
        <v>200</v>
      </c>
      <c r="J39">
        <f>(0.4+0.2)/2*0.8</f>
        <v>0.24000000000000005</v>
      </c>
      <c r="K39">
        <v>0.2</v>
      </c>
    </row>
    <row r="40" spans="1:11" ht="13.35" customHeight="1" x14ac:dyDescent="0.2">
      <c r="A40" t="s">
        <v>330</v>
      </c>
      <c r="B40" s="183">
        <v>1</v>
      </c>
      <c r="C40" t="s">
        <v>72</v>
      </c>
      <c r="D40">
        <v>1</v>
      </c>
      <c r="E40" t="s">
        <v>332</v>
      </c>
      <c r="F40" t="str">
        <f t="shared" si="3"/>
        <v>bystronic3015-1-alu-1-NA</v>
      </c>
      <c r="G40">
        <f t="shared" si="4"/>
        <v>18750</v>
      </c>
      <c r="H40">
        <f t="shared" si="5"/>
        <v>12500</v>
      </c>
      <c r="J40">
        <f>(25+12.5)/2</f>
        <v>18.75</v>
      </c>
      <c r="K40">
        <v>12.5</v>
      </c>
    </row>
    <row r="41" spans="1:11" ht="13.35" customHeight="1" x14ac:dyDescent="0.2">
      <c r="A41" t="s">
        <v>330</v>
      </c>
      <c r="B41" s="183">
        <v>0</v>
      </c>
      <c r="C41" t="s">
        <v>72</v>
      </c>
      <c r="D41">
        <v>1</v>
      </c>
      <c r="E41" t="s">
        <v>332</v>
      </c>
      <c r="F41" t="str">
        <f t="shared" si="3"/>
        <v>bystronic3015-0-alu-1-NA</v>
      </c>
      <c r="G41">
        <f t="shared" si="4"/>
        <v>8800</v>
      </c>
      <c r="H41">
        <f t="shared" si="5"/>
        <v>6600</v>
      </c>
      <c r="J41">
        <f>(11+6.6)/2</f>
        <v>8.8000000000000007</v>
      </c>
      <c r="K41">
        <v>6.6</v>
      </c>
    </row>
    <row r="42" spans="1:11" ht="13.35" customHeight="1" x14ac:dyDescent="0.2">
      <c r="A42" t="s">
        <v>330</v>
      </c>
      <c r="B42" s="183">
        <v>1</v>
      </c>
      <c r="C42" t="s">
        <v>72</v>
      </c>
      <c r="D42">
        <v>1.5</v>
      </c>
      <c r="E42" t="s">
        <v>332</v>
      </c>
      <c r="F42" t="str">
        <f t="shared" si="3"/>
        <v>bystronic3015-1-alu-1,5-NA</v>
      </c>
      <c r="G42">
        <f t="shared" si="4"/>
        <v>10500</v>
      </c>
      <c r="H42">
        <f t="shared" si="5"/>
        <v>7000</v>
      </c>
      <c r="J42">
        <f>(14+7)/2</f>
        <v>10.5</v>
      </c>
      <c r="K42">
        <v>7</v>
      </c>
    </row>
    <row r="43" spans="1:11" ht="13.35" customHeight="1" x14ac:dyDescent="0.2">
      <c r="A43" t="s">
        <v>330</v>
      </c>
      <c r="B43" s="183">
        <v>0</v>
      </c>
      <c r="C43" t="s">
        <v>72</v>
      </c>
      <c r="D43">
        <v>1.5</v>
      </c>
      <c r="E43" t="s">
        <v>332</v>
      </c>
      <c r="F43" t="str">
        <f t="shared" si="3"/>
        <v>bystronic3015-0-alu-1,5-NA</v>
      </c>
      <c r="G43">
        <f t="shared" si="4"/>
        <v>7500</v>
      </c>
      <c r="H43">
        <f t="shared" si="5"/>
        <v>5600</v>
      </c>
      <c r="J43">
        <f>(9.4+5.6)/2</f>
        <v>7.5</v>
      </c>
      <c r="K43">
        <v>5.6</v>
      </c>
    </row>
    <row r="44" spans="1:11" ht="13.35" customHeight="1" x14ac:dyDescent="0.2">
      <c r="A44" t="s">
        <v>330</v>
      </c>
      <c r="B44" s="183">
        <v>0</v>
      </c>
      <c r="C44" t="s">
        <v>72</v>
      </c>
      <c r="D44">
        <v>2</v>
      </c>
      <c r="E44" t="s">
        <v>332</v>
      </c>
      <c r="F44" t="str">
        <f t="shared" si="3"/>
        <v>bystronic3015-0-alu-2-NA</v>
      </c>
      <c r="G44">
        <f t="shared" si="4"/>
        <v>6150</v>
      </c>
      <c r="H44">
        <f t="shared" si="5"/>
        <v>4600</v>
      </c>
      <c r="J44">
        <f>(7.7+4.6)/2</f>
        <v>6.15</v>
      </c>
      <c r="K44">
        <v>4.5999999999999996</v>
      </c>
    </row>
    <row r="45" spans="1:11" ht="13.35" customHeight="1" x14ac:dyDescent="0.2">
      <c r="A45" t="s">
        <v>330</v>
      </c>
      <c r="B45" s="183">
        <v>0</v>
      </c>
      <c r="C45" t="s">
        <v>72</v>
      </c>
      <c r="D45">
        <v>2.5</v>
      </c>
      <c r="E45" t="s">
        <v>332</v>
      </c>
      <c r="F45" t="str">
        <f t="shared" si="3"/>
        <v>bystronic3015-0-alu-2,5-NA</v>
      </c>
      <c r="G45">
        <f t="shared" si="4"/>
        <v>4900</v>
      </c>
      <c r="H45">
        <f t="shared" si="5"/>
        <v>3700</v>
      </c>
      <c r="J45">
        <f>(6.1+3.7)/2</f>
        <v>4.9000000000000004</v>
      </c>
      <c r="K45">
        <v>3.7</v>
      </c>
    </row>
    <row r="46" spans="1:11" ht="13.35" customHeight="1" x14ac:dyDescent="0.2">
      <c r="A46" t="s">
        <v>330</v>
      </c>
      <c r="B46" s="183">
        <v>0</v>
      </c>
      <c r="C46" t="s">
        <v>72</v>
      </c>
      <c r="D46">
        <v>3</v>
      </c>
      <c r="E46" t="s">
        <v>332</v>
      </c>
      <c r="F46" t="str">
        <f t="shared" si="3"/>
        <v>bystronic3015-0-alu-3-NA</v>
      </c>
      <c r="G46">
        <f t="shared" si="4"/>
        <v>4000</v>
      </c>
      <c r="H46">
        <f t="shared" si="5"/>
        <v>3000</v>
      </c>
      <c r="J46">
        <f>(5+3)/2</f>
        <v>4</v>
      </c>
      <c r="K46">
        <v>3</v>
      </c>
    </row>
    <row r="47" spans="1:11" ht="13.35" customHeight="1" x14ac:dyDescent="0.2">
      <c r="A47" t="s">
        <v>330</v>
      </c>
      <c r="B47" s="183">
        <v>0</v>
      </c>
      <c r="C47" t="s">
        <v>72</v>
      </c>
      <c r="D47">
        <v>4</v>
      </c>
      <c r="E47" t="s">
        <v>332</v>
      </c>
      <c r="F47" t="str">
        <f t="shared" si="3"/>
        <v>bystronic3015-0-alu-4-NA</v>
      </c>
      <c r="G47">
        <f t="shared" si="4"/>
        <v>3099.9999999999995</v>
      </c>
      <c r="H47">
        <f t="shared" si="5"/>
        <v>2300</v>
      </c>
      <c r="J47">
        <f>(3.9+2.3)/2</f>
        <v>3.0999999999999996</v>
      </c>
      <c r="K47">
        <v>2.2999999999999998</v>
      </c>
    </row>
    <row r="48" spans="1:11" ht="13.35" customHeight="1" x14ac:dyDescent="0.2">
      <c r="A48" t="s">
        <v>330</v>
      </c>
      <c r="B48" s="183">
        <v>0</v>
      </c>
      <c r="C48" t="s">
        <v>72</v>
      </c>
      <c r="D48">
        <v>5</v>
      </c>
      <c r="E48" t="s">
        <v>332</v>
      </c>
      <c r="F48" t="str">
        <f t="shared" si="3"/>
        <v>bystronic3015-0-alu-5-NA</v>
      </c>
      <c r="G48">
        <f t="shared" si="4"/>
        <v>2250</v>
      </c>
      <c r="H48">
        <f t="shared" si="5"/>
        <v>1700.0000000000002</v>
      </c>
      <c r="J48">
        <f>(2.8+1.7)/2</f>
        <v>2.25</v>
      </c>
      <c r="K48">
        <v>1.7000000000000002</v>
      </c>
    </row>
    <row r="49" spans="1:11" ht="13.35" customHeight="1" x14ac:dyDescent="0.2">
      <c r="A49" t="s">
        <v>330</v>
      </c>
      <c r="B49" s="183">
        <v>0</v>
      </c>
      <c r="C49" t="s">
        <v>72</v>
      </c>
      <c r="D49">
        <v>6</v>
      </c>
      <c r="E49" t="s">
        <v>332</v>
      </c>
      <c r="F49" t="str">
        <f t="shared" si="3"/>
        <v>bystronic3015-0-alu-6-NA</v>
      </c>
      <c r="G49">
        <f t="shared" si="4"/>
        <v>1275</v>
      </c>
      <c r="H49">
        <f t="shared" si="5"/>
        <v>1100</v>
      </c>
      <c r="J49">
        <f>(1.9+1.1)/2*0.85</f>
        <v>1.2749999999999999</v>
      </c>
      <c r="K49">
        <v>1.1000000000000001</v>
      </c>
    </row>
    <row r="50" spans="1:11" ht="13.35" customHeight="1" x14ac:dyDescent="0.2">
      <c r="A50" t="s">
        <v>330</v>
      </c>
      <c r="B50" s="183">
        <v>0</v>
      </c>
      <c r="C50" t="s">
        <v>72</v>
      </c>
      <c r="D50">
        <v>8</v>
      </c>
      <c r="E50" t="s">
        <v>332</v>
      </c>
      <c r="F50" t="str">
        <f t="shared" si="3"/>
        <v>bystronic3015-0-alu-8-NA</v>
      </c>
      <c r="G50">
        <f t="shared" si="4"/>
        <v>559.99999999999989</v>
      </c>
      <c r="H50">
        <f t="shared" si="5"/>
        <v>500</v>
      </c>
      <c r="J50">
        <f>(0.9+0.5)/2*0.8</f>
        <v>0.55999999999999994</v>
      </c>
      <c r="K50">
        <v>0.5</v>
      </c>
    </row>
    <row r="51" spans="1:11" ht="13.35" customHeight="1" x14ac:dyDescent="0.2">
      <c r="A51" t="s">
        <v>330</v>
      </c>
      <c r="B51" s="183">
        <v>0</v>
      </c>
      <c r="C51" t="s">
        <v>72</v>
      </c>
      <c r="D51">
        <v>10</v>
      </c>
      <c r="E51" t="s">
        <v>332</v>
      </c>
      <c r="F51" t="str">
        <f t="shared" si="3"/>
        <v>bystronic3015-0-alu-10-NA</v>
      </c>
      <c r="G51">
        <f t="shared" si="4"/>
        <v>467.5</v>
      </c>
      <c r="H51">
        <f t="shared" si="5"/>
        <v>400</v>
      </c>
      <c r="J51">
        <f>(0.7+0.4)/2*0.85</f>
        <v>0.46750000000000003</v>
      </c>
      <c r="K51">
        <v>0.4</v>
      </c>
    </row>
    <row r="52" spans="1:11" ht="13.35" customHeight="1" x14ac:dyDescent="0.2">
      <c r="A52" t="s">
        <v>330</v>
      </c>
      <c r="B52" s="183">
        <v>0</v>
      </c>
      <c r="C52" t="s">
        <v>23</v>
      </c>
      <c r="D52">
        <v>2.5</v>
      </c>
      <c r="E52" t="s">
        <v>331</v>
      </c>
      <c r="F52" t="str">
        <f t="shared" si="3"/>
        <v>bystronic3015-0-acier-2,5-O2</v>
      </c>
      <c r="G52">
        <f t="shared" si="4"/>
        <v>4000</v>
      </c>
      <c r="H52">
        <f t="shared" si="5"/>
        <v>3300</v>
      </c>
      <c r="J52">
        <f>(4.7+3.3)/2</f>
        <v>4</v>
      </c>
      <c r="K52">
        <v>3.3</v>
      </c>
    </row>
    <row r="53" spans="1:11" ht="13.35" customHeight="1" x14ac:dyDescent="0.2">
      <c r="A53" t="s">
        <v>333</v>
      </c>
      <c r="B53" s="183">
        <v>0</v>
      </c>
      <c r="C53" t="s">
        <v>23</v>
      </c>
      <c r="D53">
        <v>2.5</v>
      </c>
      <c r="E53" t="s">
        <v>331</v>
      </c>
      <c r="F53" t="str">
        <f t="shared" si="3"/>
        <v>amada-0-acier-2,5-O2</v>
      </c>
      <c r="G53">
        <v>1900</v>
      </c>
      <c r="H53">
        <v>800</v>
      </c>
    </row>
    <row r="54" spans="1:11" ht="13.35" customHeight="1" x14ac:dyDescent="0.2">
      <c r="A54" t="s">
        <v>333</v>
      </c>
      <c r="B54">
        <v>0</v>
      </c>
      <c r="C54" s="184" t="s">
        <v>23</v>
      </c>
      <c r="D54" s="185">
        <v>1</v>
      </c>
      <c r="E54" t="s">
        <v>331</v>
      </c>
      <c r="F54" t="str">
        <f t="shared" si="3"/>
        <v>amada-0-acier-1-O2</v>
      </c>
      <c r="G54" s="185">
        <v>3800</v>
      </c>
      <c r="H54" s="185">
        <v>1101</v>
      </c>
    </row>
    <row r="55" spans="1:11" ht="13.35" customHeight="1" x14ac:dyDescent="0.2">
      <c r="A55" t="s">
        <v>333</v>
      </c>
      <c r="B55" s="183">
        <v>0</v>
      </c>
      <c r="C55" s="184" t="s">
        <v>334</v>
      </c>
      <c r="D55" s="185">
        <v>1</v>
      </c>
      <c r="E55" t="s">
        <v>331</v>
      </c>
      <c r="F55" t="str">
        <f t="shared" si="3"/>
        <v>amada-0-Ez-1-O2</v>
      </c>
      <c r="G55" s="185">
        <v>2500</v>
      </c>
      <c r="H55" s="185">
        <v>900</v>
      </c>
    </row>
    <row r="56" spans="1:11" ht="13.35" customHeight="1" x14ac:dyDescent="0.2">
      <c r="A56" t="s">
        <v>333</v>
      </c>
      <c r="B56">
        <v>0</v>
      </c>
      <c r="C56" s="184" t="s">
        <v>165</v>
      </c>
      <c r="D56" s="185">
        <v>1</v>
      </c>
      <c r="E56" t="s">
        <v>331</v>
      </c>
      <c r="F56" t="str">
        <f t="shared" si="3"/>
        <v>amada-0-inox-1-O2</v>
      </c>
      <c r="G56" s="185">
        <v>2300</v>
      </c>
      <c r="H56" s="185">
        <v>1200</v>
      </c>
    </row>
    <row r="57" spans="1:11" ht="13.35" customHeight="1" x14ac:dyDescent="0.2">
      <c r="A57" t="s">
        <v>333</v>
      </c>
      <c r="B57" s="183">
        <v>0</v>
      </c>
      <c r="C57" s="184" t="s">
        <v>172</v>
      </c>
      <c r="D57" s="185">
        <v>1</v>
      </c>
      <c r="E57" t="s">
        <v>331</v>
      </c>
      <c r="F57" t="str">
        <f t="shared" si="3"/>
        <v>amada-0-GALVA-1-O2</v>
      </c>
      <c r="G57" s="185">
        <v>1800</v>
      </c>
      <c r="H57" s="185">
        <v>600</v>
      </c>
    </row>
    <row r="58" spans="1:11" ht="13.35" customHeight="1" x14ac:dyDescent="0.2">
      <c r="A58" t="s">
        <v>333</v>
      </c>
      <c r="B58">
        <v>0</v>
      </c>
      <c r="C58" s="184" t="s">
        <v>72</v>
      </c>
      <c r="D58" s="185">
        <v>1</v>
      </c>
      <c r="E58" t="s">
        <v>331</v>
      </c>
      <c r="F58" t="str">
        <f t="shared" si="3"/>
        <v>amada-0-alu-1-O2</v>
      </c>
      <c r="G58" s="185">
        <v>1500</v>
      </c>
      <c r="H58" s="185">
        <v>800</v>
      </c>
    </row>
    <row r="59" spans="1:11" ht="13.35" customHeight="1" x14ac:dyDescent="0.2">
      <c r="A59" t="s">
        <v>333</v>
      </c>
      <c r="B59" s="183">
        <v>0</v>
      </c>
      <c r="C59" s="184" t="s">
        <v>335</v>
      </c>
      <c r="D59" s="185">
        <v>1</v>
      </c>
      <c r="E59" t="s">
        <v>331</v>
      </c>
      <c r="F59" t="str">
        <f t="shared" si="3"/>
        <v>amada-0-VAPO-1-O2</v>
      </c>
      <c r="G59" s="185">
        <v>3800</v>
      </c>
      <c r="H59" s="185">
        <v>3800</v>
      </c>
    </row>
    <row r="60" spans="1:11" ht="13.35" customHeight="1" x14ac:dyDescent="0.2">
      <c r="A60" t="s">
        <v>333</v>
      </c>
      <c r="B60">
        <v>0</v>
      </c>
      <c r="C60" s="184" t="s">
        <v>336</v>
      </c>
      <c r="D60" s="185">
        <v>1</v>
      </c>
      <c r="E60" t="s">
        <v>331</v>
      </c>
      <c r="F60" t="str">
        <f t="shared" si="3"/>
        <v>amada-0-Plexi AIR-1-O2</v>
      </c>
      <c r="G60" s="185">
        <v>4000</v>
      </c>
      <c r="H60" s="185">
        <v>4000</v>
      </c>
    </row>
    <row r="61" spans="1:11" ht="13.35" customHeight="1" x14ac:dyDescent="0.2">
      <c r="A61" t="s">
        <v>333</v>
      </c>
      <c r="B61" s="183">
        <v>0</v>
      </c>
      <c r="C61" s="184" t="s">
        <v>23</v>
      </c>
      <c r="D61" s="185">
        <v>1.5</v>
      </c>
      <c r="E61" t="s">
        <v>331</v>
      </c>
      <c r="F61" t="str">
        <f t="shared" si="3"/>
        <v>amada-0-acier-1,5-O2</v>
      </c>
      <c r="G61" s="185">
        <v>3000</v>
      </c>
      <c r="H61" s="185">
        <v>1000</v>
      </c>
    </row>
    <row r="62" spans="1:11" ht="13.35" customHeight="1" x14ac:dyDescent="0.2">
      <c r="A62" t="s">
        <v>333</v>
      </c>
      <c r="B62">
        <v>0</v>
      </c>
      <c r="C62" s="184" t="s">
        <v>337</v>
      </c>
      <c r="D62" s="185">
        <v>1.5</v>
      </c>
      <c r="E62" t="s">
        <v>331</v>
      </c>
      <c r="F62" t="str">
        <f t="shared" si="3"/>
        <v>amada-0-ez-1,5-O2</v>
      </c>
      <c r="G62" s="185">
        <v>2800</v>
      </c>
      <c r="H62" s="185">
        <v>700</v>
      </c>
    </row>
    <row r="63" spans="1:11" ht="13.35" customHeight="1" x14ac:dyDescent="0.2">
      <c r="A63" t="s">
        <v>333</v>
      </c>
      <c r="B63" s="183">
        <v>0</v>
      </c>
      <c r="C63" s="184" t="s">
        <v>165</v>
      </c>
      <c r="D63" s="185">
        <v>1.5</v>
      </c>
      <c r="E63" t="s">
        <v>331</v>
      </c>
      <c r="F63" t="str">
        <f t="shared" si="3"/>
        <v>amada-0-inox-1,5-O2</v>
      </c>
      <c r="G63" s="185">
        <v>2000</v>
      </c>
      <c r="H63" s="185">
        <v>1200</v>
      </c>
    </row>
    <row r="64" spans="1:11" ht="13.35" customHeight="1" x14ac:dyDescent="0.2">
      <c r="A64" t="s">
        <v>333</v>
      </c>
      <c r="B64">
        <v>0</v>
      </c>
      <c r="C64" s="184" t="s">
        <v>338</v>
      </c>
      <c r="D64" s="185">
        <v>1.5</v>
      </c>
      <c r="E64" t="s">
        <v>331</v>
      </c>
      <c r="F64" t="str">
        <f t="shared" si="3"/>
        <v>amada-0-galva-1,5-O2</v>
      </c>
      <c r="G64" s="185">
        <v>1700</v>
      </c>
      <c r="H64" s="185">
        <v>500</v>
      </c>
    </row>
    <row r="65" spans="1:8" ht="13.35" customHeight="1" x14ac:dyDescent="0.2">
      <c r="A65" t="s">
        <v>333</v>
      </c>
      <c r="B65" s="183">
        <v>0</v>
      </c>
      <c r="C65" s="184" t="s">
        <v>72</v>
      </c>
      <c r="D65" s="185">
        <v>1.5</v>
      </c>
      <c r="E65" t="s">
        <v>331</v>
      </c>
      <c r="F65" t="str">
        <f t="shared" si="3"/>
        <v>amada-0-alu-1,5-O2</v>
      </c>
      <c r="G65" s="185">
        <v>1400</v>
      </c>
      <c r="H65" s="185">
        <v>700</v>
      </c>
    </row>
    <row r="66" spans="1:8" ht="13.35" customHeight="1" x14ac:dyDescent="0.2">
      <c r="A66" t="s">
        <v>333</v>
      </c>
      <c r="B66">
        <v>0</v>
      </c>
      <c r="C66" s="184" t="s">
        <v>336</v>
      </c>
      <c r="D66" s="185">
        <v>1.5</v>
      </c>
      <c r="E66" t="s">
        <v>331</v>
      </c>
      <c r="F66" t="str">
        <f t="shared" ref="F66:F88" si="6">CONCATENATE(A66,"-",B66,"-",C66,"-",D66,"-",E66)</f>
        <v>amada-0-Plexi AIR-1,5-O2</v>
      </c>
      <c r="G66" s="185">
        <v>4000</v>
      </c>
      <c r="H66" s="185">
        <v>4000</v>
      </c>
    </row>
    <row r="67" spans="1:8" ht="13.35" customHeight="1" x14ac:dyDescent="0.2">
      <c r="A67" t="s">
        <v>333</v>
      </c>
      <c r="B67" s="183">
        <v>0</v>
      </c>
      <c r="C67" s="184" t="s">
        <v>23</v>
      </c>
      <c r="D67" s="185">
        <v>2</v>
      </c>
      <c r="E67" t="s">
        <v>331</v>
      </c>
      <c r="F67" t="str">
        <f t="shared" si="6"/>
        <v>amada-0-acier-2-O2</v>
      </c>
      <c r="G67" s="185">
        <v>2800</v>
      </c>
      <c r="H67" s="185">
        <v>900</v>
      </c>
    </row>
    <row r="68" spans="1:8" ht="13.35" customHeight="1" x14ac:dyDescent="0.2">
      <c r="A68" t="s">
        <v>333</v>
      </c>
      <c r="B68">
        <v>0</v>
      </c>
      <c r="C68" s="184" t="s">
        <v>337</v>
      </c>
      <c r="D68" s="185">
        <v>2</v>
      </c>
      <c r="E68" t="s">
        <v>331</v>
      </c>
      <c r="F68" t="str">
        <f t="shared" si="6"/>
        <v>amada-0-ez-2-O2</v>
      </c>
      <c r="G68" s="185">
        <v>2000</v>
      </c>
      <c r="H68" s="185">
        <v>600</v>
      </c>
    </row>
    <row r="69" spans="1:8" ht="13.35" customHeight="1" x14ac:dyDescent="0.2">
      <c r="A69" t="s">
        <v>333</v>
      </c>
      <c r="B69" s="183">
        <v>0</v>
      </c>
      <c r="C69" s="184" t="s">
        <v>165</v>
      </c>
      <c r="D69" s="185">
        <v>2</v>
      </c>
      <c r="E69" t="s">
        <v>331</v>
      </c>
      <c r="F69" t="str">
        <f t="shared" si="6"/>
        <v>amada-0-inox-2-O2</v>
      </c>
      <c r="G69" s="185">
        <v>1400</v>
      </c>
      <c r="H69" s="185">
        <v>800</v>
      </c>
    </row>
    <row r="70" spans="1:8" ht="13.35" customHeight="1" x14ac:dyDescent="0.2">
      <c r="A70" t="s">
        <v>333</v>
      </c>
      <c r="B70">
        <v>0</v>
      </c>
      <c r="C70" s="184" t="s">
        <v>338</v>
      </c>
      <c r="D70" s="185">
        <v>2</v>
      </c>
      <c r="E70" t="s">
        <v>331</v>
      </c>
      <c r="F70" t="str">
        <f t="shared" si="6"/>
        <v>amada-0-galva-2-O2</v>
      </c>
      <c r="G70" s="185">
        <v>1700</v>
      </c>
      <c r="H70" s="185">
        <v>500</v>
      </c>
    </row>
    <row r="71" spans="1:8" ht="13.35" customHeight="1" x14ac:dyDescent="0.2">
      <c r="A71" t="s">
        <v>333</v>
      </c>
      <c r="B71" s="183">
        <v>0</v>
      </c>
      <c r="C71" s="184" t="s">
        <v>72</v>
      </c>
      <c r="D71" s="185">
        <v>2</v>
      </c>
      <c r="E71" t="s">
        <v>331</v>
      </c>
      <c r="F71" t="str">
        <f t="shared" si="6"/>
        <v>amada-0-alu-2-O2</v>
      </c>
      <c r="G71" s="185">
        <v>900</v>
      </c>
      <c r="H71" s="185">
        <v>600</v>
      </c>
    </row>
    <row r="72" spans="1:8" ht="13.35" customHeight="1" x14ac:dyDescent="0.2">
      <c r="A72" t="s">
        <v>333</v>
      </c>
      <c r="B72">
        <v>0</v>
      </c>
      <c r="C72" s="184" t="s">
        <v>336</v>
      </c>
      <c r="D72" s="185">
        <v>2</v>
      </c>
      <c r="E72" t="s">
        <v>331</v>
      </c>
      <c r="F72" t="str">
        <f t="shared" si="6"/>
        <v>amada-0-Plexi AIR-2-O2</v>
      </c>
      <c r="G72" s="185">
        <v>4000</v>
      </c>
      <c r="H72" s="185">
        <v>4000</v>
      </c>
    </row>
    <row r="73" spans="1:8" ht="13.35" customHeight="1" x14ac:dyDescent="0.2">
      <c r="A73" t="s">
        <v>333</v>
      </c>
      <c r="B73" s="183">
        <v>0</v>
      </c>
      <c r="C73" s="184" t="s">
        <v>23</v>
      </c>
      <c r="D73" s="185">
        <v>3</v>
      </c>
      <c r="E73" t="s">
        <v>331</v>
      </c>
      <c r="F73" t="str">
        <f t="shared" si="6"/>
        <v>amada-0-acier-3-O2</v>
      </c>
      <c r="G73" s="185">
        <v>1900</v>
      </c>
      <c r="H73" s="185">
        <v>800</v>
      </c>
    </row>
    <row r="74" spans="1:8" ht="13.35" customHeight="1" x14ac:dyDescent="0.2">
      <c r="A74" t="s">
        <v>333</v>
      </c>
      <c r="B74">
        <v>0</v>
      </c>
      <c r="C74" s="184" t="s">
        <v>337</v>
      </c>
      <c r="D74" s="185">
        <v>3</v>
      </c>
      <c r="E74" t="s">
        <v>331</v>
      </c>
      <c r="F74" t="str">
        <f t="shared" si="6"/>
        <v>amada-0-ez-3-O2</v>
      </c>
      <c r="G74" s="185">
        <v>1700</v>
      </c>
      <c r="H74" s="185">
        <v>450</v>
      </c>
    </row>
    <row r="75" spans="1:8" ht="13.35" customHeight="1" x14ac:dyDescent="0.2">
      <c r="A75" t="s">
        <v>333</v>
      </c>
      <c r="B75" s="183">
        <v>0</v>
      </c>
      <c r="C75" s="184" t="s">
        <v>165</v>
      </c>
      <c r="D75" s="185">
        <v>3</v>
      </c>
      <c r="E75" t="s">
        <v>331</v>
      </c>
      <c r="F75" t="str">
        <f t="shared" si="6"/>
        <v>amada-0-inox-3-O2</v>
      </c>
      <c r="G75" s="185">
        <v>950</v>
      </c>
      <c r="H75" s="185">
        <v>300</v>
      </c>
    </row>
    <row r="76" spans="1:8" ht="13.35" customHeight="1" x14ac:dyDescent="0.2">
      <c r="A76" t="s">
        <v>333</v>
      </c>
      <c r="B76">
        <v>0</v>
      </c>
      <c r="C76" s="184" t="s">
        <v>338</v>
      </c>
      <c r="D76" s="185">
        <v>3</v>
      </c>
      <c r="E76" t="s">
        <v>331</v>
      </c>
      <c r="F76" t="str">
        <f t="shared" si="6"/>
        <v>amada-0-galva-3-O2</v>
      </c>
      <c r="G76" s="185">
        <v>1100</v>
      </c>
      <c r="H76" s="185">
        <v>400</v>
      </c>
    </row>
    <row r="77" spans="1:8" ht="13.35" customHeight="1" x14ac:dyDescent="0.2">
      <c r="A77" t="s">
        <v>333</v>
      </c>
      <c r="B77" s="183">
        <v>0</v>
      </c>
      <c r="C77" s="184" t="s">
        <v>72</v>
      </c>
      <c r="D77" s="185">
        <v>3</v>
      </c>
      <c r="E77" t="s">
        <v>331</v>
      </c>
      <c r="F77" t="str">
        <f t="shared" si="6"/>
        <v>amada-0-alu-3-O2</v>
      </c>
      <c r="G77" s="185">
        <v>800</v>
      </c>
      <c r="H77" s="185">
        <v>500</v>
      </c>
    </row>
    <row r="78" spans="1:8" ht="13.35" customHeight="1" x14ac:dyDescent="0.2">
      <c r="A78" t="s">
        <v>333</v>
      </c>
      <c r="B78">
        <v>0</v>
      </c>
      <c r="C78" s="184" t="s">
        <v>336</v>
      </c>
      <c r="D78" s="185">
        <v>3</v>
      </c>
      <c r="E78" t="s">
        <v>331</v>
      </c>
      <c r="F78" t="str">
        <f t="shared" si="6"/>
        <v>amada-0-Plexi AIR-3-O2</v>
      </c>
      <c r="G78" s="185">
        <v>4000</v>
      </c>
      <c r="H78" s="185">
        <v>4000</v>
      </c>
    </row>
    <row r="79" spans="1:8" ht="13.35" customHeight="1" x14ac:dyDescent="0.2">
      <c r="A79" t="s">
        <v>333</v>
      </c>
      <c r="B79" s="183">
        <v>0</v>
      </c>
      <c r="C79" s="184" t="s">
        <v>23</v>
      </c>
      <c r="D79" s="185">
        <v>4</v>
      </c>
      <c r="E79" t="s">
        <v>331</v>
      </c>
      <c r="F79" t="str">
        <f t="shared" si="6"/>
        <v>amada-0-acier-4-O2</v>
      </c>
      <c r="G79" s="185">
        <v>1500</v>
      </c>
      <c r="H79" s="185">
        <v>700</v>
      </c>
    </row>
    <row r="80" spans="1:8" ht="13.35" customHeight="1" x14ac:dyDescent="0.2">
      <c r="A80" t="s">
        <v>333</v>
      </c>
      <c r="B80">
        <v>0</v>
      </c>
      <c r="C80" s="184" t="s">
        <v>165</v>
      </c>
      <c r="D80" s="185">
        <v>4</v>
      </c>
      <c r="E80" t="s">
        <v>331</v>
      </c>
      <c r="F80" t="str">
        <f t="shared" si="6"/>
        <v>amada-0-inox-4-O2</v>
      </c>
      <c r="G80" s="185">
        <v>800</v>
      </c>
      <c r="H80" s="185">
        <v>400</v>
      </c>
    </row>
    <row r="81" spans="1:8" ht="13.35" customHeight="1" x14ac:dyDescent="0.2">
      <c r="A81" t="s">
        <v>333</v>
      </c>
      <c r="B81" s="183">
        <v>0</v>
      </c>
      <c r="C81" s="184" t="s">
        <v>165</v>
      </c>
      <c r="D81" s="185">
        <v>5</v>
      </c>
      <c r="E81" t="s">
        <v>331</v>
      </c>
      <c r="F81" t="str">
        <f t="shared" si="6"/>
        <v>amada-0-inox-5-O2</v>
      </c>
      <c r="G81" s="185">
        <v>600</v>
      </c>
      <c r="H81" s="185">
        <v>200</v>
      </c>
    </row>
    <row r="82" spans="1:8" ht="13.35" customHeight="1" x14ac:dyDescent="0.2">
      <c r="A82" t="s">
        <v>333</v>
      </c>
      <c r="B82">
        <v>0</v>
      </c>
      <c r="C82" s="184" t="s">
        <v>336</v>
      </c>
      <c r="D82" s="185">
        <v>8</v>
      </c>
      <c r="E82" t="s">
        <v>331</v>
      </c>
      <c r="F82" t="str">
        <f t="shared" si="6"/>
        <v>amada-0-Plexi AIR-8-O2</v>
      </c>
      <c r="G82" s="185">
        <v>1800</v>
      </c>
      <c r="H82" s="185">
        <v>1800</v>
      </c>
    </row>
    <row r="83" spans="1:8" ht="13.35" customHeight="1" x14ac:dyDescent="0.2">
      <c r="A83" t="s">
        <v>333</v>
      </c>
      <c r="B83" s="183">
        <v>0</v>
      </c>
      <c r="C83" t="s">
        <v>23</v>
      </c>
      <c r="D83">
        <v>8</v>
      </c>
      <c r="E83" t="s">
        <v>331</v>
      </c>
      <c r="F83" t="str">
        <f t="shared" si="6"/>
        <v>amada-0-acier-8-O2</v>
      </c>
      <c r="G83">
        <v>750</v>
      </c>
      <c r="H83">
        <v>100</v>
      </c>
    </row>
    <row r="84" spans="1:8" ht="13.35" customHeight="1" x14ac:dyDescent="0.2">
      <c r="A84" t="s">
        <v>333</v>
      </c>
      <c r="B84">
        <v>0</v>
      </c>
      <c r="C84" t="s">
        <v>23</v>
      </c>
      <c r="D84">
        <v>6</v>
      </c>
      <c r="E84" t="s">
        <v>331</v>
      </c>
      <c r="F84" t="str">
        <f t="shared" si="6"/>
        <v>amada-0-acier-6-O2</v>
      </c>
      <c r="G84">
        <v>1200</v>
      </c>
      <c r="H84">
        <v>300</v>
      </c>
    </row>
    <row r="85" spans="1:8" ht="13.35" customHeight="1" x14ac:dyDescent="0.2">
      <c r="A85" t="s">
        <v>333</v>
      </c>
      <c r="B85" s="183">
        <v>0</v>
      </c>
      <c r="C85" t="s">
        <v>23</v>
      </c>
      <c r="D85">
        <v>5</v>
      </c>
      <c r="E85" t="s">
        <v>331</v>
      </c>
      <c r="F85" t="str">
        <f t="shared" si="6"/>
        <v>amada-0-acier-5-O2</v>
      </c>
      <c r="G85">
        <v>1300</v>
      </c>
      <c r="H85">
        <v>450</v>
      </c>
    </row>
    <row r="86" spans="1:8" ht="13.35" customHeight="1" x14ac:dyDescent="0.2">
      <c r="A86" t="s">
        <v>333</v>
      </c>
      <c r="B86">
        <v>0</v>
      </c>
      <c r="C86" t="s">
        <v>165</v>
      </c>
      <c r="D86">
        <v>6</v>
      </c>
      <c r="E86" t="s">
        <v>331</v>
      </c>
      <c r="F86" t="str">
        <f t="shared" si="6"/>
        <v>amada-0-inox-6-O2</v>
      </c>
      <c r="G86">
        <v>400</v>
      </c>
      <c r="H86">
        <v>200</v>
      </c>
    </row>
    <row r="87" spans="1:8" ht="13.35" customHeight="1" x14ac:dyDescent="0.2">
      <c r="A87" t="s">
        <v>333</v>
      </c>
      <c r="B87" s="183">
        <v>0</v>
      </c>
      <c r="C87" t="s">
        <v>165</v>
      </c>
      <c r="D87">
        <v>8</v>
      </c>
      <c r="E87" t="s">
        <v>331</v>
      </c>
      <c r="F87" t="str">
        <f t="shared" si="6"/>
        <v>amada-0-inox-8-O2</v>
      </c>
      <c r="G87">
        <v>250</v>
      </c>
      <c r="H87">
        <v>250</v>
      </c>
    </row>
    <row r="88" spans="1:8" ht="13.35" customHeight="1" x14ac:dyDescent="0.2">
      <c r="A88" t="s">
        <v>333</v>
      </c>
      <c r="B88">
        <v>0</v>
      </c>
      <c r="C88" s="184" t="s">
        <v>336</v>
      </c>
      <c r="D88">
        <v>10</v>
      </c>
      <c r="E88" t="s">
        <v>331</v>
      </c>
      <c r="F88" t="str">
        <f t="shared" si="6"/>
        <v>amada-0-Plexi AIR-10-O2</v>
      </c>
      <c r="G88">
        <v>1600</v>
      </c>
      <c r="H88">
        <v>1600</v>
      </c>
    </row>
  </sheetData>
  <sheetProtection selectLockedCells="1" selectUnlockedCells="1"/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19"/>
  <sheetViews>
    <sheetView zoomScaleNormal="100" workbookViewId="0"/>
  </sheetViews>
  <sheetFormatPr baseColWidth="10" defaultColWidth="11.5703125" defaultRowHeight="12.75" x14ac:dyDescent="0.2"/>
  <cols>
    <col min="4" max="4" width="28.85546875" customWidth="1"/>
  </cols>
  <sheetData>
    <row r="1" spans="1:5" x14ac:dyDescent="0.2">
      <c r="B1" t="s">
        <v>339</v>
      </c>
      <c r="C1" t="s">
        <v>340</v>
      </c>
      <c r="D1" t="s">
        <v>203</v>
      </c>
      <c r="E1" t="s">
        <v>341</v>
      </c>
    </row>
    <row r="2" spans="1:5" x14ac:dyDescent="0.2">
      <c r="A2" t="str">
        <f t="shared" ref="A2:A33" si="0">CONCATENATE(B2,"_",C2)</f>
        <v>Mat_0</v>
      </c>
      <c r="B2" t="s">
        <v>342</v>
      </c>
      <c r="C2">
        <v>0</v>
      </c>
      <c r="D2" t="s">
        <v>343</v>
      </c>
      <c r="E2" t="s">
        <v>344</v>
      </c>
    </row>
    <row r="3" spans="1:5" x14ac:dyDescent="0.2">
      <c r="A3" t="str">
        <f t="shared" si="0"/>
        <v>Mat_1</v>
      </c>
      <c r="B3" t="s">
        <v>342</v>
      </c>
      <c r="C3">
        <v>1</v>
      </c>
      <c r="D3" t="s">
        <v>345</v>
      </c>
      <c r="E3" t="s">
        <v>346</v>
      </c>
    </row>
    <row r="4" spans="1:5" x14ac:dyDescent="0.2">
      <c r="A4" t="str">
        <f t="shared" si="0"/>
        <v>Mat_2</v>
      </c>
      <c r="B4" t="s">
        <v>342</v>
      </c>
      <c r="C4">
        <v>2</v>
      </c>
      <c r="D4" t="s">
        <v>347</v>
      </c>
      <c r="E4" t="s">
        <v>348</v>
      </c>
    </row>
    <row r="5" spans="1:5" x14ac:dyDescent="0.2">
      <c r="A5" t="str">
        <f t="shared" si="0"/>
        <v>Mat_3</v>
      </c>
      <c r="B5" t="s">
        <v>342</v>
      </c>
      <c r="C5">
        <v>3</v>
      </c>
      <c r="D5" t="s">
        <v>347</v>
      </c>
      <c r="E5" t="s">
        <v>349</v>
      </c>
    </row>
    <row r="6" spans="1:5" x14ac:dyDescent="0.2">
      <c r="A6" t="str">
        <f t="shared" si="0"/>
        <v>Mat_4</v>
      </c>
      <c r="B6" t="s">
        <v>342</v>
      </c>
      <c r="C6">
        <v>4</v>
      </c>
      <c r="D6" t="s">
        <v>350</v>
      </c>
      <c r="E6">
        <v>1</v>
      </c>
    </row>
    <row r="7" spans="1:5" x14ac:dyDescent="0.2">
      <c r="A7" t="str">
        <f t="shared" si="0"/>
        <v>Mat_5</v>
      </c>
      <c r="B7" t="s">
        <v>342</v>
      </c>
      <c r="C7">
        <v>5</v>
      </c>
      <c r="D7" t="s">
        <v>351</v>
      </c>
      <c r="E7" t="s">
        <v>352</v>
      </c>
    </row>
    <row r="8" spans="1:5" x14ac:dyDescent="0.2">
      <c r="A8" t="str">
        <f t="shared" si="0"/>
        <v>Mat_6</v>
      </c>
      <c r="B8" t="s">
        <v>342</v>
      </c>
      <c r="C8">
        <v>6</v>
      </c>
      <c r="D8" t="s">
        <v>353</v>
      </c>
      <c r="E8" t="s">
        <v>354</v>
      </c>
    </row>
    <row r="9" spans="1:5" x14ac:dyDescent="0.2">
      <c r="A9" t="str">
        <f t="shared" si="0"/>
        <v>Mat_7</v>
      </c>
      <c r="B9" t="s">
        <v>342</v>
      </c>
      <c r="C9">
        <v>7</v>
      </c>
      <c r="D9" t="s">
        <v>355</v>
      </c>
      <c r="E9" t="s">
        <v>356</v>
      </c>
    </row>
    <row r="10" spans="1:5" x14ac:dyDescent="0.2">
      <c r="A10" t="str">
        <f t="shared" si="0"/>
        <v>Mat_8</v>
      </c>
      <c r="B10" t="s">
        <v>342</v>
      </c>
      <c r="C10">
        <v>8</v>
      </c>
      <c r="D10" t="s">
        <v>357</v>
      </c>
      <c r="E10" t="s">
        <v>352</v>
      </c>
    </row>
    <row r="11" spans="1:5" x14ac:dyDescent="0.2">
      <c r="A11" t="str">
        <f t="shared" si="0"/>
        <v>Mat_9</v>
      </c>
      <c r="B11" t="s">
        <v>342</v>
      </c>
      <c r="C11">
        <v>9</v>
      </c>
      <c r="D11" t="s">
        <v>358</v>
      </c>
      <c r="E11" t="s">
        <v>354</v>
      </c>
    </row>
    <row r="12" spans="1:5" x14ac:dyDescent="0.2">
      <c r="A12" t="str">
        <f t="shared" si="0"/>
        <v>Mat_10</v>
      </c>
      <c r="B12" t="s">
        <v>342</v>
      </c>
      <c r="C12">
        <v>10</v>
      </c>
      <c r="D12" t="s">
        <v>359</v>
      </c>
      <c r="E12" t="s">
        <v>360</v>
      </c>
    </row>
    <row r="13" spans="1:5" x14ac:dyDescent="0.2">
      <c r="A13" t="str">
        <f t="shared" si="0"/>
        <v>Mat_11</v>
      </c>
      <c r="B13" t="s">
        <v>342</v>
      </c>
      <c r="C13">
        <v>11</v>
      </c>
      <c r="D13" t="s">
        <v>361</v>
      </c>
      <c r="E13" t="s">
        <v>362</v>
      </c>
    </row>
    <row r="14" spans="1:5" x14ac:dyDescent="0.2">
      <c r="A14" t="str">
        <f t="shared" si="0"/>
        <v>Mat_12</v>
      </c>
      <c r="B14" t="s">
        <v>342</v>
      </c>
      <c r="C14">
        <v>12</v>
      </c>
      <c r="D14" t="s">
        <v>363</v>
      </c>
      <c r="E14" t="s">
        <v>364</v>
      </c>
    </row>
    <row r="15" spans="1:5" x14ac:dyDescent="0.2">
      <c r="A15" t="str">
        <f t="shared" si="0"/>
        <v>Mat_13</v>
      </c>
      <c r="B15" t="s">
        <v>342</v>
      </c>
      <c r="C15">
        <v>13</v>
      </c>
      <c r="D15" t="s">
        <v>365</v>
      </c>
      <c r="E15" t="s">
        <v>366</v>
      </c>
    </row>
    <row r="16" spans="1:5" x14ac:dyDescent="0.2">
      <c r="A16" t="str">
        <f t="shared" si="0"/>
        <v>Mat_14</v>
      </c>
      <c r="B16" t="s">
        <v>342</v>
      </c>
      <c r="C16">
        <v>14</v>
      </c>
      <c r="D16" t="s">
        <v>367</v>
      </c>
      <c r="E16" t="s">
        <v>368</v>
      </c>
    </row>
    <row r="17" spans="1:5" x14ac:dyDescent="0.2">
      <c r="A17" t="str">
        <f t="shared" si="0"/>
        <v>Ope_0</v>
      </c>
      <c r="B17" t="s">
        <v>369</v>
      </c>
      <c r="C17">
        <v>0</v>
      </c>
      <c r="D17" t="s">
        <v>343</v>
      </c>
      <c r="E17" t="s">
        <v>370</v>
      </c>
    </row>
    <row r="18" spans="1:5" x14ac:dyDescent="0.2">
      <c r="A18" t="str">
        <f t="shared" si="0"/>
        <v>Ope_1</v>
      </c>
      <c r="B18" t="s">
        <v>369</v>
      </c>
      <c r="C18">
        <v>1</v>
      </c>
      <c r="D18" t="s">
        <v>371</v>
      </c>
      <c r="E18" t="s">
        <v>372</v>
      </c>
    </row>
    <row r="19" spans="1:5" x14ac:dyDescent="0.2">
      <c r="A19" t="str">
        <f t="shared" si="0"/>
        <v>Ope_2</v>
      </c>
      <c r="B19" t="s">
        <v>369</v>
      </c>
      <c r="C19">
        <v>2</v>
      </c>
      <c r="D19" t="s">
        <v>373</v>
      </c>
      <c r="E19" t="s">
        <v>352</v>
      </c>
    </row>
    <row r="20" spans="1:5" x14ac:dyDescent="0.2">
      <c r="A20" t="str">
        <f t="shared" si="0"/>
        <v>Ope_3</v>
      </c>
      <c r="B20" t="s">
        <v>369</v>
      </c>
      <c r="C20">
        <v>3</v>
      </c>
      <c r="D20" t="s">
        <v>374</v>
      </c>
      <c r="E20" t="s">
        <v>375</v>
      </c>
    </row>
    <row r="21" spans="1:5" x14ac:dyDescent="0.2">
      <c r="A21" t="str">
        <f t="shared" si="0"/>
        <v>Ope_4</v>
      </c>
      <c r="B21" t="s">
        <v>369</v>
      </c>
      <c r="C21">
        <v>4</v>
      </c>
      <c r="D21" t="s">
        <v>376</v>
      </c>
      <c r="E21" t="s">
        <v>372</v>
      </c>
    </row>
    <row r="22" spans="1:5" x14ac:dyDescent="0.2">
      <c r="A22" t="str">
        <f t="shared" si="0"/>
        <v>Ope_5</v>
      </c>
      <c r="B22" t="s">
        <v>369</v>
      </c>
      <c r="C22">
        <v>5</v>
      </c>
      <c r="D22" t="s">
        <v>377</v>
      </c>
      <c r="E22">
        <v>30</v>
      </c>
    </row>
    <row r="23" spans="1:5" x14ac:dyDescent="0.2">
      <c r="A23" t="str">
        <f t="shared" si="0"/>
        <v>Ope_6</v>
      </c>
      <c r="B23" t="s">
        <v>369</v>
      </c>
      <c r="C23">
        <v>6</v>
      </c>
      <c r="D23" t="s">
        <v>378</v>
      </c>
      <c r="E23">
        <v>40</v>
      </c>
    </row>
    <row r="24" spans="1:5" x14ac:dyDescent="0.2">
      <c r="A24" t="str">
        <f t="shared" si="0"/>
        <v>Ope_7</v>
      </c>
      <c r="B24" t="s">
        <v>369</v>
      </c>
      <c r="C24">
        <v>7</v>
      </c>
      <c r="D24" t="s">
        <v>379</v>
      </c>
      <c r="E24" t="s">
        <v>380</v>
      </c>
    </row>
    <row r="25" spans="1:5" x14ac:dyDescent="0.2">
      <c r="A25" t="str">
        <f t="shared" si="0"/>
        <v>Ope_8</v>
      </c>
      <c r="B25" t="s">
        <v>369</v>
      </c>
      <c r="C25">
        <v>8</v>
      </c>
      <c r="D25" t="s">
        <v>381</v>
      </c>
      <c r="E25" t="s">
        <v>382</v>
      </c>
    </row>
    <row r="26" spans="1:5" x14ac:dyDescent="0.2">
      <c r="A26" t="str">
        <f t="shared" si="0"/>
        <v>Ope_9</v>
      </c>
      <c r="B26" t="s">
        <v>369</v>
      </c>
      <c r="C26">
        <v>9</v>
      </c>
      <c r="D26" t="s">
        <v>383</v>
      </c>
      <c r="E26" t="s">
        <v>384</v>
      </c>
    </row>
    <row r="27" spans="1:5" x14ac:dyDescent="0.2">
      <c r="A27" t="str">
        <f t="shared" si="0"/>
        <v>Ope_10</v>
      </c>
      <c r="B27" t="s">
        <v>369</v>
      </c>
      <c r="C27">
        <v>10</v>
      </c>
      <c r="D27" t="s">
        <v>385</v>
      </c>
      <c r="E27" t="s">
        <v>386</v>
      </c>
    </row>
    <row r="28" spans="1:5" x14ac:dyDescent="0.2">
      <c r="A28" t="str">
        <f t="shared" si="0"/>
        <v>Chi_0</v>
      </c>
      <c r="B28" t="s">
        <v>387</v>
      </c>
      <c r="C28">
        <v>0</v>
      </c>
      <c r="D28" t="s">
        <v>388</v>
      </c>
      <c r="E28" t="s">
        <v>389</v>
      </c>
    </row>
    <row r="29" spans="1:5" x14ac:dyDescent="0.2">
      <c r="A29" t="str">
        <f t="shared" si="0"/>
        <v>Chi_1</v>
      </c>
      <c r="B29" t="s">
        <v>387</v>
      </c>
      <c r="C29">
        <v>1</v>
      </c>
      <c r="D29" t="s">
        <v>390</v>
      </c>
      <c r="E29" t="s">
        <v>391</v>
      </c>
    </row>
    <row r="30" spans="1:5" x14ac:dyDescent="0.2">
      <c r="A30" t="str">
        <f t="shared" si="0"/>
        <v>Chi_2</v>
      </c>
      <c r="B30" t="s">
        <v>387</v>
      </c>
      <c r="C30">
        <v>2</v>
      </c>
      <c r="D30" t="s">
        <v>392</v>
      </c>
      <c r="E30" t="s">
        <v>393</v>
      </c>
    </row>
    <row r="31" spans="1:5" x14ac:dyDescent="0.2">
      <c r="A31" t="str">
        <f t="shared" si="0"/>
        <v>Com_0</v>
      </c>
      <c r="B31" t="s">
        <v>394</v>
      </c>
      <c r="C31">
        <v>0</v>
      </c>
      <c r="D31" t="s">
        <v>395</v>
      </c>
      <c r="E31" t="s">
        <v>396</v>
      </c>
    </row>
    <row r="32" spans="1:5" x14ac:dyDescent="0.2">
      <c r="A32" t="str">
        <f t="shared" si="0"/>
        <v>Com_1</v>
      </c>
      <c r="B32" t="s">
        <v>394</v>
      </c>
      <c r="C32">
        <v>1</v>
      </c>
      <c r="D32" t="s">
        <v>397</v>
      </c>
      <c r="E32" t="s">
        <v>398</v>
      </c>
    </row>
    <row r="33" spans="1:5" x14ac:dyDescent="0.2">
      <c r="A33" t="str">
        <f t="shared" si="0"/>
        <v>Par_0</v>
      </c>
      <c r="B33" t="s">
        <v>399</v>
      </c>
      <c r="C33">
        <v>0</v>
      </c>
      <c r="D33" t="s">
        <v>400</v>
      </c>
      <c r="E33" t="s">
        <v>1</v>
      </c>
    </row>
    <row r="34" spans="1:5" x14ac:dyDescent="0.2">
      <c r="A34" t="str">
        <f t="shared" ref="A34:A65" si="1">CONCATENATE(B34,"_",C34)</f>
        <v>Par_1</v>
      </c>
      <c r="B34" t="s">
        <v>399</v>
      </c>
      <c r="C34">
        <v>1</v>
      </c>
      <c r="D34" t="s">
        <v>401</v>
      </c>
      <c r="E34" t="s">
        <v>178</v>
      </c>
    </row>
    <row r="35" spans="1:5" x14ac:dyDescent="0.2">
      <c r="A35" t="str">
        <f t="shared" si="1"/>
        <v>Par_2</v>
      </c>
      <c r="B35" t="s">
        <v>399</v>
      </c>
      <c r="C35">
        <v>2</v>
      </c>
      <c r="D35" t="s">
        <v>402</v>
      </c>
      <c r="E35" t="s">
        <v>403</v>
      </c>
    </row>
    <row r="36" spans="1:5" x14ac:dyDescent="0.2">
      <c r="A36" t="str">
        <f t="shared" si="1"/>
        <v>Par_3</v>
      </c>
      <c r="B36" t="s">
        <v>399</v>
      </c>
      <c r="C36">
        <v>3</v>
      </c>
      <c r="D36" t="s">
        <v>404</v>
      </c>
      <c r="E36" t="s">
        <v>405</v>
      </c>
    </row>
    <row r="37" spans="1:5" x14ac:dyDescent="0.2">
      <c r="A37" t="str">
        <f t="shared" si="1"/>
        <v>Par_4</v>
      </c>
      <c r="B37" t="s">
        <v>399</v>
      </c>
      <c r="C37">
        <v>4</v>
      </c>
      <c r="D37" t="s">
        <v>406</v>
      </c>
      <c r="E37" t="s">
        <v>407</v>
      </c>
    </row>
    <row r="38" spans="1:5" x14ac:dyDescent="0.2">
      <c r="A38" t="str">
        <f t="shared" si="1"/>
        <v>Par_5</v>
      </c>
      <c r="B38" t="s">
        <v>399</v>
      </c>
      <c r="C38">
        <v>5</v>
      </c>
      <c r="D38" t="s">
        <v>408</v>
      </c>
      <c r="E38" t="s">
        <v>409</v>
      </c>
    </row>
    <row r="39" spans="1:5" x14ac:dyDescent="0.2">
      <c r="A39" t="str">
        <f t="shared" si="1"/>
        <v>Par_6</v>
      </c>
      <c r="B39" t="s">
        <v>399</v>
      </c>
      <c r="C39">
        <v>6</v>
      </c>
      <c r="D39" t="s">
        <v>410</v>
      </c>
      <c r="E39" t="s">
        <v>411</v>
      </c>
    </row>
    <row r="40" spans="1:5" x14ac:dyDescent="0.2">
      <c r="A40" t="str">
        <f t="shared" si="1"/>
        <v>Par_7</v>
      </c>
      <c r="B40" t="s">
        <v>399</v>
      </c>
      <c r="C40">
        <v>7</v>
      </c>
      <c r="D40" t="s">
        <v>412</v>
      </c>
      <c r="E40" t="s">
        <v>413</v>
      </c>
    </row>
    <row r="41" spans="1:5" x14ac:dyDescent="0.2">
      <c r="A41" t="str">
        <f t="shared" si="1"/>
        <v>Par_8</v>
      </c>
      <c r="B41" t="s">
        <v>399</v>
      </c>
      <c r="C41">
        <v>8</v>
      </c>
      <c r="D41" t="s">
        <v>414</v>
      </c>
      <c r="E41" t="s">
        <v>415</v>
      </c>
    </row>
    <row r="42" spans="1:5" x14ac:dyDescent="0.2">
      <c r="A42" t="str">
        <f t="shared" si="1"/>
        <v>Par_9</v>
      </c>
      <c r="B42" t="s">
        <v>399</v>
      </c>
      <c r="C42">
        <v>9</v>
      </c>
      <c r="D42" t="s">
        <v>416</v>
      </c>
      <c r="E42" t="s">
        <v>417</v>
      </c>
    </row>
    <row r="43" spans="1:5" x14ac:dyDescent="0.2">
      <c r="A43" t="str">
        <f t="shared" si="1"/>
        <v>Par_10</v>
      </c>
      <c r="B43" t="s">
        <v>399</v>
      </c>
      <c r="C43">
        <v>10</v>
      </c>
    </row>
    <row r="44" spans="1:5" x14ac:dyDescent="0.2">
      <c r="A44" t="str">
        <f t="shared" si="1"/>
        <v>_</v>
      </c>
    </row>
    <row r="45" spans="1:5" x14ac:dyDescent="0.2">
      <c r="A45" t="str">
        <f t="shared" si="1"/>
        <v>_</v>
      </c>
    </row>
    <row r="46" spans="1:5" x14ac:dyDescent="0.2">
      <c r="A46" t="str">
        <f t="shared" si="1"/>
        <v>_</v>
      </c>
    </row>
    <row r="47" spans="1:5" x14ac:dyDescent="0.2">
      <c r="A47" t="str">
        <f t="shared" si="1"/>
        <v>_</v>
      </c>
    </row>
    <row r="48" spans="1:5" x14ac:dyDescent="0.2">
      <c r="A48" t="str">
        <f t="shared" si="1"/>
        <v>_</v>
      </c>
    </row>
    <row r="49" spans="1:1" x14ac:dyDescent="0.2">
      <c r="A49" t="str">
        <f t="shared" si="1"/>
        <v>_</v>
      </c>
    </row>
    <row r="50" spans="1:1" x14ac:dyDescent="0.2">
      <c r="A50" t="str">
        <f t="shared" si="1"/>
        <v>_</v>
      </c>
    </row>
    <row r="51" spans="1:1" x14ac:dyDescent="0.2">
      <c r="A51" t="str">
        <f t="shared" si="1"/>
        <v>_</v>
      </c>
    </row>
    <row r="52" spans="1:1" x14ac:dyDescent="0.2">
      <c r="A52" t="str">
        <f t="shared" si="1"/>
        <v>_</v>
      </c>
    </row>
    <row r="53" spans="1:1" x14ac:dyDescent="0.2">
      <c r="A53" t="str">
        <f t="shared" si="1"/>
        <v>_</v>
      </c>
    </row>
    <row r="54" spans="1:1" x14ac:dyDescent="0.2">
      <c r="A54" t="str">
        <f t="shared" si="1"/>
        <v>_</v>
      </c>
    </row>
    <row r="55" spans="1:1" x14ac:dyDescent="0.2">
      <c r="A55" t="str">
        <f t="shared" si="1"/>
        <v>_</v>
      </c>
    </row>
    <row r="56" spans="1:1" x14ac:dyDescent="0.2">
      <c r="A56" t="str">
        <f t="shared" si="1"/>
        <v>_</v>
      </c>
    </row>
    <row r="57" spans="1:1" x14ac:dyDescent="0.2">
      <c r="A57" t="str">
        <f t="shared" si="1"/>
        <v>_</v>
      </c>
    </row>
    <row r="58" spans="1:1" x14ac:dyDescent="0.2">
      <c r="A58" t="str">
        <f t="shared" si="1"/>
        <v>_</v>
      </c>
    </row>
    <row r="59" spans="1:1" x14ac:dyDescent="0.2">
      <c r="A59" t="str">
        <f t="shared" si="1"/>
        <v>_</v>
      </c>
    </row>
    <row r="60" spans="1:1" x14ac:dyDescent="0.2">
      <c r="A60" t="str">
        <f t="shared" si="1"/>
        <v>_</v>
      </c>
    </row>
    <row r="61" spans="1:1" x14ac:dyDescent="0.2">
      <c r="A61" t="str">
        <f t="shared" si="1"/>
        <v>_</v>
      </c>
    </row>
    <row r="62" spans="1:1" x14ac:dyDescent="0.2">
      <c r="A62" t="str">
        <f t="shared" si="1"/>
        <v>_</v>
      </c>
    </row>
    <row r="63" spans="1:1" x14ac:dyDescent="0.2">
      <c r="A63" t="str">
        <f t="shared" si="1"/>
        <v>_</v>
      </c>
    </row>
    <row r="64" spans="1:1" x14ac:dyDescent="0.2">
      <c r="A64" t="str">
        <f t="shared" si="1"/>
        <v>_</v>
      </c>
    </row>
    <row r="65" spans="1:1" x14ac:dyDescent="0.2">
      <c r="A65" t="str">
        <f t="shared" si="1"/>
        <v>_</v>
      </c>
    </row>
    <row r="66" spans="1:1" x14ac:dyDescent="0.2">
      <c r="A66" t="str">
        <f t="shared" ref="A66:A97" si="2">CONCATENATE(B66,"_",C66)</f>
        <v>_</v>
      </c>
    </row>
    <row r="67" spans="1:1" x14ac:dyDescent="0.2">
      <c r="A67" t="str">
        <f t="shared" si="2"/>
        <v>_</v>
      </c>
    </row>
    <row r="68" spans="1:1" x14ac:dyDescent="0.2">
      <c r="A68" t="str">
        <f t="shared" si="2"/>
        <v>_</v>
      </c>
    </row>
    <row r="69" spans="1:1" x14ac:dyDescent="0.2">
      <c r="A69" t="str">
        <f t="shared" si="2"/>
        <v>_</v>
      </c>
    </row>
    <row r="70" spans="1:1" x14ac:dyDescent="0.2">
      <c r="A70" t="str">
        <f t="shared" si="2"/>
        <v>_</v>
      </c>
    </row>
    <row r="71" spans="1:1" x14ac:dyDescent="0.2">
      <c r="A71" t="str">
        <f t="shared" si="2"/>
        <v>_</v>
      </c>
    </row>
    <row r="72" spans="1:1" x14ac:dyDescent="0.2">
      <c r="A72" t="str">
        <f t="shared" si="2"/>
        <v>_</v>
      </c>
    </row>
    <row r="73" spans="1:1" x14ac:dyDescent="0.2">
      <c r="A73" t="str">
        <f t="shared" si="2"/>
        <v>_</v>
      </c>
    </row>
    <row r="74" spans="1:1" x14ac:dyDescent="0.2">
      <c r="A74" t="str">
        <f t="shared" si="2"/>
        <v>_</v>
      </c>
    </row>
    <row r="75" spans="1:1" x14ac:dyDescent="0.2">
      <c r="A75" t="str">
        <f t="shared" si="2"/>
        <v>_</v>
      </c>
    </row>
    <row r="76" spans="1:1" x14ac:dyDescent="0.2">
      <c r="A76" t="str">
        <f t="shared" si="2"/>
        <v>_</v>
      </c>
    </row>
    <row r="77" spans="1:1" x14ac:dyDescent="0.2">
      <c r="A77" t="str">
        <f t="shared" si="2"/>
        <v>_</v>
      </c>
    </row>
    <row r="78" spans="1:1" x14ac:dyDescent="0.2">
      <c r="A78" t="str">
        <f t="shared" si="2"/>
        <v>_</v>
      </c>
    </row>
    <row r="79" spans="1:1" x14ac:dyDescent="0.2">
      <c r="A79" t="str">
        <f t="shared" si="2"/>
        <v>_</v>
      </c>
    </row>
    <row r="80" spans="1:1" x14ac:dyDescent="0.2">
      <c r="A80" t="str">
        <f t="shared" si="2"/>
        <v>_</v>
      </c>
    </row>
    <row r="81" spans="1:1" x14ac:dyDescent="0.2">
      <c r="A81" t="str">
        <f t="shared" si="2"/>
        <v>_</v>
      </c>
    </row>
    <row r="82" spans="1:1" x14ac:dyDescent="0.2">
      <c r="A82" t="str">
        <f t="shared" si="2"/>
        <v>_</v>
      </c>
    </row>
    <row r="83" spans="1:1" x14ac:dyDescent="0.2">
      <c r="A83" t="str">
        <f t="shared" si="2"/>
        <v>_</v>
      </c>
    </row>
    <row r="84" spans="1:1" x14ac:dyDescent="0.2">
      <c r="A84" t="str">
        <f t="shared" si="2"/>
        <v>_</v>
      </c>
    </row>
    <row r="85" spans="1:1" x14ac:dyDescent="0.2">
      <c r="A85" t="str">
        <f t="shared" si="2"/>
        <v>_</v>
      </c>
    </row>
    <row r="86" spans="1:1" x14ac:dyDescent="0.2">
      <c r="A86" t="str">
        <f t="shared" si="2"/>
        <v>_</v>
      </c>
    </row>
    <row r="87" spans="1:1" x14ac:dyDescent="0.2">
      <c r="A87" t="str">
        <f t="shared" si="2"/>
        <v>_</v>
      </c>
    </row>
    <row r="88" spans="1:1" x14ac:dyDescent="0.2">
      <c r="A88" t="str">
        <f t="shared" si="2"/>
        <v>_</v>
      </c>
    </row>
    <row r="89" spans="1:1" x14ac:dyDescent="0.2">
      <c r="A89" t="str">
        <f t="shared" si="2"/>
        <v>_</v>
      </c>
    </row>
    <row r="90" spans="1:1" x14ac:dyDescent="0.2">
      <c r="A90" t="str">
        <f t="shared" si="2"/>
        <v>_</v>
      </c>
    </row>
    <row r="91" spans="1:1" x14ac:dyDescent="0.2">
      <c r="A91" t="str">
        <f t="shared" si="2"/>
        <v>_</v>
      </c>
    </row>
    <row r="92" spans="1:1" x14ac:dyDescent="0.2">
      <c r="A92" t="str">
        <f t="shared" si="2"/>
        <v>_</v>
      </c>
    </row>
    <row r="93" spans="1:1" x14ac:dyDescent="0.2">
      <c r="A93" t="str">
        <f t="shared" si="2"/>
        <v>_</v>
      </c>
    </row>
    <row r="94" spans="1:1" x14ac:dyDescent="0.2">
      <c r="A94" t="str">
        <f t="shared" si="2"/>
        <v>_</v>
      </c>
    </row>
    <row r="95" spans="1:1" x14ac:dyDescent="0.2">
      <c r="A95" t="str">
        <f t="shared" si="2"/>
        <v>_</v>
      </c>
    </row>
    <row r="96" spans="1:1" x14ac:dyDescent="0.2">
      <c r="A96" t="str">
        <f t="shared" si="2"/>
        <v>_</v>
      </c>
    </row>
    <row r="97" spans="1:1" x14ac:dyDescent="0.2">
      <c r="A97" t="str">
        <f t="shared" si="2"/>
        <v>_</v>
      </c>
    </row>
    <row r="98" spans="1:1" x14ac:dyDescent="0.2">
      <c r="A98" t="str">
        <f t="shared" ref="A98:A119" si="3">CONCATENATE(B98,"_",C98)</f>
        <v>_</v>
      </c>
    </row>
    <row r="99" spans="1:1" x14ac:dyDescent="0.2">
      <c r="A99" t="str">
        <f t="shared" si="3"/>
        <v>_</v>
      </c>
    </row>
    <row r="100" spans="1:1" x14ac:dyDescent="0.2">
      <c r="A100" t="str">
        <f t="shared" si="3"/>
        <v>_</v>
      </c>
    </row>
    <row r="101" spans="1:1" x14ac:dyDescent="0.2">
      <c r="A101" t="str">
        <f t="shared" si="3"/>
        <v>_</v>
      </c>
    </row>
    <row r="102" spans="1:1" x14ac:dyDescent="0.2">
      <c r="A102" t="str">
        <f t="shared" si="3"/>
        <v>_</v>
      </c>
    </row>
    <row r="103" spans="1:1" x14ac:dyDescent="0.2">
      <c r="A103" t="str">
        <f t="shared" si="3"/>
        <v>_</v>
      </c>
    </row>
    <row r="104" spans="1:1" x14ac:dyDescent="0.2">
      <c r="A104" t="str">
        <f t="shared" si="3"/>
        <v>_</v>
      </c>
    </row>
    <row r="105" spans="1:1" x14ac:dyDescent="0.2">
      <c r="A105" t="str">
        <f t="shared" si="3"/>
        <v>_</v>
      </c>
    </row>
    <row r="106" spans="1:1" x14ac:dyDescent="0.2">
      <c r="A106" t="str">
        <f t="shared" si="3"/>
        <v>_</v>
      </c>
    </row>
    <row r="107" spans="1:1" x14ac:dyDescent="0.2">
      <c r="A107" t="str">
        <f t="shared" si="3"/>
        <v>_</v>
      </c>
    </row>
    <row r="108" spans="1:1" x14ac:dyDescent="0.2">
      <c r="A108" t="str">
        <f t="shared" si="3"/>
        <v>_</v>
      </c>
    </row>
    <row r="109" spans="1:1" x14ac:dyDescent="0.2">
      <c r="A109" t="str">
        <f t="shared" si="3"/>
        <v>_</v>
      </c>
    </row>
    <row r="110" spans="1:1" x14ac:dyDescent="0.2">
      <c r="A110" t="str">
        <f t="shared" si="3"/>
        <v>_</v>
      </c>
    </row>
    <row r="111" spans="1:1" x14ac:dyDescent="0.2">
      <c r="A111" t="str">
        <f t="shared" si="3"/>
        <v>_</v>
      </c>
    </row>
    <row r="112" spans="1:1" x14ac:dyDescent="0.2">
      <c r="A112" t="str">
        <f t="shared" si="3"/>
        <v>_</v>
      </c>
    </row>
    <row r="113" spans="1:1" x14ac:dyDescent="0.2">
      <c r="A113" t="str">
        <f t="shared" si="3"/>
        <v>_</v>
      </c>
    </row>
    <row r="114" spans="1:1" x14ac:dyDescent="0.2">
      <c r="A114" t="str">
        <f t="shared" si="3"/>
        <v>_</v>
      </c>
    </row>
    <row r="115" spans="1:1" x14ac:dyDescent="0.2">
      <c r="A115" t="str">
        <f t="shared" si="3"/>
        <v>_</v>
      </c>
    </row>
    <row r="116" spans="1:1" x14ac:dyDescent="0.2">
      <c r="A116" t="str">
        <f t="shared" si="3"/>
        <v>_</v>
      </c>
    </row>
    <row r="117" spans="1:1" x14ac:dyDescent="0.2">
      <c r="A117" t="str">
        <f t="shared" si="3"/>
        <v>_</v>
      </c>
    </row>
    <row r="118" spans="1:1" x14ac:dyDescent="0.2">
      <c r="A118" t="str">
        <f t="shared" si="3"/>
        <v>_</v>
      </c>
    </row>
    <row r="119" spans="1:1" x14ac:dyDescent="0.2">
      <c r="A119" t="str">
        <f t="shared" si="3"/>
        <v>_</v>
      </c>
    </row>
  </sheetData>
  <sheetProtection selectLockedCells="1" selectUnlockedCells="1"/>
  <pageMargins left="0.30208333333333331" right="0.10833333333333334" top="0.48541666666666666" bottom="0.26111111111111113" header="0.34652777777777777" footer="0.51180555555555551"/>
  <pageSetup scale="58" orientation="portrait" horizontalDpi="300" verticalDpi="300"/>
  <headerFooter alignWithMargins="0">
    <oddHeader>&amp;C&amp;"arial,Regular" 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349A6898P001</vt:lpstr>
      <vt:lpstr>Accueil</vt:lpstr>
      <vt:lpstr>chiffrage</vt:lpstr>
      <vt:lpstr>Matiere</vt:lpstr>
      <vt:lpstr>Composant</vt:lpstr>
      <vt:lpstr>listeop</vt:lpstr>
      <vt:lpstr>Laser</vt:lpstr>
      <vt:lpstr>parametres</vt:lpstr>
      <vt:lpstr>Auteur</vt:lpstr>
      <vt:lpstr>Delai</vt:lpstr>
      <vt:lpstr>DensiteMatiere</vt:lpstr>
      <vt:lpstr>DesignationAchatQte</vt:lpstr>
      <vt:lpstr>DesignationAuteur</vt:lpstr>
      <vt:lpstr>DesignationComposant</vt:lpstr>
      <vt:lpstr>DesignationDensiteMatiere</vt:lpstr>
      <vt:lpstr>DesignationMatiere</vt:lpstr>
      <vt:lpstr>DesignationOperation</vt:lpstr>
      <vt:lpstr>DesignationTS</vt:lpstr>
      <vt:lpstr>Difficulte</vt:lpstr>
      <vt:lpstr>InfosDeviseur</vt:lpstr>
      <vt:lpstr>ListeOperation</vt:lpstr>
      <vt:lpstr>Parametre</vt:lpstr>
      <vt:lpstr>PrixComposant</vt:lpstr>
      <vt:lpstr>TempsLaser</vt:lpstr>
      <vt:lpstr>Traitement</vt:lpstr>
      <vt:lpstr>TypeMatiere</vt:lpstr>
      <vt:lpstr>'349A6898P001'!Zone_d_impression</vt:lpstr>
      <vt:lpstr>chiffrage!Zone_d_impression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BOURGEOIS</dc:creator>
  <cp:lastModifiedBy>Cedric BOURGEOIS</cp:lastModifiedBy>
  <cp:lastPrinted>2016-09-05T13:37:24Z</cp:lastPrinted>
  <dcterms:created xsi:type="dcterms:W3CDTF">2016-09-05T08:47:42Z</dcterms:created>
  <dcterms:modified xsi:type="dcterms:W3CDTF">2016-09-06T07:36:43Z</dcterms:modified>
</cp:coreProperties>
</file>