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D58A1854-C897-46E4-A153-1AD3D39D1737}" xr6:coauthVersionLast="45" xr6:coauthVersionMax="45" xr10:uidLastSave="{00000000-0000-0000-0000-000000000000}"/>
  <bookViews>
    <workbookView xWindow="-120" yWindow="-120" windowWidth="29040" windowHeight="15840" xr2:uid="{811B53D0-13CE-4E6A-B537-F5F8A41334FD}"/>
  </bookViews>
  <sheets>
    <sheet name="Accueil" sheetId="1" r:id="rId1"/>
    <sheet name="TDB" sheetId="3" r:id="rId2"/>
    <sheet name="Données-Graph" sheetId="2" r:id="rId3"/>
  </sheets>
  <definedNames>
    <definedName name="Segment_Bénéficiaires">#N/A</definedName>
    <definedName name="Segment_Capital_alloué_au_bénéficiaire">#N/A</definedName>
  </definedNames>
  <calcPr calcId="181029"/>
  <pivotCaches>
    <pivotCache cacheId="1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N3" i="2"/>
  <c r="M3" i="2"/>
  <c r="N4" i="2"/>
  <c r="N2" i="2"/>
  <c r="N1" i="2"/>
  <c r="D14" i="1"/>
  <c r="D15" i="1"/>
  <c r="D16" i="1"/>
  <c r="D17" i="1"/>
  <c r="D18" i="1"/>
  <c r="D13" i="1"/>
  <c r="O10" i="1"/>
  <c r="L14" i="1"/>
  <c r="L15" i="1"/>
  <c r="L16" i="1"/>
  <c r="L17" i="1"/>
  <c r="L18" i="1"/>
  <c r="K14" i="1"/>
  <c r="K15" i="1"/>
  <c r="K16" i="1"/>
  <c r="K17" i="1"/>
  <c r="K18" i="1"/>
  <c r="G14" i="1"/>
  <c r="I14" i="1" s="1"/>
  <c r="G15" i="1"/>
  <c r="I15" i="1" s="1"/>
  <c r="G16" i="1"/>
  <c r="G17" i="1"/>
  <c r="G18" i="1"/>
  <c r="I18" i="1" s="1"/>
  <c r="F14" i="1"/>
  <c r="F15" i="1"/>
  <c r="F16" i="1"/>
  <c r="F17" i="1"/>
  <c r="F18" i="1"/>
  <c r="J17" i="1" l="1"/>
  <c r="I17" i="1"/>
  <c r="J16" i="1"/>
  <c r="I16" i="1"/>
  <c r="H18" i="1"/>
  <c r="J14" i="1"/>
  <c r="H14" i="1"/>
  <c r="J15" i="1"/>
  <c r="H15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3" i="1" l="1"/>
  <c r="G13" i="1"/>
  <c r="G12" i="1"/>
  <c r="I12" i="1" s="1"/>
  <c r="F11" i="1"/>
  <c r="F10" i="1"/>
  <c r="J9" i="1"/>
  <c r="H9" i="1"/>
  <c r="J10" i="1"/>
  <c r="H10" i="1"/>
  <c r="J11" i="1"/>
  <c r="H11" i="1"/>
  <c r="J13" i="1" l="1"/>
  <c r="I13" i="1"/>
  <c r="H13" i="1"/>
  <c r="J12" i="1"/>
  <c r="H12" i="1"/>
  <c r="K11" i="1"/>
  <c r="L11" i="1" s="1"/>
  <c r="K9" i="1"/>
  <c r="L9" i="1" s="1"/>
  <c r="K10" i="1"/>
  <c r="L10" i="1" s="1"/>
  <c r="K13" i="1" l="1"/>
  <c r="L13" i="1" s="1"/>
  <c r="K12" i="1"/>
  <c r="L1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</author>
  </authors>
  <commentList>
    <comment ref="C7" authorId="0" shapeId="0" xr:uid="{B11FC9D7-8CEA-4B57-8D6A-4733876B51CA}">
      <text>
        <r>
          <rPr>
            <b/>
            <i/>
            <sz val="14"/>
            <color indexed="81"/>
            <rFont val="Tahoma"/>
            <family val="2"/>
          </rPr>
          <t>Si c'est en couleur, alors il manque un pourcentage dans la colonne Taux. Le nombre de bénéfiaire ayant un pourcentage de taux attribué est affiché en cellule O10.</t>
        </r>
      </text>
    </comment>
    <comment ref="C9" authorId="0" shapeId="0" xr:uid="{35C16035-50C0-41F5-A228-F189C3CC6728}">
      <text>
        <r>
          <rPr>
            <b/>
            <i/>
            <sz val="18"/>
            <color indexed="81"/>
            <rFont val="Tahoma"/>
            <family val="2"/>
          </rPr>
          <t xml:space="preserve">SEBASTIEN:
Si la colonne apparait en couleur, alors ta répartition en pourcentage ne fait pas 100%. Le manque ou surplus est affiché en cellule O9.
</t>
        </r>
      </text>
    </comment>
  </commentList>
</comments>
</file>

<file path=xl/sharedStrings.xml><?xml version="1.0" encoding="utf-8"?>
<sst xmlns="http://schemas.openxmlformats.org/spreadsheetml/2006/main" count="49" uniqueCount="41">
  <si>
    <t>Nom</t>
  </si>
  <si>
    <t>Prénom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</si>
  <si>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</si>
  <si>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</si>
  <si>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</si>
  <si>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</si>
  <si>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</si>
  <si>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</si>
  <si>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</si>
  <si>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</si>
  <si>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</si>
  <si>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</si>
  <si>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</si>
  <si>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</si>
  <si>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</si>
  <si>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</si>
  <si>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Fiscalité appliquée</t>
  </si>
  <si>
    <t>De</t>
  </si>
  <si>
    <t>à</t>
  </si>
  <si>
    <t>Taux</t>
  </si>
  <si>
    <t>Néant 0%</t>
  </si>
  <si>
    <t>Je suis parti de 5 bénéficiaires en affectant des part différentes puis j'ai remis à 2 et cela ne s'ajuste pas :), je te joins l'exemple vsuel, cela sera sans doute bien plus simple pour toi. Je peux également faire dépasser le résultat à + de 100% , ce qui n'est pas possible :) - Si cela n'est pas possible, j'ajusterai, c'est histoire de pouvoir tout automatiser et d'optimiser à fond :)</t>
  </si>
  <si>
    <t>Somme des %</t>
  </si>
  <si>
    <t>Nombre de bénéficiaires</t>
  </si>
  <si>
    <t>% Manquant</t>
  </si>
  <si>
    <t>Base Taxable €</t>
  </si>
  <si>
    <t>Abattement Légal Disponible</t>
  </si>
  <si>
    <t>FISCALITE APPLIQUEE</t>
  </si>
  <si>
    <t>Bénéficiaires</t>
  </si>
  <si>
    <r>
      <t xml:space="preserve">Abattement </t>
    </r>
    <r>
      <rPr>
        <b/>
        <sz val="14"/>
        <color rgb="FFFF0000"/>
        <rFont val="Allianz Neo"/>
        <family val="2"/>
      </rPr>
      <t>RESTANT</t>
    </r>
    <r>
      <rPr>
        <sz val="14"/>
        <color theme="1"/>
        <rFont val="Allianz Neo"/>
        <family val="2"/>
      </rPr>
      <t xml:space="preserve"> à exploiter</t>
    </r>
  </si>
  <si>
    <t>Somme de Capital alloué au bénéficiaire</t>
  </si>
  <si>
    <t>Somme de Néant 0%</t>
  </si>
  <si>
    <t>Somme de 20%</t>
  </si>
  <si>
    <t>Somme de 31,25%</t>
  </si>
  <si>
    <t>Civilité</t>
  </si>
  <si>
    <t>Monsieur</t>
  </si>
  <si>
    <t>Dossier</t>
  </si>
  <si>
    <t xml:space="preserve">Le </t>
  </si>
  <si>
    <t>Nbre Bénef</t>
  </si>
  <si>
    <t>BERTRAND</t>
  </si>
  <si>
    <t>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</si>
</sst>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43" formatCode="_-* #,##0.00_-;\-* #,##0.00_-;_-* &quot;-&quot;??_-;_-@_-"/>
    <numFmt numFmtId="164" formatCode="#,##0.00\ &quot;€&quot;"/>
    <numFmt numFmtId="165" formatCode="_-* #,##0_-;\-* #,##0_-;_-* &quot;-&quot;??_-;_-@_-"/>
    <numFmt numFmtId="166" formatCode="#,##0_ ;[Red]\-#,##0\ "/>
    <numFmt numFmtId="167" formatCode="[$-F800]dddd\,\ mmmm\ dd\,\ yyyy"/>
    <numFmt numFmtId="168" formatCode="_-* #,##0.00\ [$€-40C]_-;\-* #,##0.00\ [$€-40C]_-;_-* &quot;-&quot;??\ [$€-40C]_-;_-@_-"/>
  </numFmts>
  <fonts count="14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4"/>
      <color rgb="FFFF0000"/>
      <name val="Allianz Neo"/>
      <family val="2"/>
    </font>
    <font>
      <sz val="12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8"/>
      <color indexed="81"/>
      <name val="Tahoma"/>
      <family val="2"/>
    </font>
    <font>
      <b/>
      <sz val="12"/>
      <color theme="3" tint="-0.249977111117893"/>
      <name val="Allianz Neo"/>
    </font>
    <font>
      <sz val="20"/>
      <color theme="1"/>
      <name val="Allianz Neo"/>
    </font>
    <font>
      <i/>
      <sz val="20"/>
      <color theme="1"/>
      <name val="Allianz Neo"/>
    </font>
    <font>
      <b/>
      <sz val="11"/>
      <name val="Allianz Neo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3">
    <xf numFmtId="0" fontId="0" fillId="0" borderId="0" xfId="0"/>
    <xf numFmtId="0" fontId="1" fillId="0" borderId="0" xfId="0" applyFont="1" applyAlignment="1">
      <alignment vertical="center"/>
    </xf>
    <xf numFmtId="10" fontId="1" fillId="0" borderId="0" xfId="0" applyNumberFormat="1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65" fontId="2" fillId="0" borderId="9" xfId="1" applyNumberFormat="1" applyFont="1" applyBorder="1" applyAlignment="1">
      <alignment horizontal="center" vertical="center"/>
    </xf>
    <xf numFmtId="10" fontId="4" fillId="0" borderId="9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vertical="center" wrapText="1"/>
    </xf>
    <xf numFmtId="10" fontId="4" fillId="0" borderId="7" xfId="0" applyNumberFormat="1" applyFont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vertical="center" wrapText="1"/>
    </xf>
    <xf numFmtId="164" fontId="1" fillId="0" borderId="4" xfId="0" applyNumberFormat="1" applyFont="1" applyFill="1" applyBorder="1" applyAlignment="1">
      <alignment vertical="center" wrapText="1"/>
    </xf>
    <xf numFmtId="164" fontId="5" fillId="0" borderId="4" xfId="0" applyNumberFormat="1" applyFont="1" applyFill="1" applyBorder="1" applyAlignment="1">
      <alignment horizontal="right" vertical="center" wrapText="1"/>
    </xf>
    <xf numFmtId="164" fontId="1" fillId="0" borderId="5" xfId="0" applyNumberFormat="1" applyFont="1" applyFill="1" applyBorder="1" applyAlignment="1">
      <alignment horizontal="right" vertical="center" wrapText="1"/>
    </xf>
    <xf numFmtId="164" fontId="1" fillId="0" borderId="7" xfId="0" applyNumberFormat="1" applyFont="1" applyFill="1" applyBorder="1" applyAlignment="1">
      <alignment vertical="center" wrapText="1"/>
    </xf>
    <xf numFmtId="164" fontId="5" fillId="5" borderId="4" xfId="0" applyNumberFormat="1" applyFont="1" applyFill="1" applyBorder="1" applyAlignment="1">
      <alignment horizontal="right" vertical="center" wrapText="1"/>
    </xf>
    <xf numFmtId="10" fontId="4" fillId="6" borderId="1" xfId="0" applyNumberFormat="1" applyFont="1" applyFill="1" applyBorder="1" applyAlignment="1">
      <alignment vertical="center" wrapText="1"/>
    </xf>
    <xf numFmtId="164" fontId="1" fillId="0" borderId="1" xfId="0" applyNumberFormat="1" applyFont="1" applyFill="1" applyBorder="1" applyAlignment="1">
      <alignment vertical="center" wrapText="1"/>
    </xf>
    <xf numFmtId="164" fontId="5" fillId="5" borderId="1" xfId="0" applyNumberFormat="1" applyFont="1" applyFill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1" fillId="0" borderId="2" xfId="0" applyNumberFormat="1" applyFont="1" applyFill="1" applyBorder="1" applyAlignment="1">
      <alignment horizontal="right" vertical="center" wrapText="1"/>
    </xf>
    <xf numFmtId="164" fontId="5" fillId="5" borderId="7" xfId="0" applyNumberFormat="1" applyFont="1" applyFill="1" applyBorder="1" applyAlignment="1">
      <alignment horizontal="right" vertical="center" wrapText="1"/>
    </xf>
    <xf numFmtId="164" fontId="5" fillId="0" borderId="7" xfId="0" applyNumberFormat="1" applyFont="1" applyFill="1" applyBorder="1" applyAlignment="1">
      <alignment horizontal="right" vertical="center" wrapText="1"/>
    </xf>
    <xf numFmtId="164" fontId="1" fillId="0" borderId="10" xfId="0" applyNumberFormat="1" applyFont="1" applyFill="1" applyBorder="1" applyAlignment="1">
      <alignment horizontal="right" vertical="center" wrapText="1"/>
    </xf>
    <xf numFmtId="164" fontId="1" fillId="0" borderId="8" xfId="0" applyNumberFormat="1" applyFont="1" applyFill="1" applyBorder="1" applyAlignment="1">
      <alignment horizontal="right" vertical="center" wrapText="1"/>
    </xf>
    <xf numFmtId="164" fontId="1" fillId="0" borderId="16" xfId="0" applyNumberFormat="1" applyFont="1" applyFill="1" applyBorder="1" applyAlignment="1">
      <alignment horizontal="right" vertical="center" wrapText="1"/>
    </xf>
    <xf numFmtId="164" fontId="1" fillId="0" borderId="17" xfId="0" applyNumberFormat="1" applyFont="1" applyFill="1" applyBorder="1" applyAlignment="1">
      <alignment horizontal="right" vertical="center" wrapText="1"/>
    </xf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/>
    <xf numFmtId="0" fontId="7" fillId="9" borderId="9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/>
    </xf>
    <xf numFmtId="167" fontId="7" fillId="9" borderId="9" xfId="0" applyNumberFormat="1" applyFont="1" applyFill="1" applyBorder="1" applyAlignment="1">
      <alignment horizontal="center" vertical="center"/>
    </xf>
    <xf numFmtId="0" fontId="7" fillId="9" borderId="9" xfId="0" applyNumberFormat="1" applyFont="1" applyFill="1" applyBorder="1" applyAlignment="1">
      <alignment horizontal="center" vertical="center"/>
    </xf>
    <xf numFmtId="168" fontId="7" fillId="9" borderId="9" xfId="1" applyNumberFormat="1" applyFont="1" applyFill="1" applyBorder="1" applyAlignment="1">
      <alignment horizontal="center" vertical="center"/>
    </xf>
    <xf numFmtId="10" fontId="0" fillId="0" borderId="0" xfId="0" applyNumberFormat="1"/>
    <xf numFmtId="0" fontId="2" fillId="10" borderId="14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9" fontId="2" fillId="7" borderId="14" xfId="0" applyNumberFormat="1" applyFont="1" applyFill="1" applyBorder="1" applyAlignment="1">
      <alignment horizontal="center" vertical="center" wrapText="1"/>
    </xf>
    <xf numFmtId="10" fontId="2" fillId="7" borderId="15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right" vertical="center" wrapText="1"/>
    </xf>
    <xf numFmtId="164" fontId="1" fillId="7" borderId="2" xfId="0" applyNumberFormat="1" applyFont="1" applyFill="1" applyBorder="1" applyAlignment="1">
      <alignment horizontal="right" vertical="center" wrapText="1"/>
    </xf>
    <xf numFmtId="164" fontId="1" fillId="7" borderId="4" xfId="0" applyNumberFormat="1" applyFont="1" applyFill="1" applyBorder="1" applyAlignment="1">
      <alignment horizontal="right" vertical="center" wrapText="1"/>
    </xf>
    <xf numFmtId="164" fontId="1" fillId="7" borderId="5" xfId="0" applyNumberFormat="1" applyFont="1" applyFill="1" applyBorder="1" applyAlignment="1">
      <alignment horizontal="right" vertical="center" wrapText="1"/>
    </xf>
    <xf numFmtId="164" fontId="1" fillId="7" borderId="7" xfId="0" applyNumberFormat="1" applyFont="1" applyFill="1" applyBorder="1" applyAlignment="1">
      <alignment horizontal="right" vertical="center" wrapText="1"/>
    </xf>
    <xf numFmtId="164" fontId="1" fillId="7" borderId="10" xfId="0" applyNumberFormat="1" applyFont="1" applyFill="1" applyBorder="1" applyAlignment="1">
      <alignment horizontal="right" vertical="center" wrapText="1"/>
    </xf>
    <xf numFmtId="0" fontId="1" fillId="8" borderId="3" xfId="0" applyFont="1" applyFill="1" applyBorder="1" applyAlignment="1">
      <alignment vertical="center" wrapText="1"/>
    </xf>
    <xf numFmtId="0" fontId="1" fillId="8" borderId="6" xfId="0" applyFont="1" applyFill="1" applyBorder="1" applyAlignment="1">
      <alignment vertical="center" wrapText="1"/>
    </xf>
    <xf numFmtId="0" fontId="2" fillId="10" borderId="18" xfId="0" applyFont="1" applyFill="1" applyBorder="1" applyAlignment="1">
      <alignment horizontal="center" vertical="center" wrapText="1"/>
    </xf>
    <xf numFmtId="0" fontId="2" fillId="10" borderId="19" xfId="0" applyFont="1" applyFill="1" applyBorder="1" applyAlignment="1">
      <alignment horizontal="center" vertical="center" wrapText="1"/>
    </xf>
    <xf numFmtId="0" fontId="10" fillId="11" borderId="20" xfId="0" applyFont="1" applyFill="1" applyBorder="1" applyAlignment="1">
      <alignment horizontal="left" vertical="center" wrapText="1"/>
    </xf>
    <xf numFmtId="0" fontId="10" fillId="11" borderId="23" xfId="0" applyFont="1" applyFill="1" applyBorder="1" applyAlignment="1">
      <alignment horizontal="left" vertical="center" wrapText="1"/>
    </xf>
    <xf numFmtId="0" fontId="10" fillId="11" borderId="26" xfId="0" applyFont="1" applyFill="1" applyBorder="1" applyAlignment="1">
      <alignment horizontal="left" vertical="center" wrapText="1"/>
    </xf>
    <xf numFmtId="164" fontId="13" fillId="0" borderId="4" xfId="0" applyNumberFormat="1" applyFont="1" applyFill="1" applyBorder="1" applyAlignment="1">
      <alignment horizontal="right" vertical="center" wrapText="1"/>
    </xf>
    <xf numFmtId="0" fontId="4" fillId="0" borderId="9" xfId="0" applyFon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1" fillId="8" borderId="22" xfId="0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164" fontId="4" fillId="6" borderId="24" xfId="0" applyNumberFormat="1" applyFont="1" applyFill="1" applyBorder="1" applyAlignment="1">
      <alignment horizontal="center" vertical="center" wrapText="1"/>
    </xf>
    <xf numFmtId="164" fontId="4" fillId="6" borderId="25" xfId="0" applyNumberFormat="1" applyFont="1" applyFill="1" applyBorder="1" applyAlignment="1">
      <alignment horizontal="center" vertical="center" wrapText="1"/>
    </xf>
    <xf numFmtId="0" fontId="4" fillId="6" borderId="27" xfId="0" applyFont="1" applyFill="1" applyBorder="1" applyAlignment="1">
      <alignment horizontal="center" vertical="center" wrapText="1"/>
    </xf>
    <xf numFmtId="0" fontId="4" fillId="6" borderId="28" xfId="0" applyFont="1" applyFill="1" applyBorder="1" applyAlignment="1">
      <alignment horizontal="center" vertical="center" wrapText="1"/>
    </xf>
    <xf numFmtId="6" fontId="0" fillId="0" borderId="0" xfId="0" applyNumberFormat="1"/>
  </cellXfs>
  <cellStyles count="2">
    <cellStyle name="Milliers" xfId="1" builtinId="3"/>
    <cellStyle name="Normal" xfId="0" builtinId="0"/>
  </cellStyles>
  <dxfs count="22">
    <dxf>
      <numFmt numFmtId="10" formatCode="#,##0\ &quot;€&quot;;[Red]\-#,##0\ &quot;€&quot;"/>
    </dxf>
    <dxf>
      <numFmt numFmtId="10" formatCode="#,##0\ &quot;€&quot;;[Red]\-#,##0\ &quot;€&quot;"/>
    </dxf>
    <dxf>
      <numFmt numFmtId="166" formatCode="#,##0_ ;[Red]\-#,##0\ "/>
    </dxf>
    <dxf>
      <numFmt numFmtId="166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dk1"/>
                </a:solidFill>
                <a:latin typeface="+mn-lt"/>
                <a:ea typeface="+mn-ea"/>
                <a:cs typeface="+mn-cs"/>
              </a:rPr>
              <a:t>Part en % par Bénéficiaire</a:t>
            </a:r>
            <a:endParaRPr lang="en-US"/>
          </a:p>
        </c:rich>
      </c:tx>
      <c:overlay val="0"/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9.0419227063642596E-2"/>
          <c:y val="0.26375522101895243"/>
          <c:w val="0.53425878627712231"/>
          <c:h val="0.61892277122980111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16C-48ED-A10A-320B65AA1A6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16C-48ED-A10A-320B65AA1A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16C-48ED-A10A-320B65AA1A6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16C-48ED-A10A-320B65AA1A65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'Données-Graph'!$A$2:$B$3</c:f>
              <c:multiLvlStrCache>
                <c:ptCount val="2"/>
                <c:lvl>
                  <c:pt idx="0">
                    <c:v>80,00%</c:v>
                  </c:pt>
                  <c:pt idx="1">
                    <c:v>20,00%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</c:lvl>
              </c:multiLvlStrCache>
            </c:multiLvlStrRef>
          </c:cat>
          <c:val>
            <c:numRef>
              <c:f>'Données-Graph'!$C$2:$C$3</c:f>
              <c:numCache>
                <c:formatCode>"€"#,##0_);[Red]\("€"#,##0\)</c:formatCode>
                <c:ptCount val="2"/>
                <c:pt idx="0">
                  <c:v>240000</c:v>
                </c:pt>
                <c:pt idx="1">
                  <c:v>60000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16C-48ED-A10A-320B65AA1A6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dynamique2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dk1"/>
                </a:solidFill>
                <a:latin typeface="+mn-lt"/>
                <a:ea typeface="+mn-ea"/>
                <a:cs typeface="+mn-cs"/>
              </a:rPr>
              <a:t>Fiscalité appliquée par Bénéficiaire</a:t>
            </a:r>
            <a:endParaRPr lang="fr-FR"/>
          </a:p>
        </c:rich>
      </c:tx>
      <c:overlay val="0"/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3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9375225155679073E-3"/>
          <c:y val="0.24260433070866136"/>
          <c:w val="0.98167979002624672"/>
          <c:h val="0.6553272090988626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'Données-Graph'!$H$1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'Données-Graph'!$H$2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7A8-4DFE-BF2A-7AD05106429D}"/>
            </c:ext>
          </c:extLst>
        </c:ser>
        <c:ser>
          <c:idx val="1"/>
          <c:order val="1"/>
          <c:tx>
            <c:strRef>
              <c:f>'Données-Graph'!$I$1</c:f>
              <c:strCache>
                <c:ptCount val="1"/>
                <c:pt idx="0">
                  <c:v>Somme de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'Données-Graph'!$I$2</c:f>
              <c:numCache>
                <c:formatCode>"€"#,##0_);[Red]\("€"#,##0\)</c:formatCode>
                <c:ptCount val="1"/>
                <c:pt idx="0">
                  <c:v>17500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7A8-4DFE-BF2A-7AD05106429D}"/>
            </c:ext>
          </c:extLst>
        </c:ser>
        <c:ser>
          <c:idx val="2"/>
          <c:order val="2"/>
          <c:tx>
            <c:strRef>
              <c:f>'Données-Graph'!$J$1</c:f>
              <c:strCache>
                <c:ptCount val="1"/>
                <c:pt idx="0">
                  <c:v>Somme de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'Données-Graph'!$J$2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7A8-4DFE-BF2A-7AD05106429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07739488"/>
        <c:axId val="2003230688"/>
        <c:axId val="0"/>
      </c:bar3D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Part en %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2186583121792351"/>
          <c:y val="0.19818129488815997"/>
          <c:w val="0.46822115763989469"/>
          <c:h val="0.75797217487264246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DC8-4A9A-ABEA-260F32F8C81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DC8-4A9A-ABEA-260F32F8C81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CDC8-4A9A-ABEA-260F32F8C81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'Données-Graph'!$A$2:$B$3</c:f>
              <c:multiLvlStrCache>
                <c:ptCount val="2"/>
                <c:lvl>
                  <c:pt idx="0">
                    <c:v>80,00%</c:v>
                  </c:pt>
                  <c:pt idx="1">
                    <c:v>20,00%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</c:lvl>
              </c:multiLvlStrCache>
            </c:multiLvlStrRef>
          </c:cat>
          <c:val>
            <c:numRef>
              <c:f>'Données-Graph'!$C$2:$C$3</c:f>
              <c:numCache>
                <c:formatCode>"€"#,##0_);[Red]\("€"#,##0\)</c:formatCode>
                <c:ptCount val="2"/>
                <c:pt idx="0">
                  <c:v>240000</c:v>
                </c:pt>
                <c:pt idx="1">
                  <c:v>60000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4F-46BD-82DD-A8FA59078A6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dynamique2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Fiscalité appliquée par Bénéficiaire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'Données-Graph'!$H$1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'Données-Graph'!$H$2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8FE-406C-896E-F1438330B24E}"/>
            </c:ext>
          </c:extLst>
        </c:ser>
        <c:ser>
          <c:idx val="1"/>
          <c:order val="1"/>
          <c:tx>
            <c:strRef>
              <c:f>'Données-Graph'!$I$1</c:f>
              <c:strCache>
                <c:ptCount val="1"/>
                <c:pt idx="0">
                  <c:v>Somme de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'Données-Graph'!$I$2</c:f>
              <c:numCache>
                <c:formatCode>"€"#,##0_);[Red]\("€"#,##0\)</c:formatCode>
                <c:ptCount val="1"/>
                <c:pt idx="0">
                  <c:v>17500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8FE-406C-896E-F1438330B24E}"/>
            </c:ext>
          </c:extLst>
        </c:ser>
        <c:ser>
          <c:idx val="2"/>
          <c:order val="2"/>
          <c:tx>
            <c:strRef>
              <c:f>'Données-Graph'!$J$1</c:f>
              <c:strCache>
                <c:ptCount val="1"/>
                <c:pt idx="0">
                  <c:v>Somme de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'Données-Graph'!$J$2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8FE-406C-896E-F1438330B24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7739488"/>
        <c:axId val="2003230688"/>
      </c:bar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830249489784969"/>
          <c:y val="0.28090359491517619"/>
          <c:w val="0.1616975098907098"/>
          <c:h val="0.1958787499384574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161925</xdr:colOff>
      <xdr:row>13</xdr:row>
      <xdr:rowOff>85725</xdr:rowOff>
    </xdr:from>
    <xdr:to>
      <xdr:col>8</xdr:col>
      <xdr:colOff>390524</xdr:colOff>
      <xdr:row>41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81986F-5185-478C-BA7F-F941ABFDC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470536</xdr:colOff>
      <xdr:row>13</xdr:row>
      <xdr:rowOff>59056</xdr:rowOff>
    </xdr:from>
    <xdr:to>
      <xdr:col>17</xdr:col>
      <xdr:colOff>297180</xdr:colOff>
      <xdr:row>40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F6F1838-38DE-45D2-8DE0-147ABD300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'Données-Graph'!N4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'Données-Graph'!N3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300 000,00 €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'Données-Graph'!N1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BERTRAND Axel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'Données-Graph'!N2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vendredi 1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8</xdr:col>
      <xdr:colOff>571500</xdr:colOff>
      <xdr:row>0</xdr:row>
      <xdr:rowOff>104775</xdr:rowOff>
    </xdr:from>
    <xdr:to>
      <xdr:col>11</xdr:col>
      <xdr:colOff>47625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Bénéficiaires">
              <a:extLst>
                <a:ext uri="{FF2B5EF4-FFF2-40B4-BE49-F238E27FC236}">
                  <a16:creationId xmlns:a16="http://schemas.microsoft.com/office/drawing/2014/main" id="{A594A479-FB52-438D-9DE5-529542EB1A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104775"/>
              <a:ext cx="1762125" cy="2362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352425</xdr:colOff>
      <xdr:row>13</xdr:row>
      <xdr:rowOff>19051</xdr:rowOff>
    </xdr:from>
    <xdr:to>
      <xdr:col>2</xdr:col>
      <xdr:colOff>657225</xdr:colOff>
      <xdr:row>31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Capital alloué au bénéficiaire">
              <a:extLst>
                <a:ext uri="{FF2B5EF4-FFF2-40B4-BE49-F238E27FC236}">
                  <a16:creationId xmlns:a16="http://schemas.microsoft.com/office/drawing/2014/main" id="{217441DF-05D7-4136-ADF1-2E05881066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pital alloué au bénéfic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2425" y="2495551"/>
              <a:ext cx="1828800" cy="3543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80961</xdr:rowOff>
    </xdr:from>
    <xdr:to>
      <xdr:col>4</xdr:col>
      <xdr:colOff>581025</xdr:colOff>
      <xdr:row>27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8EC5E10-D163-41A9-BF7D-73EAEFBC7E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80963</xdr:colOff>
      <xdr:row>8</xdr:row>
      <xdr:rowOff>147637</xdr:rowOff>
    </xdr:from>
    <xdr:to>
      <xdr:col>11</xdr:col>
      <xdr:colOff>323851</xdr:colOff>
      <xdr:row>27</xdr:row>
      <xdr:rowOff>57150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7A09870-BA47-4305-A56C-D84F38F501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2.765562037035" createdVersion="6" refreshedVersion="6" minRefreshableVersion="3" recordCount="10" xr:uid="{F631C0AF-B360-4BCA-9639-4AD500A363AF}">
  <cacheSource type="worksheet">
    <worksheetSource ref="B8:L18" sheet="Accueil"/>
  </cacheSource>
  <cacheFields count="11">
    <cacheField name="Bénéficiaires" numFmtId="0">
      <sharedItems count="11">
        <s v="Part bénéficiaire 1"/>
        <s v="Part bénéficiaire 2"/>
        <s v="Part bénéficiaire 3"/>
        <s v="Part bénéficiaire 4"/>
        <s v="Part bénéficiaire 5"/>
        <s v="Part bénéficiaire 6"/>
        <s v="Part bénéficiaire 7"/>
        <s v="Part bénéficiaire 8"/>
        <s v="Part bénéficiaire 9"/>
        <s v="Part bénéficiaire 10"/>
        <s v="aaa" u="1"/>
      </sharedItems>
    </cacheField>
    <cacheField name="Taux" numFmtId="10">
      <sharedItems containsSemiMixedTypes="0" containsString="0" containsNumber="1" minValue="0" maxValue="0.8" count="13">
        <n v="0.8"/>
        <n v="0.2"/>
        <n v="0"/>
        <n v="0.6" u="1"/>
        <n v="0.7" u="1"/>
        <n v="0.25" u="1"/>
        <n v="0.12" u="1"/>
        <n v="0.1" u="1"/>
        <n v="0.3" u="1"/>
        <n v="0.18" u="1"/>
        <n v="0.15" u="1"/>
        <n v="0.4" u="1"/>
        <n v="0.45" u="1"/>
      </sharedItems>
    </cacheField>
    <cacheField name="Capital alloué au bénéficiaire" numFmtId="164">
      <sharedItems containsSemiMixedTypes="0" containsString="0" containsNumber="1" containsInteger="1" minValue="0" maxValue="2000000" count="17">
        <n v="240000"/>
        <n v="60000"/>
        <n v="0"/>
        <n v="540000" u="1"/>
        <n v="500000" u="1"/>
        <n v="600000" u="1"/>
        <n v="450000" u="1"/>
        <n v="1500000" u="1"/>
        <n v="1750000" u="1"/>
        <n v="625000" u="1"/>
        <n v="250000" u="1"/>
        <n v="2000000" u="1"/>
        <n v="300000" u="1"/>
        <n v="1125000" u="1"/>
        <n v="750000" u="1"/>
        <n v="360000" u="1"/>
        <n v="1200000" u="1"/>
      </sharedItems>
    </cacheField>
    <cacheField name="Abattement Légal Disponible" numFmtId="164">
      <sharedItems containsSemiMixedTypes="0" containsString="0" containsNumber="1" containsInteger="1" minValue="152500" maxValue="152500"/>
    </cacheField>
    <cacheField name="Abattement RESTANT à exploiter" numFmtId="164">
      <sharedItems containsMixedTypes="1" containsNumber="1" containsInteger="1" minValue="0" maxValue="92500"/>
    </cacheField>
    <cacheField name="Base Taxable €" numFmtId="164">
      <sharedItems containsMixedTypes="1" containsNumber="1" containsInteger="1" minValue="87500" maxValue="87500"/>
    </cacheField>
    <cacheField name="Néant 0%" numFmtId="164">
      <sharedItems containsMixedTypes="1" containsNumber="1" containsInteger="1" minValue="0" maxValue="0"/>
    </cacheField>
    <cacheField name="20%" numFmtId="164">
      <sharedItems containsMixedTypes="1" containsNumber="1" containsInteger="1" minValue="17500" maxValue="17500"/>
    </cacheField>
    <cacheField name="31,25%" numFmtId="164">
      <sharedItems/>
    </cacheField>
    <cacheField name="Fiscalité appliquée" numFmtId="164">
      <sharedItems containsMixedTypes="1" containsNumber="1" minValue="0" maxValue="498593.75" count="19">
        <n v="17500"/>
        <n v="0"/>
        <s v=""/>
        <n v="104500" u="1"/>
        <n v="342343.75" u="1"/>
        <n v="41500" u="1"/>
        <n v="119500" u="1"/>
        <n v="279656.25" u="1"/>
        <n v="44500" u="1"/>
        <n v="420468.75" u="1"/>
        <n v="94500" u="1"/>
        <n v="77500" u="1"/>
        <n v="69500" u="1"/>
        <n v="89500" u="1"/>
        <n v="19500" u="1"/>
        <n v="498593.75" u="1"/>
        <n v="29500" u="1"/>
        <n v="59500" u="1"/>
        <n v="248593.75" u="1"/>
      </sharedItems>
    </cacheField>
    <cacheField name="Capital du bénéficiaire après fiscalité" numFmtId="164">
      <sharedItems containsMixedTypes="1" containsNumber="1" containsInteger="1" minValue="60000" maxValue="222500"/>
    </cacheField>
  </cacheFields>
  <extLst>
    <ext xmlns:x14="http://schemas.microsoft.com/office/spreadsheetml/2009/9/main" uri="{725AE2AE-9491-48be-B2B4-4EB974FC3084}">
      <x14:pivotCacheDefinition pivotCacheId="13445159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152500"/>
    <n v="0"/>
    <n v="87500"/>
    <n v="0"/>
    <n v="17500"/>
    <s v=""/>
    <x v="0"/>
    <n v="222500"/>
  </r>
  <r>
    <x v="1"/>
    <x v="1"/>
    <x v="1"/>
    <n v="152500"/>
    <n v="92500"/>
    <s v="Néant"/>
    <s v=""/>
    <s v=""/>
    <s v=""/>
    <x v="1"/>
    <n v="60000"/>
  </r>
  <r>
    <x v="2"/>
    <x v="2"/>
    <x v="2"/>
    <n v="152500"/>
    <s v=""/>
    <s v=""/>
    <s v=""/>
    <s v=""/>
    <s v=""/>
    <x v="2"/>
    <s v=""/>
  </r>
  <r>
    <x v="3"/>
    <x v="2"/>
    <x v="2"/>
    <n v="152500"/>
    <s v=""/>
    <s v=""/>
    <s v=""/>
    <s v=""/>
    <s v=""/>
    <x v="2"/>
    <s v=""/>
  </r>
  <r>
    <x v="4"/>
    <x v="2"/>
    <x v="2"/>
    <n v="152500"/>
    <s v=""/>
    <s v=""/>
    <s v=""/>
    <s v=""/>
    <s v=""/>
    <x v="2"/>
    <s v=""/>
  </r>
  <r>
    <x v="5"/>
    <x v="2"/>
    <x v="2"/>
    <n v="152500"/>
    <s v=""/>
    <s v=""/>
    <s v=""/>
    <s v=""/>
    <s v=""/>
    <x v="2"/>
    <s v=""/>
  </r>
  <r>
    <x v="6"/>
    <x v="2"/>
    <x v="2"/>
    <n v="152500"/>
    <s v=""/>
    <s v=""/>
    <s v=""/>
    <s v=""/>
    <s v=""/>
    <x v="2"/>
    <s v=""/>
  </r>
  <r>
    <x v="7"/>
    <x v="2"/>
    <x v="2"/>
    <n v="152500"/>
    <s v=""/>
    <s v=""/>
    <s v=""/>
    <s v=""/>
    <s v=""/>
    <x v="2"/>
    <s v=""/>
  </r>
  <r>
    <x v="8"/>
    <x v="2"/>
    <x v="2"/>
    <n v="152500"/>
    <s v=""/>
    <s v=""/>
    <s v=""/>
    <s v=""/>
    <s v=""/>
    <x v="2"/>
    <s v=""/>
  </r>
  <r>
    <x v="9"/>
    <x v="2"/>
    <x v="2"/>
    <n v="152500"/>
    <s v=""/>
    <s v=""/>
    <s v=""/>
    <s v=""/>
    <s v=""/>
    <x v="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DDE0C-06D2-49DD-8BB2-8D8E58971E3D}" name="Tableau croisé dynamique2" cacheId="19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10">
  <location ref="F1:J2" firstHeaderRow="0" firstDataRow="1" firstDataCol="2"/>
  <pivotFields count="11"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compact="0" numFmtId="10" outline="0" showAll="0" defaultSubtotal="0"/>
    <pivotField compact="0" numFmtId="164" outline="0" showAll="0" defaultSubtotal="0">
      <items count="17">
        <item x="2"/>
        <item x="1"/>
        <item x="0"/>
        <item m="1" x="10"/>
        <item m="1" x="12"/>
        <item m="1" x="15"/>
        <item m="1" x="6"/>
        <item m="1" x="4"/>
        <item m="1" x="3"/>
        <item m="1" x="5"/>
        <item m="1" x="9"/>
        <item m="1" x="14"/>
        <item m="1" x="13"/>
        <item m="1" x="16"/>
        <item m="1" x="7"/>
        <item m="1" x="8"/>
        <item m="1" x="11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ubtotalTop="0" showAll="0" defaultSubtotal="0">
      <items count="19">
        <item x="1"/>
        <item m="1" x="16"/>
        <item m="1" x="8"/>
        <item m="1" x="3"/>
        <item x="2"/>
        <item m="1" x="10"/>
        <item m="1" x="7"/>
        <item m="1" x="6"/>
        <item m="1" x="14"/>
        <item m="1" x="12"/>
        <item m="1" x="9"/>
        <item m="1" x="4"/>
        <item m="1" x="15"/>
        <item x="0"/>
        <item m="1" x="13"/>
        <item m="1" x="18"/>
        <item m="1" x="17"/>
        <item m="1" x="5"/>
        <item m="1" x="11"/>
      </items>
    </pivotField>
    <pivotField compact="0" outline="0" subtotalTop="0" showAll="0" defaultSubtotal="0"/>
  </pivotFields>
  <rowFields count="2">
    <field x="0"/>
    <field x="9"/>
  </rowFields>
  <rowItems count="1">
    <i>
      <x/>
      <x v="13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éant 0%" fld="6" baseField="9" baseItem="5" numFmtId="166"/>
    <dataField name="Somme de 20%" fld="7" baseField="9" baseItem="13" numFmtId="6"/>
    <dataField name="Somme de 31,25%" fld="8" baseField="9" baseItem="5" numFmtId="166"/>
  </dataFields>
  <formats count="12">
    <format dxfId="12">
      <pivotArea dataOnly="0" labelOnly="1" outline="0" axis="axisValues" fieldPosition="0"/>
    </format>
    <format dxfId="11">
      <pivotArea dataOnly="0" labelOnly="1" outline="0" axis="axisValues" fieldPosition="0"/>
    </format>
    <format dxfId="10">
      <pivotArea dataOnly="0" labelOnly="1" outline="0" axis="axisValues" fieldPosition="0"/>
    </format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">
      <pivotArea field="0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">
      <pivotArea outline="0" fieldPosition="0">
        <references count="1">
          <reference field="4294967294" count="1">
            <x v="2"/>
          </reference>
        </references>
      </pivotArea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chartFormats count="6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4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D804F-86B2-4A03-9BAF-64E2CF727DDA}" name="Tableau croisé dynamique1" cacheId="19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7">
  <location ref="A1:C3" firstHeaderRow="1" firstDataRow="1" firstDataCol="2"/>
  <pivotFields count="11"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axis="axisRow" compact="0" numFmtId="10" outline="0" showAll="0" defaultSubtotal="0">
      <items count="13">
        <item x="2"/>
        <item m="1" x="5"/>
        <item m="1" x="8"/>
        <item m="1" x="12"/>
        <item m="1" x="7"/>
        <item x="1"/>
        <item m="1" x="4"/>
        <item m="1" x="3"/>
        <item x="0"/>
        <item m="1" x="11"/>
        <item m="1" x="10"/>
        <item m="1" x="6"/>
        <item m="1" x="9"/>
      </items>
    </pivotField>
    <pivotField dataField="1" compact="0" numFmtId="164" outline="0" showAll="0" defaultSubtotal="0">
      <items count="17">
        <item x="2"/>
        <item x="1"/>
        <item x="0"/>
        <item m="1" x="10"/>
        <item m="1" x="12"/>
        <item m="1" x="15"/>
        <item m="1" x="6"/>
        <item m="1" x="4"/>
        <item m="1" x="3"/>
        <item m="1" x="5"/>
        <item m="1" x="9"/>
        <item m="1" x="14"/>
        <item m="1" x="13"/>
        <item m="1" x="16"/>
        <item m="1" x="7"/>
        <item m="1" x="8"/>
        <item m="1" x="11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2">
    <i>
      <x/>
      <x v="8"/>
    </i>
    <i>
      <x v="2"/>
      <x v="5"/>
    </i>
  </rowItems>
  <colItems count="1">
    <i/>
  </colItems>
  <dataFields count="1">
    <dataField name="Somme de Capital alloué au bénéficiaire" fld="2" baseField="1" baseItem="8" numFmtId="6"/>
  </dataFields>
  <formats count="7">
    <format dxfId="18">
      <pivotArea field="0" type="button" dataOnly="0" labelOnly="1" outline="0" axis="axisRow" fieldPosition="0"/>
    </format>
    <format dxfId="17">
      <pivotArea dataOnly="0" labelOnly="1" outline="0" axis="axisValues" fieldPosition="0"/>
    </format>
    <format dxfId="16">
      <pivotArea field="0" type="button" dataOnly="0" labelOnly="1" outline="0" axis="axisRow" fieldPosition="0"/>
    </format>
    <format dxfId="15">
      <pivotArea dataOnly="0" labelOnly="1" outline="0" axis="axisValues" fieldPosition="0"/>
    </format>
    <format dxfId="14">
      <pivotArea field="0" type="button" dataOnly="0" labelOnly="1" outline="0" axis="axisRow" fieldPosition="0"/>
    </format>
    <format dxfId="13">
      <pivotArea dataOnly="0" labelOnly="1" outline="0" axis="axisValues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</formats>
  <chartFormats count="14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4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B29FF74-FA97-4EA6-8F69-837F3AEBD6A1}" sourceName="Bénéficiaires">
  <pivotTables>
    <pivotTable tabId="2" name="Tableau croisé dynamique1"/>
    <pivotTable tabId="2" name="Tableau croisé dynamique2"/>
  </pivotTables>
  <data>
    <tabular pivotCacheId="1344515984" showMissing="0">
      <items count="11">
        <i x="0" s="1"/>
        <i x="1" s="1"/>
        <i x="9" s="1" nd="1"/>
        <i x="2" s="1" nd="1"/>
        <i x="3" s="1" nd="1"/>
        <i x="4" s="1" nd="1"/>
        <i x="5" s="1" nd="1"/>
        <i x="6" s="1" nd="1"/>
        <i x="7" s="1" nd="1"/>
        <i x="8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pital_alloué_au_bénéficiaire" xr10:uid="{C311B9F7-64AF-456C-A407-02904B38B8ED}" sourceName="Capital alloué au bénéficiaire">
  <pivotTables>
    <pivotTable tabId="2" name="Tableau croisé dynamique1"/>
    <pivotTable tabId="2" name="Tableau croisé dynamique2"/>
  </pivotTables>
  <data>
    <tabular pivotCacheId="1344515984" showMissing="0">
      <items count="17">
        <i x="1" s="1"/>
        <i x="0" s="1"/>
        <i x="2" s="1" nd="1"/>
        <i x="10" s="1" nd="1"/>
        <i x="12" s="1" nd="1"/>
        <i x="15" s="1" nd="1"/>
        <i x="6" s="1" nd="1"/>
        <i x="4" s="1" nd="1"/>
        <i x="3" s="1" nd="1"/>
        <i x="5" s="1" nd="1"/>
        <i x="9" s="1" nd="1"/>
        <i x="14" s="1" nd="1"/>
        <i x="13" s="1" nd="1"/>
        <i x="16" s="1" nd="1"/>
        <i x="7" s="1" nd="1"/>
        <i x="8" s="1" nd="1"/>
        <i x="1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CE96B552-A6D0-41D1-B334-A3F5F6115B47}" cache="Segment_Bénéficiaires" caption="Bénéficiaires" rowHeight="241300"/>
  <slicer name="Capital alloué au bénéficiaire" xr10:uid="{719870C3-688C-4D4B-9F06-9F26CC649B9D}" cache="Segment_Capital_alloué_au_bénéficiaire" caption="Capital alloué au bénéficiai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80" zoomScaleNormal="80" workbookViewId="0">
      <selection activeCell="C7" sqref="C7:D7"/>
    </sheetView>
  </sheetViews>
  <sheetFormatPr baseColWidth="10" defaultColWidth="11.5703125" defaultRowHeight="14.25" zeroHeight="1"/>
  <cols>
    <col min="1" max="1" width="7.140625" style="1" customWidth="1"/>
    <col min="2" max="2" width="32.85546875" style="1" customWidth="1"/>
    <col min="3" max="3" width="21.5703125" style="1" customWidth="1"/>
    <col min="4" max="5" width="23" style="1" customWidth="1"/>
    <col min="6" max="6" width="20.140625" style="1" customWidth="1"/>
    <col min="7" max="7" width="19.42578125" style="1" customWidth="1"/>
    <col min="8" max="10" width="18.85546875" style="1" customWidth="1"/>
    <col min="11" max="11" width="18.42578125" style="1" customWidth="1"/>
    <col min="12" max="12" width="23.7109375" style="1" customWidth="1"/>
    <col min="13" max="13" width="7.28515625" style="1" customWidth="1"/>
    <col min="14" max="14" width="20.85546875" style="1" customWidth="1"/>
    <col min="15" max="15" width="16.5703125" style="1" customWidth="1"/>
    <col min="16" max="16" width="15.85546875" style="1" customWidth="1"/>
    <col min="17" max="17" width="5.5703125" style="1" customWidth="1"/>
    <col min="18" max="19" width="25.7109375" style="1" customWidth="1"/>
    <col min="20" max="16384" width="11.5703125" style="1"/>
  </cols>
  <sheetData>
    <row r="1" spans="2:16" ht="13.5" customHeight="1"/>
    <row r="2" spans="2:16" ht="15" thickBot="1"/>
    <row r="3" spans="2:16" ht="27.75" customHeight="1">
      <c r="B3" s="54" t="s">
        <v>34</v>
      </c>
      <c r="C3" s="64" t="s">
        <v>35</v>
      </c>
      <c r="D3" s="65"/>
    </row>
    <row r="4" spans="2:16" ht="32.25" customHeight="1">
      <c r="B4" s="55" t="s">
        <v>0</v>
      </c>
      <c r="C4" s="66" t="s">
        <v>39</v>
      </c>
      <c r="D4" s="67"/>
      <c r="N4" s="3" t="s">
        <v>17</v>
      </c>
      <c r="O4" s="3" t="s">
        <v>18</v>
      </c>
      <c r="P4" s="3" t="s">
        <v>19</v>
      </c>
    </row>
    <row r="5" spans="2:16" ht="32.25" customHeight="1">
      <c r="B5" s="55" t="s">
        <v>1</v>
      </c>
      <c r="C5" s="66" t="s">
        <v>40</v>
      </c>
      <c r="D5" s="67"/>
      <c r="N5" s="6">
        <v>0</v>
      </c>
      <c r="O5" s="6">
        <v>700000</v>
      </c>
      <c r="P5" s="4">
        <v>0.2</v>
      </c>
    </row>
    <row r="6" spans="2:16" ht="32.25" customHeight="1" thickBot="1">
      <c r="B6" s="55" t="s">
        <v>8</v>
      </c>
      <c r="C6" s="68">
        <v>300000</v>
      </c>
      <c r="D6" s="69"/>
      <c r="N6" s="6">
        <v>700000</v>
      </c>
      <c r="O6" s="6"/>
      <c r="P6" s="5">
        <v>0.3125</v>
      </c>
    </row>
    <row r="7" spans="2:16" ht="32.25" customHeight="1" thickBot="1">
      <c r="B7" s="56" t="s">
        <v>2</v>
      </c>
      <c r="C7" s="70">
        <v>2</v>
      </c>
      <c r="D7" s="71"/>
      <c r="H7" s="59" t="s">
        <v>27</v>
      </c>
      <c r="I7" s="60"/>
      <c r="J7" s="61"/>
    </row>
    <row r="8" spans="2:16" ht="54" customHeight="1" thickBot="1">
      <c r="B8" s="52" t="s">
        <v>28</v>
      </c>
      <c r="C8" s="53" t="s">
        <v>19</v>
      </c>
      <c r="D8" s="53" t="s">
        <v>14</v>
      </c>
      <c r="E8" s="39" t="s">
        <v>26</v>
      </c>
      <c r="F8" s="39" t="s">
        <v>29</v>
      </c>
      <c r="G8" s="39" t="s">
        <v>25</v>
      </c>
      <c r="H8" s="42" t="s">
        <v>20</v>
      </c>
      <c r="I8" s="42">
        <v>0.2</v>
      </c>
      <c r="J8" s="43">
        <v>0.3125</v>
      </c>
      <c r="K8" s="40" t="s">
        <v>16</v>
      </c>
      <c r="L8" s="41" t="s">
        <v>15</v>
      </c>
      <c r="N8" s="10" t="s">
        <v>22</v>
      </c>
      <c r="O8" s="7">
        <f>SUM(C9:C18)</f>
        <v>1</v>
      </c>
    </row>
    <row r="9" spans="2:16" ht="25.15" customHeight="1">
      <c r="B9" s="50" t="s">
        <v>3</v>
      </c>
      <c r="C9" s="18">
        <v>0.8</v>
      </c>
      <c r="D9" s="13">
        <f t="shared" ref="D9:D12" si="0">IF(C9=0%,0,$C$6*C9)</f>
        <v>240000</v>
      </c>
      <c r="E9" s="19">
        <v>152500</v>
      </c>
      <c r="F9" s="20">
        <f>IF(C9=0%,"",IF((E9-D9)&lt;=0,0,E9-D9))</f>
        <v>0</v>
      </c>
      <c r="G9" s="21">
        <f>IF(C9=0%,"",IF(D9-E9&lt;0,"Néant",D9-E9))</f>
        <v>87500</v>
      </c>
      <c r="H9" s="44">
        <f>IF(OR(C9=0%,G9="Néant"),"",IF(G9&lt;=0,0,0))</f>
        <v>0</v>
      </c>
      <c r="I9" s="44">
        <f>IF(OR(C9=0%,G9="Néant"),"",IF(AND(G9&gt;$N$5,G9&lt;$O$5),G9*$P$5,IF(G9&gt;$O$5,$O$5*$P$5,"")))</f>
        <v>17500</v>
      </c>
      <c r="J9" s="45" t="str">
        <f>IF(OR(C9=0%,G9="Néant"),"",IF(G9&gt;$O$5,(G9-$O$5)*$P$6,""))</f>
        <v/>
      </c>
      <c r="K9" s="26">
        <f>IF(C9=0%,"",SUM(H9:J9))</f>
        <v>17500</v>
      </c>
      <c r="L9" s="22">
        <f>IF(C9=0%,"",D9-K9)</f>
        <v>222500</v>
      </c>
      <c r="N9" s="11" t="s">
        <v>24</v>
      </c>
      <c r="O9" s="7">
        <f>100%-O8</f>
        <v>0</v>
      </c>
    </row>
    <row r="10" spans="2:16" ht="25.15" customHeight="1">
      <c r="B10" s="50" t="s">
        <v>4</v>
      </c>
      <c r="C10" s="12">
        <v>0.2</v>
      </c>
      <c r="D10" s="13">
        <f t="shared" si="0"/>
        <v>60000</v>
      </c>
      <c r="E10" s="13">
        <f>IF(C10="","",152500)</f>
        <v>152500</v>
      </c>
      <c r="F10" s="17">
        <f t="shared" ref="F10:F18" si="1">IF(C10=0%,"",IF((E10-D10)&lt;=0,0,E10-D10))</f>
        <v>92500</v>
      </c>
      <c r="G10" s="57" t="str">
        <f t="shared" ref="G10:G18" si="2">IF(C10=0%,"",IF(D10-E10&lt;0,"Néant",D10-E10))</f>
        <v>Néant</v>
      </c>
      <c r="H10" s="46" t="str">
        <f t="shared" ref="H10:H18" si="3">IF(OR(C10=0%,G10="Néant"),"",IF(G10&lt;=0,0,0))</f>
        <v/>
      </c>
      <c r="I10" s="46" t="str">
        <f>IF(OR(C10=0%,G10="Néant"),"",IF(AND(G10&gt;$N$5,G10&lt;$O$5),G10*$P$5,IF(G10&gt;$O$5,$O$5*$P$5,"")))</f>
        <v/>
      </c>
      <c r="J10" s="47" t="str">
        <f t="shared" ref="J10:J18" si="4">IF(OR(C10=0%,G10="Néant"),"",IF(G10&gt;$O$5,(G10-$O$5)*$P$6,""))</f>
        <v/>
      </c>
      <c r="K10" s="27">
        <f t="shared" ref="K10:K18" si="5">IF(C10=0%,"",SUM(H10:J10))</f>
        <v>0</v>
      </c>
      <c r="L10" s="15">
        <f t="shared" ref="L10:L18" si="6">IF(C10=0%,"",D10-K10)</f>
        <v>60000</v>
      </c>
      <c r="N10" s="63" t="s">
        <v>23</v>
      </c>
      <c r="O10" s="58">
        <f>COUNTIF(C9:C18,"&gt;0")</f>
        <v>2</v>
      </c>
    </row>
    <row r="11" spans="2:16" ht="25.15" customHeight="1">
      <c r="B11" s="50" t="s">
        <v>5</v>
      </c>
      <c r="C11" s="8">
        <v>0</v>
      </c>
      <c r="D11" s="13">
        <f t="shared" si="0"/>
        <v>0</v>
      </c>
      <c r="E11" s="13">
        <f t="shared" ref="E11:E18" si="7">IF(C11="","",152500)</f>
        <v>152500</v>
      </c>
      <c r="F11" s="17" t="str">
        <f t="shared" si="1"/>
        <v/>
      </c>
      <c r="G11" s="14" t="str">
        <f t="shared" si="2"/>
        <v/>
      </c>
      <c r="H11" s="46" t="str">
        <f t="shared" si="3"/>
        <v/>
      </c>
      <c r="I11" s="46" t="str">
        <f t="shared" ref="I11:I17" si="8">IF(OR(C11=0%,G11="Néant"),"",IF(AND(G11&gt;$N$5,G11&lt;$O$5),G11*$P$5,IF(G11&gt;$O$5,$O$5*$P$5,"")))</f>
        <v/>
      </c>
      <c r="J11" s="47" t="str">
        <f t="shared" si="4"/>
        <v/>
      </c>
      <c r="K11" s="27" t="str">
        <f t="shared" si="5"/>
        <v/>
      </c>
      <c r="L11" s="15" t="str">
        <f t="shared" si="6"/>
        <v/>
      </c>
      <c r="N11" s="63"/>
      <c r="O11" s="58"/>
    </row>
    <row r="12" spans="2:16" ht="25.15" customHeight="1">
      <c r="B12" s="50" t="s">
        <v>6</v>
      </c>
      <c r="C12" s="8">
        <v>0</v>
      </c>
      <c r="D12" s="13">
        <f t="shared" si="0"/>
        <v>0</v>
      </c>
      <c r="E12" s="13">
        <f t="shared" si="7"/>
        <v>152500</v>
      </c>
      <c r="F12" s="17" t="str">
        <f t="shared" si="1"/>
        <v/>
      </c>
      <c r="G12" s="14" t="str">
        <f t="shared" si="2"/>
        <v/>
      </c>
      <c r="H12" s="46" t="str">
        <f t="shared" si="3"/>
        <v/>
      </c>
      <c r="I12" s="46" t="str">
        <f t="shared" si="8"/>
        <v/>
      </c>
      <c r="J12" s="47" t="str">
        <f t="shared" si="4"/>
        <v/>
      </c>
      <c r="K12" s="27" t="str">
        <f t="shared" si="5"/>
        <v/>
      </c>
      <c r="L12" s="15" t="str">
        <f t="shared" si="6"/>
        <v/>
      </c>
    </row>
    <row r="13" spans="2:16" ht="25.15" customHeight="1">
      <c r="B13" s="50" t="s">
        <v>7</v>
      </c>
      <c r="C13" s="8">
        <v>0</v>
      </c>
      <c r="D13" s="13">
        <f>IF(C13=0%,0,$C$6*C13)</f>
        <v>0</v>
      </c>
      <c r="E13" s="13">
        <f t="shared" si="7"/>
        <v>152500</v>
      </c>
      <c r="F13" s="17" t="str">
        <f t="shared" si="1"/>
        <v/>
      </c>
      <c r="G13" s="14" t="str">
        <f t="shared" si="2"/>
        <v/>
      </c>
      <c r="H13" s="46" t="str">
        <f t="shared" si="3"/>
        <v/>
      </c>
      <c r="I13" s="46" t="str">
        <f t="shared" si="8"/>
        <v/>
      </c>
      <c r="J13" s="47" t="str">
        <f t="shared" si="4"/>
        <v/>
      </c>
      <c r="K13" s="27" t="str">
        <f t="shared" si="5"/>
        <v/>
      </c>
      <c r="L13" s="15" t="str">
        <f t="shared" si="6"/>
        <v/>
      </c>
    </row>
    <row r="14" spans="2:16" ht="25.15" customHeight="1">
      <c r="B14" s="50" t="s">
        <v>9</v>
      </c>
      <c r="C14" s="8">
        <v>0</v>
      </c>
      <c r="D14" s="13">
        <f t="shared" ref="D14:D18" si="9">IF(C14=0%,0,$C$6*C14)</f>
        <v>0</v>
      </c>
      <c r="E14" s="13">
        <f t="shared" si="7"/>
        <v>152500</v>
      </c>
      <c r="F14" s="17" t="str">
        <f t="shared" si="1"/>
        <v/>
      </c>
      <c r="G14" s="14" t="str">
        <f t="shared" si="2"/>
        <v/>
      </c>
      <c r="H14" s="46" t="str">
        <f t="shared" si="3"/>
        <v/>
      </c>
      <c r="I14" s="46" t="str">
        <f t="shared" si="8"/>
        <v/>
      </c>
      <c r="J14" s="47" t="str">
        <f t="shared" si="4"/>
        <v/>
      </c>
      <c r="K14" s="27" t="str">
        <f t="shared" si="5"/>
        <v/>
      </c>
      <c r="L14" s="15" t="str">
        <f t="shared" si="6"/>
        <v/>
      </c>
    </row>
    <row r="15" spans="2:16" ht="25.15" customHeight="1">
      <c r="B15" s="50" t="s">
        <v>10</v>
      </c>
      <c r="C15" s="8">
        <v>0</v>
      </c>
      <c r="D15" s="13">
        <f t="shared" si="9"/>
        <v>0</v>
      </c>
      <c r="E15" s="13">
        <f t="shared" si="7"/>
        <v>152500</v>
      </c>
      <c r="F15" s="17" t="str">
        <f t="shared" si="1"/>
        <v/>
      </c>
      <c r="G15" s="14" t="str">
        <f t="shared" si="2"/>
        <v/>
      </c>
      <c r="H15" s="46" t="str">
        <f t="shared" si="3"/>
        <v/>
      </c>
      <c r="I15" s="46" t="str">
        <f t="shared" si="8"/>
        <v/>
      </c>
      <c r="J15" s="47" t="str">
        <f t="shared" si="4"/>
        <v/>
      </c>
      <c r="K15" s="27" t="str">
        <f t="shared" si="5"/>
        <v/>
      </c>
      <c r="L15" s="15" t="str">
        <f t="shared" si="6"/>
        <v/>
      </c>
    </row>
    <row r="16" spans="2:16" ht="25.15" customHeight="1">
      <c r="B16" s="50" t="s">
        <v>11</v>
      </c>
      <c r="C16" s="8">
        <v>0</v>
      </c>
      <c r="D16" s="13">
        <f t="shared" si="9"/>
        <v>0</v>
      </c>
      <c r="E16" s="13">
        <f t="shared" si="7"/>
        <v>152500</v>
      </c>
      <c r="F16" s="17" t="str">
        <f t="shared" si="1"/>
        <v/>
      </c>
      <c r="G16" s="14" t="str">
        <f t="shared" si="2"/>
        <v/>
      </c>
      <c r="H16" s="46" t="str">
        <f t="shared" si="3"/>
        <v/>
      </c>
      <c r="I16" s="46" t="str">
        <f t="shared" si="8"/>
        <v/>
      </c>
      <c r="J16" s="47" t="str">
        <f t="shared" si="4"/>
        <v/>
      </c>
      <c r="K16" s="27" t="str">
        <f t="shared" si="5"/>
        <v/>
      </c>
      <c r="L16" s="15" t="str">
        <f t="shared" si="6"/>
        <v/>
      </c>
    </row>
    <row r="17" spans="2:12" ht="25.15" customHeight="1">
      <c r="B17" s="50" t="s">
        <v>12</v>
      </c>
      <c r="C17" s="8">
        <v>0</v>
      </c>
      <c r="D17" s="13">
        <f t="shared" si="9"/>
        <v>0</v>
      </c>
      <c r="E17" s="13">
        <f t="shared" si="7"/>
        <v>152500</v>
      </c>
      <c r="F17" s="17" t="str">
        <f t="shared" si="1"/>
        <v/>
      </c>
      <c r="G17" s="14" t="str">
        <f t="shared" si="2"/>
        <v/>
      </c>
      <c r="H17" s="46" t="str">
        <f t="shared" si="3"/>
        <v/>
      </c>
      <c r="I17" s="46" t="str">
        <f t="shared" si="8"/>
        <v/>
      </c>
      <c r="J17" s="47" t="str">
        <f t="shared" si="4"/>
        <v/>
      </c>
      <c r="K17" s="27" t="str">
        <f t="shared" si="5"/>
        <v/>
      </c>
      <c r="L17" s="15" t="str">
        <f t="shared" si="6"/>
        <v/>
      </c>
    </row>
    <row r="18" spans="2:12" ht="25.15" customHeight="1" thickBot="1">
      <c r="B18" s="51" t="s">
        <v>13</v>
      </c>
      <c r="C18" s="9">
        <v>0</v>
      </c>
      <c r="D18" s="16">
        <f t="shared" si="9"/>
        <v>0</v>
      </c>
      <c r="E18" s="16">
        <f t="shared" si="7"/>
        <v>152500</v>
      </c>
      <c r="F18" s="23" t="str">
        <f t="shared" si="1"/>
        <v/>
      </c>
      <c r="G18" s="24" t="str">
        <f t="shared" si="2"/>
        <v/>
      </c>
      <c r="H18" s="48" t="str">
        <f t="shared" si="3"/>
        <v/>
      </c>
      <c r="I18" s="48" t="str">
        <f t="shared" ref="I18" si="10">IF(OR(C18=0%,G18="Néant"),"",IF(AND(G18&gt;$N$5,F18&lt;$O$5),G18*$P$5,IF(G18&gt;$O$5,$O$5*$P$5,"")))</f>
        <v/>
      </c>
      <c r="J18" s="49" t="str">
        <f t="shared" si="4"/>
        <v/>
      </c>
      <c r="K18" s="28" t="str">
        <f t="shared" si="5"/>
        <v/>
      </c>
      <c r="L18" s="25" t="str">
        <f t="shared" si="6"/>
        <v/>
      </c>
    </row>
    <row r="19" spans="2:12"/>
    <row r="20" spans="2:12"/>
    <row r="21" spans="2:12">
      <c r="B21" s="62" t="s">
        <v>21</v>
      </c>
      <c r="C21" s="62"/>
      <c r="D21" s="62"/>
      <c r="E21" s="62"/>
      <c r="F21" s="62"/>
      <c r="G21" s="62"/>
      <c r="H21" s="62"/>
      <c r="I21" s="62"/>
      <c r="J21" s="62"/>
      <c r="K21" s="62"/>
    </row>
    <row r="22" spans="2:12">
      <c r="B22" s="62"/>
      <c r="C22" s="62"/>
      <c r="D22" s="62"/>
      <c r="E22" s="62"/>
      <c r="F22" s="62"/>
      <c r="G22" s="62"/>
      <c r="H22" s="62"/>
      <c r="I22" s="62"/>
      <c r="J22" s="62"/>
      <c r="K22" s="62"/>
    </row>
    <row r="23" spans="2:12"/>
    <row r="24" spans="2:12" ht="35.25" hidden="1" customHeight="1"/>
    <row r="25" spans="2:12" ht="35.25" hidden="1" customHeight="1"/>
    <row r="26" spans="2:12" ht="35.25" hidden="1" customHeight="1"/>
    <row r="27" spans="2:12" ht="35.25" hidden="1" customHeight="1">
      <c r="E27" s="2"/>
    </row>
    <row r="28" spans="2:12" ht="35.25" hidden="1" customHeight="1"/>
    <row r="29" spans="2:12" ht="35.25" hidden="1" customHeight="1"/>
    <row r="30" spans="2:12" ht="35.25" hidden="1" customHeight="1"/>
    <row r="31" spans="2:12" ht="35.25" hidden="1" customHeight="1"/>
    <row r="32" spans="2:12" ht="35.25" hidden="1" customHeight="1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21" priority="4">
      <formula>$O$8&lt;&gt;100%</formula>
    </cfRule>
  </conditionalFormatting>
  <conditionalFormatting sqref="C7">
    <cfRule type="expression" dxfId="20" priority="5">
      <formula>$O$10&lt;&gt;$C$7</formula>
    </cfRule>
  </conditionalFormatting>
  <conditionalFormatting sqref="O9">
    <cfRule type="expression" dxfId="19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opLeftCell="A7" zoomScaleNormal="100" workbookViewId="0">
      <selection sqref="A1:XFD1048576"/>
    </sheetView>
  </sheetViews>
  <sheetFormatPr baseColWidth="10" defaultRowHeight="15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9C98-E3EC-4369-B917-AF62A2B27200}">
  <sheetPr codeName="Feuil2">
    <tabColor theme="5" tint="0.39997558519241921"/>
  </sheetPr>
  <dimension ref="A1:N11"/>
  <sheetViews>
    <sheetView workbookViewId="0">
      <selection activeCell="I2" sqref="I2"/>
    </sheetView>
  </sheetViews>
  <sheetFormatPr baseColWidth="10" defaultRowHeight="15"/>
  <cols>
    <col min="1" max="1" width="22.7109375" customWidth="1"/>
    <col min="2" max="2" width="17.85546875" customWidth="1"/>
    <col min="3" max="3" width="17.42578125" customWidth="1"/>
    <col min="6" max="6" width="27" customWidth="1"/>
    <col min="7" max="7" width="11.7109375" customWidth="1"/>
    <col min="8" max="8" width="12.140625" customWidth="1"/>
    <col min="9" max="9" width="12.7109375" customWidth="1"/>
    <col min="10" max="10" width="13.5703125" customWidth="1"/>
    <col min="13" max="13" width="25" customWidth="1"/>
    <col min="14" max="14" width="31.140625" customWidth="1"/>
    <col min="15" max="15" width="14.5703125" customWidth="1"/>
  </cols>
  <sheetData>
    <row r="1" spans="1:14" ht="45">
      <c r="A1" s="30" t="s">
        <v>28</v>
      </c>
      <c r="B1" s="29" t="s">
        <v>19</v>
      </c>
      <c r="C1" s="31" t="s">
        <v>30</v>
      </c>
      <c r="F1" s="30" t="s">
        <v>28</v>
      </c>
      <c r="G1" s="29" t="s">
        <v>16</v>
      </c>
      <c r="H1" s="31" t="s">
        <v>31</v>
      </c>
      <c r="I1" s="31" t="s">
        <v>32</v>
      </c>
      <c r="J1" s="31" t="s">
        <v>33</v>
      </c>
      <c r="M1" s="33" t="s">
        <v>36</v>
      </c>
      <c r="N1" s="34" t="str">
        <f>Accueil!C3&amp;" "&amp;Accueil!C4&amp;" "&amp;Accueil!C5</f>
        <v>Monsieur BERTRAND Axel</v>
      </c>
    </row>
    <row r="2" spans="1:14" ht="21" customHeight="1">
      <c r="A2" t="s">
        <v>3</v>
      </c>
      <c r="B2" s="38">
        <v>0.8</v>
      </c>
      <c r="C2" s="72">
        <v>240000</v>
      </c>
      <c r="F2" t="s">
        <v>3</v>
      </c>
      <c r="G2">
        <v>17500</v>
      </c>
      <c r="H2" s="32">
        <v>0</v>
      </c>
      <c r="I2" s="72">
        <v>17500</v>
      </c>
      <c r="J2" s="32">
        <v>0</v>
      </c>
      <c r="M2" s="33" t="s">
        <v>37</v>
      </c>
      <c r="N2" s="35">
        <f ca="1">TODAY()</f>
        <v>43952</v>
      </c>
    </row>
    <row r="3" spans="1:14" ht="21" customHeight="1">
      <c r="A3" t="s">
        <v>4</v>
      </c>
      <c r="B3" s="38">
        <v>0.2</v>
      </c>
      <c r="C3" s="72">
        <v>60000</v>
      </c>
      <c r="M3" s="33" t="str">
        <f>Accueil!B6</f>
        <v>Capital Total Investi</v>
      </c>
      <c r="N3" s="37">
        <f>Accueil!C6</f>
        <v>300000</v>
      </c>
    </row>
    <row r="4" spans="1:14" ht="21" customHeight="1">
      <c r="M4" s="33" t="s">
        <v>38</v>
      </c>
      <c r="N4" s="36">
        <f>Accueil!C7</f>
        <v>2</v>
      </c>
    </row>
    <row r="5" spans="1:14" ht="21" customHeight="1"/>
    <row r="6" spans="1:14" ht="21" customHeight="1"/>
    <row r="7" spans="1:14" ht="21" customHeight="1"/>
    <row r="8" spans="1:14" ht="21" customHeight="1"/>
    <row r="9" spans="1:14" ht="21" customHeight="1"/>
    <row r="10" spans="1:14" ht="21" customHeight="1"/>
    <row r="11" spans="1:14" ht="21" customHeight="1"/>
  </sheetData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TDB</vt:lpstr>
      <vt:lpstr>Données-Graph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2020-05-01T16:22:55Z</dcterms:modified>
</cp:coreProperties>
</file>