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4B48E984-85AA-41F2-B75D-789B8471C472}" xr6:coauthVersionLast="45" xr6:coauthVersionMax="45" xr10:uidLastSave="{00000000-0000-0000-0000-000000000000}"/>
  <bookViews>
    <workbookView xWindow="-120" yWindow="-120" windowWidth="29040" windowHeight="15840" activeTab="1" xr2:uid="{811B53D0-13CE-4E6A-B537-F5F8A41334FD}"/>
  </bookViews>
  <sheets>
    <sheet name="Accueil" sheetId="1" r:id="rId1"/>
    <sheet name="TDB" sheetId="3" r:id="rId2"/>
    <sheet name="Données-Graph" sheetId="2" r:id="rId3"/>
  </sheets>
  <definedNames>
    <definedName name="Segment_Bénéficiaires">#N/A</definedName>
    <definedName name="Segment_Capital_alloué_au_bénéficiaire">#N/A</definedName>
  </definedNames>
  <calcPr calcId="181029"/>
  <pivotCaches>
    <pivotCache cacheId="5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N3" i="2"/>
  <c r="M3" i="2"/>
  <c r="N4" i="2"/>
  <c r="N2" i="2"/>
  <c r="N1" i="2"/>
  <c r="D14" i="1"/>
  <c r="D15" i="1"/>
  <c r="D16" i="1"/>
  <c r="D17" i="1"/>
  <c r="D18" i="1"/>
  <c r="D13" i="1"/>
  <c r="O10" i="1"/>
  <c r="L14" i="1"/>
  <c r="L15" i="1"/>
  <c r="L16" i="1"/>
  <c r="L17" i="1"/>
  <c r="L18" i="1"/>
  <c r="K14" i="1"/>
  <c r="K15" i="1"/>
  <c r="K16" i="1"/>
  <c r="K17" i="1"/>
  <c r="K18" i="1"/>
  <c r="G14" i="1"/>
  <c r="I14" i="1" s="1"/>
  <c r="G15" i="1"/>
  <c r="I15" i="1" s="1"/>
  <c r="G16" i="1"/>
  <c r="G17" i="1"/>
  <c r="G18" i="1"/>
  <c r="I18" i="1" s="1"/>
  <c r="F14" i="1"/>
  <c r="F15" i="1"/>
  <c r="F16" i="1"/>
  <c r="F17" i="1"/>
  <c r="F18" i="1"/>
  <c r="J17" i="1" l="1"/>
  <c r="I17" i="1"/>
  <c r="J16" i="1"/>
  <c r="I16" i="1"/>
  <c r="H18" i="1"/>
  <c r="J14" i="1"/>
  <c r="H14" i="1"/>
  <c r="J15" i="1"/>
  <c r="H15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3" i="1" l="1"/>
  <c r="G13" i="1"/>
  <c r="G12" i="1"/>
  <c r="I12" i="1" s="1"/>
  <c r="F11" i="1"/>
  <c r="F10" i="1"/>
  <c r="J9" i="1"/>
  <c r="H9" i="1"/>
  <c r="J10" i="1"/>
  <c r="H10" i="1"/>
  <c r="J11" i="1"/>
  <c r="H11" i="1"/>
  <c r="J13" i="1" l="1"/>
  <c r="I13" i="1"/>
  <c r="H13" i="1"/>
  <c r="J12" i="1"/>
  <c r="H12" i="1"/>
  <c r="K11" i="1"/>
  <c r="L11" i="1" s="1"/>
  <c r="K9" i="1"/>
  <c r="L9" i="1" s="1"/>
  <c r="K10" i="1"/>
  <c r="L10" i="1" s="1"/>
  <c r="K13" i="1" l="1"/>
  <c r="L13" i="1" s="1"/>
  <c r="K12" i="1"/>
  <c r="L1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</author>
  </authors>
  <commentList>
    <comment ref="C7" authorId="0" shapeId="0" xr:uid="{B11FC9D7-8CEA-4B57-8D6A-4733876B51CA}">
      <text>
        <r>
          <rPr>
            <b/>
            <i/>
            <sz val="14"/>
            <color indexed="81"/>
            <rFont val="Tahoma"/>
            <family val="2"/>
          </rPr>
          <t>Si c'est en couleur, alors il manque un pourcentage dans la colonne Taux. Le nombre de bénéfiaire ayant un pourcentage de taux attribué est affiché en cellule O10.</t>
        </r>
      </text>
    </comment>
    <comment ref="C9" authorId="0" shapeId="0" xr:uid="{35C16035-50C0-41F5-A228-F189C3CC6728}">
      <text>
        <r>
          <rPr>
            <b/>
            <i/>
            <sz val="18"/>
            <color indexed="81"/>
            <rFont val="Tahoma"/>
            <family val="2"/>
          </rPr>
          <t xml:space="preserve">Si la colonne apparait en couleur, alors ta répartition en pourcentage ne fait pas 100%. Le manque ou surplus est affiché en cellule O9.
</t>
        </r>
      </text>
    </comment>
  </commentList>
</comments>
</file>

<file path=xl/sharedStrings.xml><?xml version="1.0" encoding="utf-8"?>
<sst xmlns="http://schemas.openxmlformats.org/spreadsheetml/2006/main" count="60" uniqueCount="41">
  <si>
    <t>Nom</t>
  </si>
  <si>
    <t>Prénom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</si>
  <si>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</si>
  <si>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</si>
  <si>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</si>
  <si>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</si>
  <si>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</si>
  <si>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</si>
  <si>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</si>
  <si>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</si>
  <si>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</si>
  <si>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</si>
  <si>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</si>
  <si>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</si>
  <si>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</si>
  <si>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</si>
  <si>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Fiscalité appliquée</t>
  </si>
  <si>
    <t>De</t>
  </si>
  <si>
    <t>à</t>
  </si>
  <si>
    <t>Taux</t>
  </si>
  <si>
    <t>Néant 0%</t>
  </si>
  <si>
    <t>Somme des %</t>
  </si>
  <si>
    <t>Nombre de bénéficiaires</t>
  </si>
  <si>
    <t>% Manquant</t>
  </si>
  <si>
    <t>Base Taxable €</t>
  </si>
  <si>
    <t>Abattement Légal Disponible</t>
  </si>
  <si>
    <t>FISCALITE APPLIQUEE</t>
  </si>
  <si>
    <t>Bénéficiaires</t>
  </si>
  <si>
    <r>
      <t xml:space="preserve">Abattement </t>
    </r>
    <r>
      <rPr>
        <b/>
        <sz val="14"/>
        <color rgb="FFFF0000"/>
        <rFont val="Allianz Neo"/>
        <family val="2"/>
      </rPr>
      <t>RESTANT</t>
    </r>
    <r>
      <rPr>
        <sz val="14"/>
        <color theme="1"/>
        <rFont val="Allianz Neo"/>
        <family val="2"/>
      </rPr>
      <t xml:space="preserve"> à exploiter</t>
    </r>
  </si>
  <si>
    <t>Somme de Capital alloué au bénéficiaire</t>
  </si>
  <si>
    <t>Somme de Néant 0%</t>
  </si>
  <si>
    <t>Civilité</t>
  </si>
  <si>
    <t>Monsieur</t>
  </si>
  <si>
    <t>Dossier</t>
  </si>
  <si>
    <t xml:space="preserve">Le </t>
  </si>
  <si>
    <t>Nbre Bénef</t>
  </si>
  <si>
    <t>BERTRAND</t>
  </si>
  <si>
    <t>Axel</t>
  </si>
  <si>
    <t>Fiscalité à 20%</t>
  </si>
  <si>
    <t>Fiscalité à 31,25%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</si>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</sst>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43" formatCode="_-* #,##0.00_-;\-* #,##0.00_-;_-* &quot;-&quot;??_-;_-@_-"/>
    <numFmt numFmtId="164" formatCode="#,##0.00\ &quot;€&quot;"/>
    <numFmt numFmtId="165" formatCode="_-* #,##0_-;\-* #,##0_-;_-* &quot;-&quot;??_-;_-@_-"/>
    <numFmt numFmtId="166" formatCode="#,##0_ ;[Red]\-#,##0\ "/>
    <numFmt numFmtId="167" formatCode="[$-F800]dddd\,\ mmmm\ dd\,\ yyyy"/>
    <numFmt numFmtId="168" formatCode="_-* #,##0.00\ [$€-40C]_-;\-* #,##0.00\ [$€-40C]_-;_-* &quot;-&quot;??\ [$€-40C]_-;_-@_-"/>
  </numFmts>
  <fonts count="14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4"/>
      <color rgb="FFFF0000"/>
      <name val="Allianz Neo"/>
      <family val="2"/>
    </font>
    <font>
      <sz val="12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8"/>
      <color indexed="81"/>
      <name val="Tahoma"/>
      <family val="2"/>
    </font>
    <font>
      <b/>
      <sz val="12"/>
      <color theme="3" tint="-0.249977111117893"/>
      <name val="Allianz Neo"/>
    </font>
    <font>
      <sz val="20"/>
      <color theme="1"/>
      <name val="Allianz Neo"/>
    </font>
    <font>
      <i/>
      <sz val="20"/>
      <color theme="1"/>
      <name val="Allianz Neo"/>
    </font>
    <font>
      <b/>
      <sz val="11"/>
      <name val="Allianz Neo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5">
    <xf numFmtId="0" fontId="0" fillId="0" borderId="0" xfId="0"/>
    <xf numFmtId="0" fontId="1" fillId="0" borderId="0" xfId="0" applyFont="1" applyAlignment="1">
      <alignment vertical="center"/>
    </xf>
    <xf numFmtId="10" fontId="1" fillId="0" borderId="0" xfId="0" applyNumberFormat="1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65" fontId="2" fillId="0" borderId="9" xfId="1" applyNumberFormat="1" applyFont="1" applyBorder="1" applyAlignment="1">
      <alignment horizontal="center" vertical="center"/>
    </xf>
    <xf numFmtId="10" fontId="4" fillId="0" borderId="9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vertical="center" wrapText="1"/>
    </xf>
    <xf numFmtId="10" fontId="4" fillId="0" borderId="7" xfId="0" applyNumberFormat="1" applyFont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vertical="center" wrapText="1"/>
    </xf>
    <xf numFmtId="164" fontId="1" fillId="0" borderId="4" xfId="0" applyNumberFormat="1" applyFont="1" applyFill="1" applyBorder="1" applyAlignment="1">
      <alignment vertical="center" wrapText="1"/>
    </xf>
    <xf numFmtId="164" fontId="5" fillId="0" borderId="4" xfId="0" applyNumberFormat="1" applyFont="1" applyFill="1" applyBorder="1" applyAlignment="1">
      <alignment horizontal="right" vertical="center" wrapText="1"/>
    </xf>
    <xf numFmtId="164" fontId="1" fillId="0" borderId="5" xfId="0" applyNumberFormat="1" applyFont="1" applyFill="1" applyBorder="1" applyAlignment="1">
      <alignment horizontal="right" vertical="center" wrapText="1"/>
    </xf>
    <xf numFmtId="164" fontId="1" fillId="0" borderId="7" xfId="0" applyNumberFormat="1" applyFont="1" applyFill="1" applyBorder="1" applyAlignment="1">
      <alignment vertical="center" wrapText="1"/>
    </xf>
    <xf numFmtId="164" fontId="5" fillId="5" borderId="4" xfId="0" applyNumberFormat="1" applyFont="1" applyFill="1" applyBorder="1" applyAlignment="1">
      <alignment horizontal="right" vertical="center" wrapText="1"/>
    </xf>
    <xf numFmtId="10" fontId="4" fillId="6" borderId="1" xfId="0" applyNumberFormat="1" applyFont="1" applyFill="1" applyBorder="1" applyAlignment="1">
      <alignment vertical="center" wrapText="1"/>
    </xf>
    <xf numFmtId="164" fontId="1" fillId="0" borderId="1" xfId="0" applyNumberFormat="1" applyFont="1" applyFill="1" applyBorder="1" applyAlignment="1">
      <alignment vertical="center" wrapText="1"/>
    </xf>
    <xf numFmtId="164" fontId="5" fillId="5" borderId="1" xfId="0" applyNumberFormat="1" applyFont="1" applyFill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1" fillId="0" borderId="2" xfId="0" applyNumberFormat="1" applyFont="1" applyFill="1" applyBorder="1" applyAlignment="1">
      <alignment horizontal="right" vertical="center" wrapText="1"/>
    </xf>
    <xf numFmtId="164" fontId="5" fillId="5" borderId="7" xfId="0" applyNumberFormat="1" applyFont="1" applyFill="1" applyBorder="1" applyAlignment="1">
      <alignment horizontal="right" vertical="center" wrapText="1"/>
    </xf>
    <xf numFmtId="164" fontId="5" fillId="0" borderId="7" xfId="0" applyNumberFormat="1" applyFont="1" applyFill="1" applyBorder="1" applyAlignment="1">
      <alignment horizontal="right" vertical="center" wrapText="1"/>
    </xf>
    <xf numFmtId="164" fontId="1" fillId="0" borderId="10" xfId="0" applyNumberFormat="1" applyFont="1" applyFill="1" applyBorder="1" applyAlignment="1">
      <alignment horizontal="right" vertical="center" wrapText="1"/>
    </xf>
    <xf numFmtId="164" fontId="1" fillId="0" borderId="8" xfId="0" applyNumberFormat="1" applyFont="1" applyFill="1" applyBorder="1" applyAlignment="1">
      <alignment horizontal="right" vertical="center" wrapText="1"/>
    </xf>
    <xf numFmtId="164" fontId="1" fillId="0" borderId="16" xfId="0" applyNumberFormat="1" applyFont="1" applyFill="1" applyBorder="1" applyAlignment="1">
      <alignment horizontal="right" vertical="center" wrapText="1"/>
    </xf>
    <xf numFmtId="164" fontId="1" fillId="0" borderId="17" xfId="0" applyNumberFormat="1" applyFont="1" applyFill="1" applyBorder="1" applyAlignment="1">
      <alignment horizontal="right" vertical="center" wrapText="1"/>
    </xf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/>
    <xf numFmtId="0" fontId="7" fillId="9" borderId="9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/>
    </xf>
    <xf numFmtId="167" fontId="7" fillId="9" borderId="9" xfId="0" applyNumberFormat="1" applyFont="1" applyFill="1" applyBorder="1" applyAlignment="1">
      <alignment horizontal="center" vertical="center"/>
    </xf>
    <xf numFmtId="0" fontId="7" fillId="9" borderId="9" xfId="0" applyNumberFormat="1" applyFont="1" applyFill="1" applyBorder="1" applyAlignment="1">
      <alignment horizontal="center" vertical="center"/>
    </xf>
    <xf numFmtId="168" fontId="7" fillId="9" borderId="9" xfId="1" applyNumberFormat="1" applyFont="1" applyFill="1" applyBorder="1" applyAlignment="1">
      <alignment horizontal="center" vertical="center"/>
    </xf>
    <xf numFmtId="10" fontId="0" fillId="0" borderId="0" xfId="0" applyNumberFormat="1"/>
    <xf numFmtId="0" fontId="2" fillId="10" borderId="14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9" fontId="2" fillId="7" borderId="14" xfId="0" applyNumberFormat="1" applyFont="1" applyFill="1" applyBorder="1" applyAlignment="1">
      <alignment horizontal="center" vertical="center" wrapText="1"/>
    </xf>
    <xf numFmtId="10" fontId="2" fillId="7" borderId="15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right" vertical="center" wrapText="1"/>
    </xf>
    <xf numFmtId="164" fontId="1" fillId="7" borderId="2" xfId="0" applyNumberFormat="1" applyFont="1" applyFill="1" applyBorder="1" applyAlignment="1">
      <alignment horizontal="right" vertical="center" wrapText="1"/>
    </xf>
    <xf numFmtId="164" fontId="1" fillId="7" borderId="4" xfId="0" applyNumberFormat="1" applyFont="1" applyFill="1" applyBorder="1" applyAlignment="1">
      <alignment horizontal="right" vertical="center" wrapText="1"/>
    </xf>
    <xf numFmtId="164" fontId="1" fillId="7" borderId="5" xfId="0" applyNumberFormat="1" applyFont="1" applyFill="1" applyBorder="1" applyAlignment="1">
      <alignment horizontal="right" vertical="center" wrapText="1"/>
    </xf>
    <xf numFmtId="164" fontId="1" fillId="7" borderId="7" xfId="0" applyNumberFormat="1" applyFont="1" applyFill="1" applyBorder="1" applyAlignment="1">
      <alignment horizontal="right" vertical="center" wrapText="1"/>
    </xf>
    <xf numFmtId="164" fontId="1" fillId="7" borderId="10" xfId="0" applyNumberFormat="1" applyFont="1" applyFill="1" applyBorder="1" applyAlignment="1">
      <alignment horizontal="right" vertical="center" wrapText="1"/>
    </xf>
    <xf numFmtId="0" fontId="1" fillId="8" borderId="3" xfId="0" applyFont="1" applyFill="1" applyBorder="1" applyAlignment="1">
      <alignment vertical="center" wrapText="1"/>
    </xf>
    <xf numFmtId="0" fontId="1" fillId="8" borderId="6" xfId="0" applyFont="1" applyFill="1" applyBorder="1" applyAlignment="1">
      <alignment vertical="center" wrapText="1"/>
    </xf>
    <xf numFmtId="0" fontId="2" fillId="10" borderId="18" xfId="0" applyFont="1" applyFill="1" applyBorder="1" applyAlignment="1">
      <alignment horizontal="center" vertical="center" wrapText="1"/>
    </xf>
    <xf numFmtId="0" fontId="2" fillId="10" borderId="19" xfId="0" applyFont="1" applyFill="1" applyBorder="1" applyAlignment="1">
      <alignment horizontal="center" vertical="center" wrapText="1"/>
    </xf>
    <xf numFmtId="0" fontId="10" fillId="11" borderId="20" xfId="0" applyFont="1" applyFill="1" applyBorder="1" applyAlignment="1">
      <alignment horizontal="left" vertical="center" wrapText="1"/>
    </xf>
    <xf numFmtId="0" fontId="10" fillId="11" borderId="23" xfId="0" applyFont="1" applyFill="1" applyBorder="1" applyAlignment="1">
      <alignment horizontal="left" vertical="center" wrapText="1"/>
    </xf>
    <xf numFmtId="0" fontId="10" fillId="11" borderId="26" xfId="0" applyFont="1" applyFill="1" applyBorder="1" applyAlignment="1">
      <alignment horizontal="left" vertical="center" wrapText="1"/>
    </xf>
    <xf numFmtId="164" fontId="13" fillId="0" borderId="4" xfId="0" applyNumberFormat="1" applyFont="1" applyFill="1" applyBorder="1" applyAlignment="1">
      <alignment horizontal="right" vertical="center" wrapText="1"/>
    </xf>
    <xf numFmtId="6" fontId="0" fillId="0" borderId="0" xfId="0" applyNumberFormat="1"/>
    <xf numFmtId="164" fontId="0" fillId="0" borderId="0" xfId="0" applyNumberFormat="1"/>
    <xf numFmtId="0" fontId="4" fillId="0" borderId="9" xfId="0" applyFon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1" fillId="8" borderId="22" xfId="0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164" fontId="4" fillId="6" borderId="24" xfId="0" applyNumberFormat="1" applyFont="1" applyFill="1" applyBorder="1" applyAlignment="1">
      <alignment horizontal="center" vertical="center" wrapText="1"/>
    </xf>
    <xf numFmtId="164" fontId="4" fillId="6" borderId="25" xfId="0" applyNumberFormat="1" applyFont="1" applyFill="1" applyBorder="1" applyAlignment="1">
      <alignment horizontal="center" vertical="center" wrapText="1"/>
    </xf>
    <xf numFmtId="0" fontId="4" fillId="6" borderId="27" xfId="0" applyFont="1" applyFill="1" applyBorder="1" applyAlignment="1">
      <alignment horizontal="center" vertical="center" wrapText="1"/>
    </xf>
    <xf numFmtId="0" fontId="4" fillId="6" borderId="28" xfId="0" applyFont="1" applyFill="1" applyBorder="1" applyAlignment="1">
      <alignment horizontal="center" vertical="center" wrapText="1"/>
    </xf>
    <xf numFmtId="0" fontId="0" fillId="0" borderId="0" xfId="0" applyAlignment="1"/>
  </cellXfs>
  <cellStyles count="2">
    <cellStyle name="Milliers" xfId="1" builtinId="3"/>
    <cellStyle name="Normal" xfId="0" builtinId="0"/>
  </cellStyles>
  <dxfs count="238"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0" formatCode="#,##0\ &quot;€&quot;;[Red]\-#,##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0" formatCode="#,##0\ &quot;€&quot;;[Red]\-#,##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0" formatCode="#,##0\ &quot;€&quot;;[Red]\-#,##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0" formatCode="#,##0\ &quot;€&quot;;[Red]\-#,##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64" formatCode="#,##0.00\ &quot;€&quot;"/>
    </dxf>
    <dxf>
      <alignment horizontal="general" indent="0"/>
    </dxf>
    <dxf>
      <numFmt numFmtId="172" formatCode="#,##0\ &quot;€&quot;"/>
    </dxf>
    <dxf>
      <numFmt numFmtId="164" formatCode="#,##0.00\ &quot;€&quot;"/>
    </dxf>
    <dxf>
      <numFmt numFmtId="164" formatCode="#,##0.00\ &quot;€&quot;"/>
    </dxf>
    <dxf>
      <numFmt numFmtId="172" formatCode="#,##0\ &quot;€&quot;"/>
    </dxf>
    <dxf>
      <alignment horizontal="general" indent="0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6" formatCode="#,##0_ ;[Red]\-#,##0\ "/>
    </dxf>
    <dxf>
      <numFmt numFmtId="166" formatCode="#,##0_ ;[Red]\-#,##0\ "/>
    </dxf>
    <dxf>
      <numFmt numFmtId="10" formatCode="#,##0\ &quot;€&quot;;[Red]\-#,##0\ &quot;€&quot;"/>
    </dxf>
    <dxf>
      <numFmt numFmtId="164" formatCode="#,##0.00\ &quot;€&quot;"/>
    </dxf>
    <dxf>
      <alignment vertical="center"/>
    </dxf>
    <dxf>
      <alignment horizontal="center"/>
    </dxf>
    <dxf>
      <alignment wrapText="1"/>
    </dxf>
    <dxf>
      <numFmt numFmtId="10" formatCode="#,##0\ &quot;€&quot;;[Red]\-#,##0\ &quot;€&quot;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dk1"/>
                </a:solidFill>
                <a:latin typeface="+mn-lt"/>
                <a:ea typeface="+mn-ea"/>
                <a:cs typeface="+mn-cs"/>
              </a:rPr>
              <a:t>Part en % par Bénéficiaire</a:t>
            </a:r>
            <a:endParaRPr lang="en-US"/>
          </a:p>
        </c:rich>
      </c:tx>
      <c:overlay val="0"/>
      <c:spPr>
        <a:solidFill>
          <a:schemeClr val="accent6">
            <a:lumMod val="40000"/>
            <a:lumOff val="60000"/>
          </a:schemeClr>
        </a:soli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9.0419227063642596E-2"/>
          <c:y val="0.26375522101895243"/>
          <c:w val="0.53425878627712231"/>
          <c:h val="0.61892277122980111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16C-48ED-A10A-320B65AA1A6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16C-48ED-A10A-320B65AA1A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16C-48ED-A10A-320B65AA1A6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16C-48ED-A10A-320B65AA1A65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'Données-Graph'!$A$2:$B$4</c:f>
              <c:multiLvlStrCache>
                <c:ptCount val="3"/>
                <c:lvl>
                  <c:pt idx="0">
                    <c:v>10,00%</c:v>
                  </c:pt>
                  <c:pt idx="1">
                    <c:v>35,00%</c:v>
                  </c:pt>
                  <c:pt idx="2">
                    <c:v>55,00%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'Données-Graph'!$C$2:$C$4</c:f>
              <c:numCache>
                <c:formatCode>"€"#,##0_);[Red]\("€"#,##0\)</c:formatCode>
                <c:ptCount val="3"/>
                <c:pt idx="0">
                  <c:v>200000</c:v>
                </c:pt>
                <c:pt idx="1">
                  <c:v>700000</c:v>
                </c:pt>
                <c:pt idx="2">
                  <c:v>1100000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16C-48ED-A10A-320B65AA1A6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dynamique2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dk1"/>
                </a:solidFill>
                <a:latin typeface="+mn-lt"/>
                <a:ea typeface="+mn-ea"/>
                <a:cs typeface="+mn-cs"/>
              </a:rPr>
              <a:t>Fiscalité appliquée par Bénéficiaire</a:t>
            </a:r>
            <a:endParaRPr lang="fr-FR"/>
          </a:p>
        </c:rich>
      </c:tx>
      <c:overlay val="0"/>
      <c:spPr>
        <a:solidFill>
          <a:schemeClr val="accent6">
            <a:lumMod val="40000"/>
            <a:lumOff val="60000"/>
          </a:schemeClr>
        </a:soli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3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layout>
            <c:manualLayout>
              <c:x val="-6.7964175371248839E-2"/>
              <c:y val="-2.3068055405311587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1161323048920576E-3"/>
          <c:y val="0.2451674139398059"/>
          <c:w val="0.98167979002624672"/>
          <c:h val="0.6553272090988626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'Données-Graph'!$H$3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9500</c:v>
                  </c:pt>
                  <c:pt idx="1">
                    <c:v>109500</c:v>
                  </c:pt>
                  <c:pt idx="2">
                    <c:v>217343,75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'Données-Graph'!$H$4:$H$6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7A8-4DFE-BF2A-7AD05106429D}"/>
            </c:ext>
          </c:extLst>
        </c:ser>
        <c:ser>
          <c:idx val="1"/>
          <c:order val="1"/>
          <c:tx>
            <c:strRef>
              <c:f>'Données-Graph'!$I$3</c:f>
              <c:strCache>
                <c:ptCount val="1"/>
                <c:pt idx="0">
                  <c:v>Fiscalité à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9500</c:v>
                  </c:pt>
                  <c:pt idx="1">
                    <c:v>109500</c:v>
                  </c:pt>
                  <c:pt idx="2">
                    <c:v>217343,75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'Données-Graph'!$I$4:$I$6</c:f>
              <c:numCache>
                <c:formatCode>"€"#,##0_);[Red]\("€"#,##0\)</c:formatCode>
                <c:ptCount val="3"/>
                <c:pt idx="0">
                  <c:v>9500</c:v>
                </c:pt>
                <c:pt idx="1">
                  <c:v>109500</c:v>
                </c:pt>
                <c:pt idx="2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7A8-4DFE-BF2A-7AD05106429D}"/>
            </c:ext>
          </c:extLst>
        </c:ser>
        <c:ser>
          <c:idx val="2"/>
          <c:order val="2"/>
          <c:tx>
            <c:strRef>
              <c:f>'Données-Graph'!$J$3</c:f>
              <c:strCache>
                <c:ptCount val="1"/>
                <c:pt idx="0">
                  <c:v>Fiscalité à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9500</c:v>
                  </c:pt>
                  <c:pt idx="1">
                    <c:v>109500</c:v>
                  </c:pt>
                  <c:pt idx="2">
                    <c:v>217343,75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'Données-Graph'!$J$4:$J$6</c:f>
              <c:numCache>
                <c:formatCode>#\ ##0.00\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77343.75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7A8-4DFE-BF2A-7AD05106429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07739488"/>
        <c:axId val="2003230688"/>
        <c:axId val="0"/>
      </c:bar3D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solidFill>
            <a:srgbClr val="00B0F0"/>
          </a:solidFill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dynamique3</c:name>
    <c:fmtId val="1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 la fiscalité par bénéficiaire</a:t>
            </a:r>
            <a:endParaRPr lang="fr-FR"/>
          </a:p>
        </c:rich>
      </c:tx>
      <c:overlay val="0"/>
      <c:spPr>
        <a:solidFill>
          <a:schemeClr val="accent6">
            <a:lumMod val="60000"/>
            <a:lumOff val="4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1015468616161204E-2"/>
          <c:y val="0.19168112460518708"/>
          <c:w val="0.6172535762872573"/>
          <c:h val="0.74933537968770858"/>
        </c:manualLayout>
      </c:layout>
      <c:doughnutChart>
        <c:varyColors val="1"/>
        <c:ser>
          <c:idx val="0"/>
          <c:order val="0"/>
          <c:tx>
            <c:strRef>
              <c:f>'Données-Graph'!$Q$3:$Q$5</c:f>
              <c:strCache>
                <c:ptCount val="1"/>
                <c:pt idx="0">
                  <c:v>Part bénéficiaire 1 - 9500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1EB-4480-A395-274AC3A1C9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1EB-4480-A395-274AC3A1C9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1EB-4480-A395-274AC3A1C921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'Données-Graph'!$P$6:$P$8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'Données-Graph'!$Q$6:$Q$8</c:f>
              <c:numCache>
                <c:formatCode>General</c:formatCode>
                <c:ptCount val="3"/>
                <c:pt idx="0">
                  <c:v>0</c:v>
                </c:pt>
                <c:pt idx="1">
                  <c:v>9500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1EB-4480-A395-274AC3A1C921}"/>
            </c:ext>
          </c:extLst>
        </c:ser>
        <c:ser>
          <c:idx val="1"/>
          <c:order val="1"/>
          <c:tx>
            <c:strRef>
              <c:f>'Données-Graph'!$R$3:$R$5</c:f>
              <c:strCache>
                <c:ptCount val="1"/>
                <c:pt idx="0">
                  <c:v>Part bénéficiaire 2 - 109500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'Données-Graph'!$P$6:$P$8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'Données-Graph'!$R$6:$R$8</c:f>
              <c:numCache>
                <c:formatCode>General</c:formatCode>
                <c:ptCount val="3"/>
                <c:pt idx="0">
                  <c:v>0</c:v>
                </c:pt>
                <c:pt idx="1">
                  <c:v>109500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31EB-4480-A395-274AC3A1C921}"/>
            </c:ext>
          </c:extLst>
        </c:ser>
        <c:ser>
          <c:idx val="2"/>
          <c:order val="2"/>
          <c:tx>
            <c:strRef>
              <c:f>'Données-Graph'!$S$3:$S$5</c:f>
              <c:strCache>
                <c:ptCount val="1"/>
                <c:pt idx="0">
                  <c:v>Part bénéficiaire 3 - 217343,75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'Données-Graph'!$P$6:$P$8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'Données-Graph'!$S$6:$S$8</c:f>
              <c:numCache>
                <c:formatCode>General</c:formatCode>
                <c:ptCount val="3"/>
                <c:pt idx="0">
                  <c:v>0</c:v>
                </c:pt>
                <c:pt idx="1">
                  <c:v>140000</c:v>
                </c:pt>
                <c:pt idx="2">
                  <c:v>77343.75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31EB-4480-A395-274AC3A1C92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7050365201722815"/>
          <c:y val="0.2972256400772913"/>
          <c:w val="0.22949636531035714"/>
          <c:h val="0.16352262111303884"/>
        </c:manualLayout>
      </c:layout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Part en %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2186583121792351"/>
          <c:y val="0.19818129488815997"/>
          <c:w val="0.46822115763989469"/>
          <c:h val="0.75797217487264246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DC8-4A9A-ABEA-260F32F8C81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DC8-4A9A-ABEA-260F32F8C81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CDC8-4A9A-ABEA-260F32F8C81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'Données-Graph'!$A$2:$B$4</c:f>
              <c:multiLvlStrCache>
                <c:ptCount val="3"/>
                <c:lvl>
                  <c:pt idx="0">
                    <c:v>10,00%</c:v>
                  </c:pt>
                  <c:pt idx="1">
                    <c:v>35,00%</c:v>
                  </c:pt>
                  <c:pt idx="2">
                    <c:v>55,00%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'Données-Graph'!$C$2:$C$4</c:f>
              <c:numCache>
                <c:formatCode>"€"#,##0_);[Red]\("€"#,##0\)</c:formatCode>
                <c:ptCount val="3"/>
                <c:pt idx="0">
                  <c:v>200000</c:v>
                </c:pt>
                <c:pt idx="1">
                  <c:v>700000</c:v>
                </c:pt>
                <c:pt idx="2">
                  <c:v>1100000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4F-46BD-82DD-A8FA59078A6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Vie-1.xlsm]Données-Graph!Tableau croisé dynamique2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Fiscalité appliquée par Bénéficiaire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'Données-Graph'!$H$3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9500</c:v>
                  </c:pt>
                  <c:pt idx="1">
                    <c:v>109500</c:v>
                  </c:pt>
                  <c:pt idx="2">
                    <c:v>217343,75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'Données-Graph'!$H$4:$H$6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8FE-406C-896E-F1438330B24E}"/>
            </c:ext>
          </c:extLst>
        </c:ser>
        <c:ser>
          <c:idx val="1"/>
          <c:order val="1"/>
          <c:tx>
            <c:strRef>
              <c:f>'Données-Graph'!$I$3</c:f>
              <c:strCache>
                <c:ptCount val="1"/>
                <c:pt idx="0">
                  <c:v>Fiscalité à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9500</c:v>
                  </c:pt>
                  <c:pt idx="1">
                    <c:v>109500</c:v>
                  </c:pt>
                  <c:pt idx="2">
                    <c:v>217343,75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'Données-Graph'!$I$4:$I$6</c:f>
              <c:numCache>
                <c:formatCode>"€"#,##0_);[Red]\("€"#,##0\)</c:formatCode>
                <c:ptCount val="3"/>
                <c:pt idx="0">
                  <c:v>9500</c:v>
                </c:pt>
                <c:pt idx="1">
                  <c:v>109500</c:v>
                </c:pt>
                <c:pt idx="2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8FE-406C-896E-F1438330B24E}"/>
            </c:ext>
          </c:extLst>
        </c:ser>
        <c:ser>
          <c:idx val="2"/>
          <c:order val="2"/>
          <c:tx>
            <c:strRef>
              <c:f>'Données-Graph'!$J$3</c:f>
              <c:strCache>
                <c:ptCount val="1"/>
                <c:pt idx="0">
                  <c:v>Fiscalité à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'Données-Graph'!$F$4:$G$6</c:f>
              <c:multiLvlStrCache>
                <c:ptCount val="3"/>
                <c:lvl>
                  <c:pt idx="0">
                    <c:v>9500</c:v>
                  </c:pt>
                  <c:pt idx="1">
                    <c:v>109500</c:v>
                  </c:pt>
                  <c:pt idx="2">
                    <c:v>217343,75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'Données-Graph'!$J$4:$J$6</c:f>
              <c:numCache>
                <c:formatCode>#\ ##0.00\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77343.75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8FE-406C-896E-F1438330B24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7739488"/>
        <c:axId val="2003230688"/>
      </c:barChart>
      <c:catAx>
        <c:axId val="2007739488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&quot;€&quot;#,##0.00_);[Red]\(&quot;€&quot;#,##0.00\)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830249489784969"/>
          <c:y val="0.28090359491517619"/>
          <c:w val="0.16169763543678109"/>
          <c:h val="0.1895232425478621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0</xdr:rowOff>
    </xdr:from>
    <xdr:to>
      <xdr:col>25</xdr:col>
      <xdr:colOff>55789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123825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685800</xdr:colOff>
      <xdr:row>13</xdr:row>
      <xdr:rowOff>19050</xdr:rowOff>
    </xdr:from>
    <xdr:to>
      <xdr:col>7</xdr:col>
      <xdr:colOff>228600</xdr:colOff>
      <xdr:row>36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81986F-5185-478C-BA7F-F941ABFDC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7</xdr:col>
      <xdr:colOff>352425</xdr:colOff>
      <xdr:row>13</xdr:row>
      <xdr:rowOff>40006</xdr:rowOff>
    </xdr:from>
    <xdr:to>
      <xdr:col>15</xdr:col>
      <xdr:colOff>95250</xdr:colOff>
      <xdr:row>36</xdr:row>
      <xdr:rowOff>142875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F6F1838-38DE-45D2-8DE0-147ABD300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'Données-Graph'!N4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3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'Données-Graph'!N3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2 000 000,00 €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'Données-Graph'!N1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BERTRAND Axel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'Données-Graph'!N2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vendredi 1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8</xdr:col>
      <xdr:colOff>571500</xdr:colOff>
      <xdr:row>0</xdr:row>
      <xdr:rowOff>104775</xdr:rowOff>
    </xdr:from>
    <xdr:to>
      <xdr:col>11</xdr:col>
      <xdr:colOff>47625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Bénéficiaires">
              <a:extLst>
                <a:ext uri="{FF2B5EF4-FFF2-40B4-BE49-F238E27FC236}">
                  <a16:creationId xmlns:a16="http://schemas.microsoft.com/office/drawing/2014/main" id="{A594A479-FB52-438D-9DE5-529542EB1A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104775"/>
              <a:ext cx="1762125" cy="2362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123825</xdr:colOff>
      <xdr:row>13</xdr:row>
      <xdr:rowOff>1</xdr:rowOff>
    </xdr:from>
    <xdr:to>
      <xdr:col>1</xdr:col>
      <xdr:colOff>609600</xdr:colOff>
      <xdr:row>31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6" name="Capital alloué au bénéficiaire">
              <a:extLst>
                <a:ext uri="{FF2B5EF4-FFF2-40B4-BE49-F238E27FC236}">
                  <a16:creationId xmlns:a16="http://schemas.microsoft.com/office/drawing/2014/main" id="{217441DF-05D7-4136-ADF1-2E05881066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pital alloué au bénéfici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2476501"/>
              <a:ext cx="1247775" cy="3543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200024</xdr:colOff>
      <xdr:row>13</xdr:row>
      <xdr:rowOff>38100</xdr:rowOff>
    </xdr:from>
    <xdr:to>
      <xdr:col>22</xdr:col>
      <xdr:colOff>323849</xdr:colOff>
      <xdr:row>36</xdr:row>
      <xdr:rowOff>152400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3A4FF1E5-E209-43A1-9F37-3BFE1CF95B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80961</xdr:rowOff>
    </xdr:from>
    <xdr:to>
      <xdr:col>4</xdr:col>
      <xdr:colOff>581025</xdr:colOff>
      <xdr:row>27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8EC5E10-D163-41A9-BF7D-73EAEFBC7E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261938</xdr:colOff>
      <xdr:row>9</xdr:row>
      <xdr:rowOff>176212</xdr:rowOff>
    </xdr:from>
    <xdr:to>
      <xdr:col>11</xdr:col>
      <xdr:colOff>504826</xdr:colOff>
      <xdr:row>28</xdr:row>
      <xdr:rowOff>161925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7A09870-BA47-4305-A56C-D84F38F501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2.892099537035" createdVersion="6" refreshedVersion="6" minRefreshableVersion="3" recordCount="10" xr:uid="{F631C0AF-B360-4BCA-9639-4AD500A363AF}">
  <cacheSource type="worksheet">
    <worksheetSource ref="B8:L18" sheet="Accueil"/>
  </cacheSource>
  <cacheFields count="11">
    <cacheField name="Bénéficiaires" numFmtId="0">
      <sharedItems count="11">
        <s v="Part bénéficiaire 1"/>
        <s v="Part bénéficiaire 2"/>
        <s v="Part bénéficiaire 3"/>
        <s v="Part bénéficiaire 4"/>
        <s v="Part bénéficiaire 5"/>
        <s v="Part bénéficiaire 6"/>
        <s v="Part bénéficiaire 7"/>
        <s v="Part bénéficiaire 8"/>
        <s v="Part bénéficiaire 9"/>
        <s v="Part bénéficiaire 10"/>
        <s v="aaa" u="1"/>
      </sharedItems>
    </cacheField>
    <cacheField name="Taux" numFmtId="10">
      <sharedItems containsSemiMixedTypes="0" containsString="0" containsNumber="1" minValue="0" maxValue="0.8" count="20">
        <n v="0.1"/>
        <n v="0.35"/>
        <n v="0.55000000000000004"/>
        <n v="0"/>
        <n v="0.16" u="1"/>
        <n v="0.2" u="1"/>
        <n v="0.6" u="1"/>
        <n v="0.7" u="1"/>
        <n v="0.25" u="1"/>
        <n v="0.12" u="1"/>
        <n v="0.08" u="1"/>
        <n v="0.3" u="1"/>
        <n v="0.8" u="1"/>
        <n v="0.22" u="1"/>
        <n v="0.18" u="1"/>
        <n v="0.15" u="1"/>
        <n v="0.4" u="1"/>
        <n v="0.45" u="1"/>
        <n v="0.5" u="1"/>
        <n v="0.24" u="1"/>
      </sharedItems>
    </cacheField>
    <cacheField name="Capital alloué au bénéficiaire" numFmtId="164">
      <sharedItems containsSemiMixedTypes="0" containsString="0" containsNumber="1" containsInteger="1" minValue="0" maxValue="2000000" count="25">
        <n v="200000"/>
        <n v="700000"/>
        <n v="1100000"/>
        <n v="0"/>
        <n v="540000" u="1"/>
        <n v="500000" u="1"/>
        <n v="600000" u="1"/>
        <n v="450000" u="1"/>
        <n v="1500000" u="1"/>
        <n v="320000" u="1"/>
        <n v="60000" u="1"/>
        <n v="1750000" u="1"/>
        <n v="480000" u="1"/>
        <n v="625000" u="1"/>
        <n v="250000" u="1"/>
        <n v="2000000" u="1"/>
        <n v="300000" u="1"/>
        <n v="1125000" u="1"/>
        <n v="750000" u="1"/>
        <n v="160000" u="1"/>
        <n v="240000" u="1"/>
        <n v="360000" u="1"/>
        <n v="1000000" u="1"/>
        <n v="440000" u="1"/>
        <n v="1200000" u="1"/>
      </sharedItems>
    </cacheField>
    <cacheField name="Abattement Légal Disponible" numFmtId="164">
      <sharedItems containsSemiMixedTypes="0" containsString="0" containsNumber="1" containsInteger="1" minValue="152500" maxValue="152500"/>
    </cacheField>
    <cacheField name="Abattement RESTANT à exploiter" numFmtId="164">
      <sharedItems containsMixedTypes="1" containsNumber="1" containsInteger="1" minValue="0" maxValue="0"/>
    </cacheField>
    <cacheField name="Base Taxable €" numFmtId="164">
      <sharedItems containsMixedTypes="1" containsNumber="1" containsInteger="1" minValue="47500" maxValue="947500"/>
    </cacheField>
    <cacheField name="Néant 0%" numFmtId="164">
      <sharedItems containsMixedTypes="1" containsNumber="1" containsInteger="1" minValue="0" maxValue="0"/>
    </cacheField>
    <cacheField name="20%" numFmtId="164">
      <sharedItems containsMixedTypes="1" containsNumber="1" containsInteger="1" minValue="9500" maxValue="140000"/>
    </cacheField>
    <cacheField name="31,25%" numFmtId="164">
      <sharedItems containsMixedTypes="1" containsNumber="1" minValue="77343.75" maxValue="77343.75"/>
    </cacheField>
    <cacheField name="Fiscalité appliquée" numFmtId="164">
      <sharedItems containsMixedTypes="1" containsNumber="1" minValue="0" maxValue="498593.75" count="27">
        <n v="9500"/>
        <n v="109500"/>
        <n v="217343.75"/>
        <s v=""/>
        <n v="0" u="1"/>
        <n v="17500" u="1"/>
        <n v="104500" u="1"/>
        <n v="342343.75" u="1"/>
        <n v="65500" u="1"/>
        <n v="41500" u="1"/>
        <n v="119500" u="1"/>
        <n v="279656.25" u="1"/>
        <n v="44500" u="1"/>
        <n v="420468.75" u="1"/>
        <n v="1500" u="1"/>
        <n v="94500" u="1"/>
        <n v="77500" u="1"/>
        <n v="57500" u="1"/>
        <n v="33500" u="1"/>
        <n v="69500" u="1"/>
        <n v="186093.75" u="1"/>
        <n v="89500" u="1"/>
        <n v="19500" u="1"/>
        <n v="498593.75" u="1"/>
        <n v="29500" u="1"/>
        <n v="59500" u="1"/>
        <n v="248593.75" u="1"/>
      </sharedItems>
    </cacheField>
    <cacheField name="Capital du bénéficiaire après fiscalité" numFmtId="164">
      <sharedItems containsMixedTypes="1" containsNumber="1" minValue="190500" maxValue="882656.25"/>
    </cacheField>
  </cacheFields>
  <extLst>
    <ext xmlns:x14="http://schemas.microsoft.com/office/spreadsheetml/2009/9/main" uri="{725AE2AE-9491-48be-B2B4-4EB974FC3084}">
      <x14:pivotCacheDefinition pivotCacheId="13445159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152500"/>
    <n v="0"/>
    <n v="47500"/>
    <n v="0"/>
    <n v="9500"/>
    <s v=""/>
    <x v="0"/>
    <n v="190500"/>
  </r>
  <r>
    <x v="1"/>
    <x v="1"/>
    <x v="1"/>
    <n v="152500"/>
    <n v="0"/>
    <n v="547500"/>
    <n v="0"/>
    <n v="109500"/>
    <s v=""/>
    <x v="1"/>
    <n v="590500"/>
  </r>
  <r>
    <x v="2"/>
    <x v="2"/>
    <x v="2"/>
    <n v="152500"/>
    <n v="0"/>
    <n v="947500"/>
    <n v="0"/>
    <n v="140000"/>
    <n v="77343.75"/>
    <x v="2"/>
    <n v="882656.25"/>
  </r>
  <r>
    <x v="3"/>
    <x v="3"/>
    <x v="3"/>
    <n v="152500"/>
    <s v=""/>
    <s v=""/>
    <s v=""/>
    <s v=""/>
    <s v=""/>
    <x v="3"/>
    <s v=""/>
  </r>
  <r>
    <x v="4"/>
    <x v="3"/>
    <x v="3"/>
    <n v="152500"/>
    <s v=""/>
    <s v=""/>
    <s v=""/>
    <s v=""/>
    <s v=""/>
    <x v="3"/>
    <s v=""/>
  </r>
  <r>
    <x v="5"/>
    <x v="3"/>
    <x v="3"/>
    <n v="152500"/>
    <s v=""/>
    <s v=""/>
    <s v=""/>
    <s v=""/>
    <s v=""/>
    <x v="3"/>
    <s v=""/>
  </r>
  <r>
    <x v="6"/>
    <x v="3"/>
    <x v="3"/>
    <n v="152500"/>
    <s v=""/>
    <s v=""/>
    <s v=""/>
    <s v=""/>
    <s v=""/>
    <x v="3"/>
    <s v=""/>
  </r>
  <r>
    <x v="7"/>
    <x v="3"/>
    <x v="3"/>
    <n v="152500"/>
    <s v=""/>
    <s v=""/>
    <s v=""/>
    <s v=""/>
    <s v=""/>
    <x v="3"/>
    <s v=""/>
  </r>
  <r>
    <x v="8"/>
    <x v="3"/>
    <x v="3"/>
    <n v="152500"/>
    <s v=""/>
    <s v=""/>
    <s v=""/>
    <s v=""/>
    <s v=""/>
    <x v="3"/>
    <s v=""/>
  </r>
  <r>
    <x v="9"/>
    <x v="3"/>
    <x v="3"/>
    <n v="152500"/>
    <s v=""/>
    <s v=""/>
    <s v=""/>
    <s v=""/>
    <s v=""/>
    <x v="3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5700E1-A858-4899-8CB0-C785B4A51458}" name="Tableau croisé dynamique3" cacheId="54" dataOnRows="1" applyNumberFormats="0" applyBorderFormats="0" applyFontFormats="0" applyPatternFormats="0" applyAlignmentFormats="0" applyWidthHeightFormats="1" dataCaption="Valeurs" showMissing="0" updatedVersion="6" minRefreshableVersion="3" rowGrandTotals="0" colGrandTotals="0" itemPrintTitles="1" createdVersion="6" indent="0" compact="0" compactData="0" multipleFieldFilters="0" chartFormat="15">
  <location ref="P3:S8" firstHeaderRow="1" firstDataRow="3" firstDataCol="1"/>
  <pivotFields count="11">
    <pivotField axis="axisCol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compact="0" numFmtId="10" outline="0" showAll="0" defaultSubtotal="0"/>
    <pivotField compact="0" numFmtId="164" outline="0" showAll="0" defaultSubtotal="0">
      <items count="25">
        <item x="3"/>
        <item m="1" x="10"/>
        <item m="1" x="19"/>
        <item x="0"/>
        <item m="1" x="20"/>
        <item m="1" x="14"/>
        <item m="1" x="16"/>
        <item m="1" x="9"/>
        <item m="1" x="21"/>
        <item m="1" x="23"/>
        <item m="1" x="7"/>
        <item m="1" x="12"/>
        <item m="1" x="5"/>
        <item m="1" x="4"/>
        <item m="1" x="6"/>
        <item m="1" x="13"/>
        <item x="1"/>
        <item m="1" x="18"/>
        <item m="1" x="22"/>
        <item x="2"/>
        <item m="1" x="17"/>
        <item m="1" x="24"/>
        <item m="1" x="8"/>
        <item m="1" x="11"/>
        <item m="1" x="15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Col" compact="0" outline="0" showAll="0" defaultSubtotal="0">
      <items count="27">
        <item m="1" x="4"/>
        <item m="1" x="24"/>
        <item m="1" x="12"/>
        <item m="1" x="6"/>
        <item x="3"/>
        <item m="1" x="15"/>
        <item m="1" x="11"/>
        <item m="1" x="10"/>
        <item m="1" x="22"/>
        <item m="1" x="19"/>
        <item m="1" x="13"/>
        <item m="1" x="7"/>
        <item m="1" x="23"/>
        <item m="1" x="5"/>
        <item m="1" x="21"/>
        <item m="1" x="26"/>
        <item m="1" x="25"/>
        <item m="1" x="9"/>
        <item m="1" x="16"/>
        <item m="1" x="17"/>
        <item m="1" x="8"/>
        <item m="1" x="18"/>
        <item m="1" x="14"/>
        <item m="1" x="20"/>
        <item x="0"/>
        <item x="1"/>
        <item x="2"/>
      </items>
    </pivotField>
    <pivotField compact="0" outline="0" showAll="0" defaultSubtotal="0"/>
  </pivotFields>
  <rowFields count="1">
    <field x="-2"/>
  </rowFields>
  <rowItems count="3">
    <i>
      <x/>
    </i>
    <i i="1">
      <x v="1"/>
    </i>
    <i i="2">
      <x v="2"/>
    </i>
  </rowItems>
  <colFields count="2">
    <field x="0"/>
    <field x="9"/>
  </colFields>
  <colItems count="3">
    <i>
      <x/>
      <x v="24"/>
    </i>
    <i>
      <x v="2"/>
      <x v="25"/>
    </i>
    <i>
      <x v="3"/>
      <x v="26"/>
    </i>
  </colItems>
  <dataFields count="3">
    <dataField name="Somme de Néant 0%" fld="6" baseField="9" baseItem="5" numFmtId="166"/>
    <dataField name="Fiscalité à 20%" fld="7" baseField="9" baseItem="13" numFmtId="6"/>
    <dataField name="Fiscalité à 31,25%" fld="8" baseField="9" baseItem="5" numFmtId="164"/>
  </dataFields>
  <formats count="20">
    <format dxfId="188">
      <pivotArea dataOnly="0" labelOnly="1" outline="0" axis="axisValues" fieldPosition="0"/>
    </format>
    <format dxfId="189">
      <pivotArea dataOnly="0" labelOnly="1" outline="0" axis="axisValues" fieldPosition="0"/>
    </format>
    <format dxfId="190">
      <pivotArea dataOnly="0" labelOnly="1" outline="0" axis="axisValues" fieldPosition="0"/>
    </format>
    <format dxfId="191">
      <pivotArea field="0" type="button" dataOnly="0" labelOnly="1" outline="0" axis="axisCol" fieldPosition="0"/>
    </format>
    <format dxfId="19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93">
      <pivotArea field="0" type="button" dataOnly="0" labelOnly="1" outline="0" axis="axisCol" fieldPosition="0"/>
    </format>
    <format dxfId="19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95">
      <pivotArea field="0" type="button" dataOnly="0" labelOnly="1" outline="0" axis="axisCol" fieldPosition="0"/>
    </format>
    <format dxfId="19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97">
      <pivotArea outline="0" fieldPosition="0">
        <references count="1">
          <reference field="4294967294" count="1">
            <x v="2"/>
          </reference>
        </references>
      </pivotArea>
    </format>
    <format dxfId="198">
      <pivotArea outline="0" fieldPosition="0">
        <references count="1">
          <reference field="4294967294" count="1">
            <x v="0"/>
          </reference>
        </references>
      </pivotArea>
    </format>
    <format dxfId="199">
      <pivotArea outline="0" fieldPosition="0">
        <references count="1">
          <reference field="4294967294" count="1">
            <x v="1"/>
          </reference>
        </references>
      </pivotArea>
    </format>
    <format dxfId="200">
      <pivotArea outline="0" fieldPosition="0">
        <references count="1">
          <reference field="4294967294" count="1" selected="0">
            <x v="2"/>
          </reference>
        </references>
      </pivotArea>
    </format>
    <format dxfId="201">
      <pivotArea field="9" type="button" dataOnly="0" labelOnly="1" outline="0" axis="axisCol" fieldPosition="1"/>
    </format>
    <format dxfId="202">
      <pivotArea field="9" type="button" dataOnly="0" labelOnly="1" outline="0" axis="axisCol" fieldPosition="1"/>
    </format>
    <format dxfId="203">
      <pivotArea field="9" type="button" dataOnly="0" labelOnly="1" outline="0" axis="axisCol" fieldPosition="1"/>
    </format>
    <format dxfId="204">
      <pivotArea dataOnly="0" labelOnly="1" fieldPosition="0">
        <references count="2">
          <reference field="0" count="1" selected="0">
            <x v="2"/>
          </reference>
          <reference field="9" count="1">
            <x v="23"/>
          </reference>
        </references>
      </pivotArea>
    </format>
    <format dxfId="205">
      <pivotArea dataOnly="0" labelOnly="1" fieldPosition="0">
        <references count="1">
          <reference field="9" count="0"/>
        </references>
      </pivotArea>
    </format>
    <format dxfId="206">
      <pivotArea dataOnly="0" labelOnly="1" fieldPosition="0">
        <references count="2">
          <reference field="0" count="1" selected="0">
            <x v="0"/>
          </reference>
          <reference field="9" count="1">
            <x v="23"/>
          </reference>
        </references>
      </pivotArea>
    </format>
    <format dxfId="207">
      <pivotArea dataOnly="0" labelOnly="1" outline="0" fieldPosition="0">
        <references count="1">
          <reference field="9" count="1">
            <x v="23"/>
          </reference>
        </references>
      </pivotArea>
    </format>
  </formats>
  <chartFormats count="26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3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5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6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3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3" format="9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3" format="10">
      <pivotArea type="data" outline="0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chartFormat>
    <chartFormat chart="14" format="1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3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4">
      <pivotArea type="data" outline="0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9" count="1" selected="0">
            <x v="23"/>
          </reference>
        </references>
      </pivotArea>
    </chartFormat>
    <chartFormat chart="14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4" format="17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4" format="18">
      <pivotArea type="data" outline="0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chartFormat>
    <chartFormat chart="14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3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6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DDE0C-06D2-49DD-8BB2-8D8E58971E3D}" name="Tableau croisé dynamique2" cacheId="54" applyNumberFormats="0" applyBorderFormats="0" applyFontFormats="0" applyPatternFormats="0" applyAlignmentFormats="0" applyWidthHeightFormats="1" dataCaption="Valeurs" showMissing="0" updatedVersion="6" minRefreshableVersion="3" rowGrandTotals="0" colGrandTotals="0" itemPrintTitles="1" createdVersion="6" indent="0" compact="0" compactData="0" multipleFieldFilters="0" chartFormat="10">
  <location ref="F3:J6" firstHeaderRow="0" firstDataRow="1" firstDataCol="2"/>
  <pivotFields count="11"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compact="0" numFmtId="10" outline="0" showAll="0" defaultSubtotal="0"/>
    <pivotField compact="0" numFmtId="164" outline="0" showAll="0" defaultSubtotal="0">
      <items count="25">
        <item x="3"/>
        <item m="1" x="10"/>
        <item m="1" x="19"/>
        <item x="0"/>
        <item m="1" x="20"/>
        <item m="1" x="14"/>
        <item m="1" x="16"/>
        <item m="1" x="9"/>
        <item m="1" x="21"/>
        <item m="1" x="23"/>
        <item m="1" x="7"/>
        <item m="1" x="12"/>
        <item m="1" x="5"/>
        <item m="1" x="4"/>
        <item m="1" x="6"/>
        <item m="1" x="13"/>
        <item x="1"/>
        <item m="1" x="18"/>
        <item m="1" x="22"/>
        <item x="2"/>
        <item m="1" x="17"/>
        <item m="1" x="24"/>
        <item m="1" x="8"/>
        <item m="1" x="11"/>
        <item m="1" x="15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27">
        <item m="1" x="4"/>
        <item m="1" x="24"/>
        <item m="1" x="12"/>
        <item m="1" x="6"/>
        <item x="3"/>
        <item m="1" x="15"/>
        <item m="1" x="11"/>
        <item m="1" x="10"/>
        <item m="1" x="22"/>
        <item m="1" x="19"/>
        <item m="1" x="13"/>
        <item m="1" x="7"/>
        <item m="1" x="23"/>
        <item m="1" x="5"/>
        <item m="1" x="21"/>
        <item m="1" x="26"/>
        <item m="1" x="25"/>
        <item m="1" x="9"/>
        <item m="1" x="16"/>
        <item m="1" x="17"/>
        <item m="1" x="8"/>
        <item m="1" x="18"/>
        <item m="1" x="14"/>
        <item m="1" x="20"/>
        <item x="0"/>
        <item x="1"/>
        <item x="2"/>
      </items>
    </pivotField>
    <pivotField compact="0" outline="0" showAll="0" defaultSubtotal="0"/>
  </pivotFields>
  <rowFields count="2">
    <field x="0"/>
    <field x="9"/>
  </rowFields>
  <rowItems count="3">
    <i>
      <x/>
      <x v="24"/>
    </i>
    <i>
      <x v="2"/>
      <x v="25"/>
    </i>
    <i>
      <x v="3"/>
      <x v="26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éant 0%" fld="6" baseField="9" baseItem="5" numFmtId="166"/>
    <dataField name="Fiscalité à 20%" fld="7" baseField="9" baseItem="13" numFmtId="6"/>
    <dataField name="Fiscalité à 31,25%" fld="8" baseField="9" baseItem="5" numFmtId="164"/>
  </dataFields>
  <formats count="20">
    <format dxfId="212">
      <pivotArea dataOnly="0" labelOnly="1" outline="0" axis="axisValues" fieldPosition="0"/>
    </format>
    <format dxfId="213">
      <pivotArea dataOnly="0" labelOnly="1" outline="0" axis="axisValues" fieldPosition="0"/>
    </format>
    <format dxfId="214">
      <pivotArea dataOnly="0" labelOnly="1" outline="0" axis="axisValues" fieldPosition="0"/>
    </format>
    <format dxfId="215">
      <pivotArea field="0" type="button" dataOnly="0" labelOnly="1" outline="0" axis="axisRow" fieldPosition="0"/>
    </format>
    <format dxfId="21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7">
      <pivotArea field="0" type="button" dataOnly="0" labelOnly="1" outline="0" axis="axisRow" fieldPosition="0"/>
    </format>
    <format dxfId="21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9">
      <pivotArea field="0" type="button" dataOnly="0" labelOnly="1" outline="0" axis="axisRow" fieldPosition="0"/>
    </format>
    <format dxfId="22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21">
      <pivotArea outline="0" fieldPosition="0">
        <references count="1">
          <reference field="4294967294" count="1">
            <x v="2"/>
          </reference>
        </references>
      </pivotArea>
    </format>
    <format dxfId="222">
      <pivotArea outline="0" fieldPosition="0">
        <references count="1">
          <reference field="4294967294" count="1">
            <x v="0"/>
          </reference>
        </references>
      </pivotArea>
    </format>
    <format dxfId="223">
      <pivotArea outline="0" fieldPosition="0">
        <references count="1">
          <reference field="4294967294" count="1">
            <x v="1"/>
          </reference>
        </references>
      </pivotArea>
    </format>
    <format dxfId="224">
      <pivotArea outline="0" fieldPosition="0">
        <references count="1">
          <reference field="4294967294" count="1" selected="0">
            <x v="2"/>
          </reference>
        </references>
      </pivotArea>
    </format>
    <format dxfId="225">
      <pivotArea field="9" type="button" dataOnly="0" labelOnly="1" outline="0" axis="axisRow" fieldPosition="1"/>
    </format>
    <format dxfId="226">
      <pivotArea field="9" type="button" dataOnly="0" labelOnly="1" outline="0" axis="axisRow" fieldPosition="1"/>
    </format>
    <format dxfId="227">
      <pivotArea field="9" type="button" dataOnly="0" labelOnly="1" outline="0" axis="axisRow" fieldPosition="1"/>
    </format>
    <format dxfId="211">
      <pivotArea dataOnly="0" labelOnly="1" fieldPosition="0">
        <references count="2">
          <reference field="0" count="1" selected="0">
            <x v="2"/>
          </reference>
          <reference field="9" count="1">
            <x v="23"/>
          </reference>
        </references>
      </pivotArea>
    </format>
    <format dxfId="210">
      <pivotArea dataOnly="0" labelOnly="1" fieldPosition="0">
        <references count="1">
          <reference field="9" count="0"/>
        </references>
      </pivotArea>
    </format>
    <format dxfId="209">
      <pivotArea dataOnly="0" labelOnly="1" fieldPosition="0">
        <references count="2">
          <reference field="0" count="1" selected="0">
            <x v="0"/>
          </reference>
          <reference field="9" count="1">
            <x v="23"/>
          </reference>
        </references>
      </pivotArea>
    </format>
    <format dxfId="208">
      <pivotArea dataOnly="0" labelOnly="1" outline="0" fieldPosition="0">
        <references count="1">
          <reference field="9" count="1">
            <x v="23"/>
          </reference>
        </references>
      </pivotArea>
    </format>
  </formats>
  <chartFormats count="6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6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D804F-86B2-4A03-9BAF-64E2CF727DDA}" name="Tableau croisé dynamique1" cacheId="5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7">
  <location ref="A1:C4" firstHeaderRow="1" firstDataRow="1" firstDataCol="2"/>
  <pivotFields count="11"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axis="axisRow" compact="0" numFmtId="10" outline="0" showAll="0" defaultSubtotal="0">
      <items count="20">
        <item x="3"/>
        <item m="1" x="8"/>
        <item m="1" x="11"/>
        <item m="1" x="17"/>
        <item x="0"/>
        <item m="1" x="5"/>
        <item m="1" x="7"/>
        <item m="1" x="6"/>
        <item m="1" x="12"/>
        <item m="1" x="16"/>
        <item m="1" x="15"/>
        <item m="1" x="9"/>
        <item m="1" x="14"/>
        <item m="1" x="13"/>
        <item m="1" x="19"/>
        <item m="1" x="4"/>
        <item m="1" x="10"/>
        <item m="1" x="18"/>
        <item x="1"/>
        <item x="2"/>
      </items>
    </pivotField>
    <pivotField dataField="1" compact="0" numFmtId="164" outline="0" showAll="0" defaultSubtotal="0">
      <items count="25">
        <item x="3"/>
        <item m="1" x="10"/>
        <item m="1" x="19"/>
        <item x="0"/>
        <item m="1" x="20"/>
        <item m="1" x="14"/>
        <item m="1" x="16"/>
        <item m="1" x="9"/>
        <item m="1" x="21"/>
        <item m="1" x="23"/>
        <item m="1" x="7"/>
        <item m="1" x="12"/>
        <item m="1" x="5"/>
        <item m="1" x="4"/>
        <item m="1" x="6"/>
        <item m="1" x="13"/>
        <item x="1"/>
        <item m="1" x="18"/>
        <item m="1" x="22"/>
        <item x="2"/>
        <item m="1" x="17"/>
        <item m="1" x="24"/>
        <item m="1" x="8"/>
        <item m="1" x="11"/>
        <item m="1" x="15"/>
      </items>
    </pivotField>
    <pivotField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3">
    <i>
      <x/>
      <x v="4"/>
    </i>
    <i>
      <x v="2"/>
      <x v="18"/>
    </i>
    <i>
      <x v="3"/>
      <x v="19"/>
    </i>
  </rowItems>
  <colItems count="1">
    <i/>
  </colItems>
  <dataFields count="1">
    <dataField name="Somme de Capital alloué au bénéficiaire" fld="2" baseField="1" baseItem="8" numFmtId="6"/>
  </dataFields>
  <formats count="7">
    <format dxfId="234">
      <pivotArea field="0" type="button" dataOnly="0" labelOnly="1" outline="0" axis="axisRow" fieldPosition="0"/>
    </format>
    <format dxfId="233">
      <pivotArea dataOnly="0" labelOnly="1" outline="0" axis="axisValues" fieldPosition="0"/>
    </format>
    <format dxfId="232">
      <pivotArea field="0" type="button" dataOnly="0" labelOnly="1" outline="0" axis="axisRow" fieldPosition="0"/>
    </format>
    <format dxfId="231">
      <pivotArea dataOnly="0" labelOnly="1" outline="0" axis="axisValues" fieldPosition="0"/>
    </format>
    <format dxfId="230">
      <pivotArea field="0" type="button" dataOnly="0" labelOnly="1" outline="0" axis="axisRow" fieldPosition="0"/>
    </format>
    <format dxfId="229">
      <pivotArea dataOnly="0" labelOnly="1" outline="0" axis="axisValues" fieldPosition="0"/>
    </format>
    <format dxfId="228">
      <pivotArea outline="0" fieldPosition="0">
        <references count="1">
          <reference field="4294967294" count="1">
            <x v="0"/>
          </reference>
        </references>
      </pivotArea>
    </format>
  </formats>
  <chartFormats count="15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4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7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B29FF74-FA97-4EA6-8F69-837F3AEBD6A1}" sourceName="Bénéficiaires">
  <pivotTables>
    <pivotTable tabId="2" name="Tableau croisé dynamique1"/>
    <pivotTable tabId="2" name="Tableau croisé dynamique2"/>
    <pivotTable tabId="2" name="Tableau croisé dynamique3"/>
  </pivotTables>
  <data>
    <tabular pivotCacheId="1344515984" showMissing="0">
      <items count="11">
        <i x="0" s="1"/>
        <i x="1" s="1"/>
        <i x="2" s="1"/>
        <i x="9" s="1" nd="1"/>
        <i x="3" s="1" nd="1"/>
        <i x="4" s="1" nd="1"/>
        <i x="5" s="1" nd="1"/>
        <i x="6" s="1" nd="1"/>
        <i x="7" s="1" nd="1"/>
        <i x="8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pital_alloué_au_bénéficiaire" xr10:uid="{C311B9F7-64AF-456C-A407-02904B38B8ED}" sourceName="Capital alloué au bénéficiaire">
  <pivotTables>
    <pivotTable tabId="2" name="Tableau croisé dynamique1"/>
    <pivotTable tabId="2" name="Tableau croisé dynamique2"/>
    <pivotTable tabId="2" name="Tableau croisé dynamique3"/>
  </pivotTables>
  <data>
    <tabular pivotCacheId="1344515984" showMissing="0">
      <items count="25">
        <i x="0" s="1"/>
        <i x="1" s="1"/>
        <i x="2" s="1"/>
        <i x="3" s="1" nd="1"/>
        <i x="10" s="1" nd="1"/>
        <i x="19" s="1" nd="1"/>
        <i x="20" s="1" nd="1"/>
        <i x="14" s="1" nd="1"/>
        <i x="16" s="1" nd="1"/>
        <i x="9" s="1" nd="1"/>
        <i x="21" s="1" nd="1"/>
        <i x="23" s="1" nd="1"/>
        <i x="7" s="1" nd="1"/>
        <i x="12" s="1" nd="1"/>
        <i x="5" s="1" nd="1"/>
        <i x="4" s="1" nd="1"/>
        <i x="6" s="1" nd="1"/>
        <i x="13" s="1" nd="1"/>
        <i x="18" s="1" nd="1"/>
        <i x="22" s="1" nd="1"/>
        <i x="17" s="1" nd="1"/>
        <i x="24" s="1" nd="1"/>
        <i x="8" s="1" nd="1"/>
        <i x="11" s="1" nd="1"/>
        <i x="1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CE96B552-A6D0-41D1-B334-A3F5F6115B47}" cache="Segment_Bénéficiaires" caption="Bénéficiaires" rowHeight="241300"/>
  <slicer name="Capital alloué au bénéficiaire" xr10:uid="{719870C3-688C-4D4B-9F06-9F26CC649B9D}" cache="Segment_Capital_alloué_au_bénéficiaire" caption="Capital alloué au bénéficiai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zoomScale="80" zoomScaleNormal="80" workbookViewId="0">
      <selection activeCell="O18" sqref="O18"/>
    </sheetView>
  </sheetViews>
  <sheetFormatPr baseColWidth="10" defaultColWidth="11.5703125" defaultRowHeight="14.25" zeroHeight="1"/>
  <cols>
    <col min="1" max="1" width="7.140625" style="1" customWidth="1"/>
    <col min="2" max="2" width="32.85546875" style="1" customWidth="1"/>
    <col min="3" max="3" width="21.5703125" style="1" customWidth="1"/>
    <col min="4" max="4" width="23" style="1" customWidth="1"/>
    <col min="5" max="5" width="22.140625" style="1" bestFit="1" customWidth="1"/>
    <col min="6" max="6" width="20.140625" style="1" customWidth="1"/>
    <col min="7" max="7" width="19.42578125" style="1" customWidth="1"/>
    <col min="8" max="10" width="18.85546875" style="1" customWidth="1"/>
    <col min="11" max="11" width="18.42578125" style="1" customWidth="1"/>
    <col min="12" max="12" width="23.7109375" style="1" customWidth="1"/>
    <col min="13" max="13" width="7.28515625" style="1" customWidth="1"/>
    <col min="14" max="14" width="20.85546875" style="1" customWidth="1"/>
    <col min="15" max="15" width="16.5703125" style="1" customWidth="1"/>
    <col min="16" max="16" width="15.85546875" style="1" customWidth="1"/>
    <col min="17" max="17" width="5.5703125" style="1" customWidth="1"/>
    <col min="18" max="19" width="25.7109375" style="1" customWidth="1"/>
    <col min="20" max="16384" width="11.5703125" style="1"/>
  </cols>
  <sheetData>
    <row r="1" spans="2:16" ht="13.5" customHeight="1"/>
    <row r="2" spans="2:16" ht="15" thickBot="1"/>
    <row r="3" spans="2:16" ht="27.75" customHeight="1">
      <c r="B3" s="54" t="s">
        <v>31</v>
      </c>
      <c r="C3" s="66" t="s">
        <v>32</v>
      </c>
      <c r="D3" s="67"/>
    </row>
    <row r="4" spans="2:16" ht="32.25" customHeight="1">
      <c r="B4" s="55" t="s">
        <v>0</v>
      </c>
      <c r="C4" s="68" t="s">
        <v>36</v>
      </c>
      <c r="D4" s="69"/>
      <c r="N4" s="3" t="s">
        <v>17</v>
      </c>
      <c r="O4" s="3" t="s">
        <v>18</v>
      </c>
      <c r="P4" s="3" t="s">
        <v>19</v>
      </c>
    </row>
    <row r="5" spans="2:16" ht="32.25" customHeight="1">
      <c r="B5" s="55" t="s">
        <v>1</v>
      </c>
      <c r="C5" s="68" t="s">
        <v>37</v>
      </c>
      <c r="D5" s="69"/>
      <c r="N5" s="6">
        <v>0</v>
      </c>
      <c r="O5" s="6">
        <v>700000</v>
      </c>
      <c r="P5" s="4">
        <v>0.2</v>
      </c>
    </row>
    <row r="6" spans="2:16" ht="32.25" customHeight="1" thickBot="1">
      <c r="B6" s="55" t="s">
        <v>8</v>
      </c>
      <c r="C6" s="70">
        <v>2000000</v>
      </c>
      <c r="D6" s="71"/>
      <c r="N6" s="6">
        <v>700000</v>
      </c>
      <c r="O6" s="6"/>
      <c r="P6" s="5">
        <v>0.3125</v>
      </c>
    </row>
    <row r="7" spans="2:16" ht="32.25" customHeight="1" thickBot="1">
      <c r="B7" s="56" t="s">
        <v>2</v>
      </c>
      <c r="C7" s="72">
        <v>3</v>
      </c>
      <c r="D7" s="73"/>
      <c r="H7" s="61" t="s">
        <v>26</v>
      </c>
      <c r="I7" s="62"/>
      <c r="J7" s="63"/>
    </row>
    <row r="8" spans="2:16" ht="54" customHeight="1" thickBot="1">
      <c r="B8" s="52" t="s">
        <v>27</v>
      </c>
      <c r="C8" s="53" t="s">
        <v>19</v>
      </c>
      <c r="D8" s="53" t="s">
        <v>14</v>
      </c>
      <c r="E8" s="39" t="s">
        <v>25</v>
      </c>
      <c r="F8" s="39" t="s">
        <v>28</v>
      </c>
      <c r="G8" s="39" t="s">
        <v>24</v>
      </c>
      <c r="H8" s="42" t="s">
        <v>20</v>
      </c>
      <c r="I8" s="42">
        <v>0.2</v>
      </c>
      <c r="J8" s="43">
        <v>0.3125</v>
      </c>
      <c r="K8" s="40" t="s">
        <v>16</v>
      </c>
      <c r="L8" s="41" t="s">
        <v>15</v>
      </c>
      <c r="N8" s="10" t="s">
        <v>21</v>
      </c>
      <c r="O8" s="7">
        <f>SUM(C9:C18)</f>
        <v>1</v>
      </c>
    </row>
    <row r="9" spans="2:16" ht="25.15" customHeight="1">
      <c r="B9" s="50" t="s">
        <v>3</v>
      </c>
      <c r="C9" s="18">
        <v>0.1</v>
      </c>
      <c r="D9" s="13">
        <f t="shared" ref="D9:D12" si="0">IF(C9=0%,0,$C$6*C9)</f>
        <v>200000</v>
      </c>
      <c r="E9" s="19">
        <v>152500</v>
      </c>
      <c r="F9" s="20">
        <f>IF(C9=0%,"",IF((E9-D9)&lt;=0,0,E9-D9))</f>
        <v>0</v>
      </c>
      <c r="G9" s="21">
        <f>IF(C9=0%,"",IF(D9-E9&lt;0,"Néant",D9-E9))</f>
        <v>47500</v>
      </c>
      <c r="H9" s="44">
        <f>IF(OR(C9=0%,G9="Néant"),"",IF(G9&lt;=0,0,0))</f>
        <v>0</v>
      </c>
      <c r="I9" s="44">
        <f>IF(OR(C9=0%,G9="Néant"),"",IF(AND(G9&gt;$N$5,G9&lt;$O$5),G9*$P$5,IF(G9&gt;$O$5,$O$5*$P$5,"")))</f>
        <v>9500</v>
      </c>
      <c r="J9" s="45" t="str">
        <f>IF(OR(C9=0%,G9="Néant"),"",IF(G9&gt;$O$5,(G9-$O$5)*$P$6,""))</f>
        <v/>
      </c>
      <c r="K9" s="26">
        <f>IF(C9=0%,"",SUM(H9:J9))</f>
        <v>9500</v>
      </c>
      <c r="L9" s="22">
        <f>IF(C9=0%,"",D9-K9)</f>
        <v>190500</v>
      </c>
      <c r="N9" s="11" t="s">
        <v>23</v>
      </c>
      <c r="O9" s="7">
        <f>100%-O8</f>
        <v>0</v>
      </c>
    </row>
    <row r="10" spans="2:16" ht="25.15" customHeight="1">
      <c r="B10" s="50" t="s">
        <v>4</v>
      </c>
      <c r="C10" s="12">
        <v>0.35</v>
      </c>
      <c r="D10" s="13">
        <f t="shared" si="0"/>
        <v>700000</v>
      </c>
      <c r="E10" s="13">
        <f>IF(C10="","",152500)</f>
        <v>152500</v>
      </c>
      <c r="F10" s="17">
        <f t="shared" ref="F10:F18" si="1">IF(C10=0%,"",IF((E10-D10)&lt;=0,0,E10-D10))</f>
        <v>0</v>
      </c>
      <c r="G10" s="57">
        <f t="shared" ref="G10:G18" si="2">IF(C10=0%,"",IF(D10-E10&lt;0,"Néant",D10-E10))</f>
        <v>547500</v>
      </c>
      <c r="H10" s="46">
        <f t="shared" ref="H10:H18" si="3">IF(OR(C10=0%,G10="Néant"),"",IF(G10&lt;=0,0,0))</f>
        <v>0</v>
      </c>
      <c r="I10" s="46">
        <f>IF(OR(C10=0%,G10="Néant"),"",IF(AND(G10&gt;$N$5,G10&lt;$O$5),G10*$P$5,IF(G10&gt;$O$5,$O$5*$P$5,"")))</f>
        <v>109500</v>
      </c>
      <c r="J10" s="47" t="str">
        <f t="shared" ref="J10:J18" si="4">IF(OR(C10=0%,G10="Néant"),"",IF(G10&gt;$O$5,(G10-$O$5)*$P$6,""))</f>
        <v/>
      </c>
      <c r="K10" s="27">
        <f t="shared" ref="K10:K18" si="5">IF(C10=0%,"",SUM(H10:J10))</f>
        <v>109500</v>
      </c>
      <c r="L10" s="15">
        <f t="shared" ref="L10:L18" si="6">IF(C10=0%,"",D10-K10)</f>
        <v>590500</v>
      </c>
      <c r="N10" s="65" t="s">
        <v>22</v>
      </c>
      <c r="O10" s="60">
        <f>COUNTIF(C9:C18,"&gt;0")</f>
        <v>3</v>
      </c>
    </row>
    <row r="11" spans="2:16" ht="25.15" customHeight="1">
      <c r="B11" s="50" t="s">
        <v>5</v>
      </c>
      <c r="C11" s="8">
        <v>0.55000000000000004</v>
      </c>
      <c r="D11" s="13">
        <f t="shared" si="0"/>
        <v>1100000</v>
      </c>
      <c r="E11" s="13">
        <f t="shared" ref="E11:E18" si="7">IF(C11="","",152500)</f>
        <v>152500</v>
      </c>
      <c r="F11" s="17">
        <f t="shared" si="1"/>
        <v>0</v>
      </c>
      <c r="G11" s="14">
        <f t="shared" si="2"/>
        <v>947500</v>
      </c>
      <c r="H11" s="46">
        <f t="shared" si="3"/>
        <v>0</v>
      </c>
      <c r="I11" s="46">
        <f t="shared" ref="I11:I17" si="8">IF(OR(C11=0%,G11="Néant"),"",IF(AND(G11&gt;$N$5,G11&lt;$O$5),G11*$P$5,IF(G11&gt;$O$5,$O$5*$P$5,"")))</f>
        <v>140000</v>
      </c>
      <c r="J11" s="47">
        <f t="shared" si="4"/>
        <v>77343.75</v>
      </c>
      <c r="K11" s="27">
        <f t="shared" si="5"/>
        <v>217343.75</v>
      </c>
      <c r="L11" s="15">
        <f t="shared" si="6"/>
        <v>882656.25</v>
      </c>
      <c r="N11" s="65"/>
      <c r="O11" s="60"/>
    </row>
    <row r="12" spans="2:16" ht="25.15" customHeight="1">
      <c r="B12" s="50" t="s">
        <v>6</v>
      </c>
      <c r="C12" s="8">
        <v>0</v>
      </c>
      <c r="D12" s="13">
        <f t="shared" si="0"/>
        <v>0</v>
      </c>
      <c r="E12" s="13">
        <f t="shared" si="7"/>
        <v>152500</v>
      </c>
      <c r="F12" s="17" t="str">
        <f t="shared" si="1"/>
        <v/>
      </c>
      <c r="G12" s="14" t="str">
        <f t="shared" si="2"/>
        <v/>
      </c>
      <c r="H12" s="46" t="str">
        <f t="shared" si="3"/>
        <v/>
      </c>
      <c r="I12" s="46" t="str">
        <f t="shared" si="8"/>
        <v/>
      </c>
      <c r="J12" s="47" t="str">
        <f t="shared" si="4"/>
        <v/>
      </c>
      <c r="K12" s="27" t="str">
        <f t="shared" si="5"/>
        <v/>
      </c>
      <c r="L12" s="15" t="str">
        <f t="shared" si="6"/>
        <v/>
      </c>
    </row>
    <row r="13" spans="2:16" ht="25.15" customHeight="1">
      <c r="B13" s="50" t="s">
        <v>7</v>
      </c>
      <c r="C13" s="8">
        <v>0</v>
      </c>
      <c r="D13" s="13">
        <f>IF(C13=0%,0,$C$6*C13)</f>
        <v>0</v>
      </c>
      <c r="E13" s="13">
        <f t="shared" si="7"/>
        <v>152500</v>
      </c>
      <c r="F13" s="17" t="str">
        <f t="shared" si="1"/>
        <v/>
      </c>
      <c r="G13" s="14" t="str">
        <f t="shared" si="2"/>
        <v/>
      </c>
      <c r="H13" s="46" t="str">
        <f t="shared" si="3"/>
        <v/>
      </c>
      <c r="I13" s="46" t="str">
        <f t="shared" si="8"/>
        <v/>
      </c>
      <c r="J13" s="47" t="str">
        <f t="shared" si="4"/>
        <v/>
      </c>
      <c r="K13" s="27" t="str">
        <f t="shared" si="5"/>
        <v/>
      </c>
      <c r="L13" s="15" t="str">
        <f t="shared" si="6"/>
        <v/>
      </c>
    </row>
    <row r="14" spans="2:16" ht="25.15" customHeight="1">
      <c r="B14" s="50" t="s">
        <v>9</v>
      </c>
      <c r="C14" s="8">
        <v>0</v>
      </c>
      <c r="D14" s="13">
        <f t="shared" ref="D14:D18" si="9">IF(C14=0%,0,$C$6*C14)</f>
        <v>0</v>
      </c>
      <c r="E14" s="13">
        <f t="shared" si="7"/>
        <v>152500</v>
      </c>
      <c r="F14" s="17" t="str">
        <f t="shared" si="1"/>
        <v/>
      </c>
      <c r="G14" s="14" t="str">
        <f t="shared" si="2"/>
        <v/>
      </c>
      <c r="H14" s="46" t="str">
        <f t="shared" si="3"/>
        <v/>
      </c>
      <c r="I14" s="46" t="str">
        <f t="shared" si="8"/>
        <v/>
      </c>
      <c r="J14" s="47" t="str">
        <f t="shared" si="4"/>
        <v/>
      </c>
      <c r="K14" s="27" t="str">
        <f t="shared" si="5"/>
        <v/>
      </c>
      <c r="L14" s="15" t="str">
        <f t="shared" si="6"/>
        <v/>
      </c>
    </row>
    <row r="15" spans="2:16" ht="25.15" customHeight="1">
      <c r="B15" s="50" t="s">
        <v>10</v>
      </c>
      <c r="C15" s="8">
        <v>0</v>
      </c>
      <c r="D15" s="13">
        <f t="shared" si="9"/>
        <v>0</v>
      </c>
      <c r="E15" s="13">
        <f t="shared" si="7"/>
        <v>152500</v>
      </c>
      <c r="F15" s="17" t="str">
        <f t="shared" si="1"/>
        <v/>
      </c>
      <c r="G15" s="14" t="str">
        <f t="shared" si="2"/>
        <v/>
      </c>
      <c r="H15" s="46" t="str">
        <f t="shared" si="3"/>
        <v/>
      </c>
      <c r="I15" s="46" t="str">
        <f t="shared" si="8"/>
        <v/>
      </c>
      <c r="J15" s="47" t="str">
        <f t="shared" si="4"/>
        <v/>
      </c>
      <c r="K15" s="27" t="str">
        <f t="shared" si="5"/>
        <v/>
      </c>
      <c r="L15" s="15" t="str">
        <f t="shared" si="6"/>
        <v/>
      </c>
    </row>
    <row r="16" spans="2:16" ht="25.15" customHeight="1">
      <c r="B16" s="50" t="s">
        <v>11</v>
      </c>
      <c r="C16" s="8">
        <v>0</v>
      </c>
      <c r="D16" s="13">
        <f t="shared" si="9"/>
        <v>0</v>
      </c>
      <c r="E16" s="13">
        <f t="shared" si="7"/>
        <v>152500</v>
      </c>
      <c r="F16" s="17" t="str">
        <f t="shared" si="1"/>
        <v/>
      </c>
      <c r="G16" s="14" t="str">
        <f t="shared" si="2"/>
        <v/>
      </c>
      <c r="H16" s="46" t="str">
        <f t="shared" si="3"/>
        <v/>
      </c>
      <c r="I16" s="46" t="str">
        <f t="shared" si="8"/>
        <v/>
      </c>
      <c r="J16" s="47" t="str">
        <f t="shared" si="4"/>
        <v/>
      </c>
      <c r="K16" s="27" t="str">
        <f t="shared" si="5"/>
        <v/>
      </c>
      <c r="L16" s="15" t="str">
        <f t="shared" si="6"/>
        <v/>
      </c>
    </row>
    <row r="17" spans="2:12" ht="25.15" customHeight="1">
      <c r="B17" s="50" t="s">
        <v>12</v>
      </c>
      <c r="C17" s="8">
        <v>0</v>
      </c>
      <c r="D17" s="13">
        <f t="shared" si="9"/>
        <v>0</v>
      </c>
      <c r="E17" s="13">
        <f t="shared" si="7"/>
        <v>152500</v>
      </c>
      <c r="F17" s="17" t="str">
        <f t="shared" si="1"/>
        <v/>
      </c>
      <c r="G17" s="14" t="str">
        <f t="shared" si="2"/>
        <v/>
      </c>
      <c r="H17" s="46" t="str">
        <f t="shared" si="3"/>
        <v/>
      </c>
      <c r="I17" s="46" t="str">
        <f t="shared" si="8"/>
        <v/>
      </c>
      <c r="J17" s="47" t="str">
        <f t="shared" si="4"/>
        <v/>
      </c>
      <c r="K17" s="27" t="str">
        <f t="shared" si="5"/>
        <v/>
      </c>
      <c r="L17" s="15" t="str">
        <f t="shared" si="6"/>
        <v/>
      </c>
    </row>
    <row r="18" spans="2:12" ht="25.15" customHeight="1" thickBot="1">
      <c r="B18" s="51" t="s">
        <v>13</v>
      </c>
      <c r="C18" s="9">
        <v>0</v>
      </c>
      <c r="D18" s="16">
        <f t="shared" si="9"/>
        <v>0</v>
      </c>
      <c r="E18" s="16">
        <f t="shared" si="7"/>
        <v>152500</v>
      </c>
      <c r="F18" s="23" t="str">
        <f t="shared" si="1"/>
        <v/>
      </c>
      <c r="G18" s="24" t="str">
        <f t="shared" si="2"/>
        <v/>
      </c>
      <c r="H18" s="48" t="str">
        <f t="shared" si="3"/>
        <v/>
      </c>
      <c r="I18" s="48" t="str">
        <f t="shared" ref="I18" si="10">IF(OR(C18=0%,G18="Néant"),"",IF(AND(G18&gt;$N$5,F18&lt;$O$5),G18*$P$5,IF(G18&gt;$O$5,$O$5*$P$5,"")))</f>
        <v/>
      </c>
      <c r="J18" s="49" t="str">
        <f t="shared" si="4"/>
        <v/>
      </c>
      <c r="K18" s="28" t="str">
        <f t="shared" si="5"/>
        <v/>
      </c>
      <c r="L18" s="25" t="str">
        <f t="shared" si="6"/>
        <v/>
      </c>
    </row>
    <row r="19" spans="2:12"/>
    <row r="20" spans="2:12"/>
    <row r="21" spans="2:12">
      <c r="B21" s="64"/>
      <c r="C21" s="64"/>
      <c r="D21" s="64"/>
      <c r="E21" s="64"/>
      <c r="F21" s="64"/>
      <c r="G21" s="64"/>
      <c r="H21" s="64"/>
      <c r="I21" s="64"/>
      <c r="J21" s="64"/>
      <c r="K21" s="64"/>
    </row>
    <row r="22" spans="2:12">
      <c r="B22" s="64"/>
      <c r="C22" s="64"/>
      <c r="D22" s="64"/>
      <c r="E22" s="64"/>
      <c r="F22" s="64"/>
      <c r="G22" s="64"/>
      <c r="H22" s="64"/>
      <c r="I22" s="64"/>
      <c r="J22" s="64"/>
      <c r="K22" s="64"/>
    </row>
    <row r="23" spans="2:12"/>
    <row r="24" spans="2:12" ht="35.25" hidden="1" customHeight="1"/>
    <row r="25" spans="2:12" ht="35.25" hidden="1" customHeight="1"/>
    <row r="26" spans="2:12" ht="35.25" hidden="1" customHeight="1"/>
    <row r="27" spans="2:12" ht="35.25" hidden="1" customHeight="1">
      <c r="E27" s="2"/>
    </row>
    <row r="28" spans="2:12" ht="35.25" hidden="1" customHeight="1"/>
    <row r="29" spans="2:12" ht="35.25" hidden="1" customHeight="1"/>
    <row r="30" spans="2:12" ht="35.25" hidden="1" customHeight="1"/>
    <row r="31" spans="2:12" ht="35.25" hidden="1" customHeight="1"/>
    <row r="32" spans="2:12" ht="35.25" hidden="1" customHeight="1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237" priority="4">
      <formula>$O$8&lt;&gt;100%</formula>
    </cfRule>
  </conditionalFormatting>
  <conditionalFormatting sqref="C7">
    <cfRule type="expression" dxfId="236" priority="5">
      <formula>$O$10&lt;&gt;$C$7</formula>
    </cfRule>
  </conditionalFormatting>
  <conditionalFormatting sqref="O9">
    <cfRule type="expression" dxfId="235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abSelected="1" zoomScaleNormal="100" workbookViewId="0"/>
  </sheetViews>
  <sheetFormatPr baseColWidth="10" defaultRowHeight="15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9C98-E3EC-4369-B917-AF62A2B27200}">
  <sheetPr codeName="Feuil2">
    <tabColor theme="5" tint="0.39997558519241921"/>
  </sheetPr>
  <dimension ref="A1:S11"/>
  <sheetViews>
    <sheetView topLeftCell="M1" workbookViewId="0">
      <selection activeCell="T25" sqref="T25"/>
    </sheetView>
  </sheetViews>
  <sheetFormatPr baseColWidth="10" defaultRowHeight="15"/>
  <cols>
    <col min="1" max="1" width="22.7109375" customWidth="1"/>
    <col min="2" max="2" width="17.85546875" customWidth="1"/>
    <col min="3" max="3" width="17.42578125" customWidth="1"/>
    <col min="6" max="6" width="28.5703125" customWidth="1"/>
    <col min="7" max="7" width="18.7109375" customWidth="1"/>
    <col min="8" max="8" width="12.140625" customWidth="1"/>
    <col min="9" max="9" width="12.7109375" customWidth="1"/>
    <col min="10" max="10" width="13.5703125" customWidth="1"/>
    <col min="13" max="13" width="25" customWidth="1"/>
    <col min="14" max="14" width="31.140625" customWidth="1"/>
    <col min="15" max="15" width="14.5703125" customWidth="1"/>
    <col min="16" max="16" width="22.140625" customWidth="1"/>
    <col min="17" max="17" width="20.140625" customWidth="1"/>
    <col min="18" max="18" width="20.5703125" customWidth="1"/>
    <col min="19" max="20" width="13.85546875" customWidth="1"/>
  </cols>
  <sheetData>
    <row r="1" spans="1:19" ht="45">
      <c r="A1" s="30" t="s">
        <v>27</v>
      </c>
      <c r="B1" s="29" t="s">
        <v>19</v>
      </c>
      <c r="C1" s="31" t="s">
        <v>29</v>
      </c>
      <c r="M1" s="33" t="s">
        <v>33</v>
      </c>
      <c r="N1" s="34" t="str">
        <f>Accueil!C3&amp;" "&amp;Accueil!C4&amp;" "&amp;Accueil!C5</f>
        <v>Monsieur BERTRAND Axel</v>
      </c>
    </row>
    <row r="2" spans="1:19" ht="21" customHeight="1">
      <c r="A2" t="s">
        <v>3</v>
      </c>
      <c r="B2" s="38">
        <v>0.1</v>
      </c>
      <c r="C2" s="58">
        <v>200000</v>
      </c>
      <c r="M2" s="33" t="s">
        <v>34</v>
      </c>
      <c r="N2" s="35">
        <f ca="1">TODAY()</f>
        <v>43952</v>
      </c>
    </row>
    <row r="3" spans="1:19" ht="30">
      <c r="A3" t="s">
        <v>4</v>
      </c>
      <c r="B3" s="38">
        <v>0.35</v>
      </c>
      <c r="C3" s="58">
        <v>700000</v>
      </c>
      <c r="F3" s="30" t="s">
        <v>27</v>
      </c>
      <c r="G3" s="30" t="s">
        <v>16</v>
      </c>
      <c r="H3" s="31" t="s">
        <v>30</v>
      </c>
      <c r="I3" s="31" t="s">
        <v>38</v>
      </c>
      <c r="J3" s="31" t="s">
        <v>39</v>
      </c>
      <c r="M3" s="33" t="str">
        <f>Accueil!B6</f>
        <v>Capital Total Investi</v>
      </c>
      <c r="N3" s="37">
        <f>Accueil!C6</f>
        <v>2000000</v>
      </c>
      <c r="Q3" s="30" t="s">
        <v>27</v>
      </c>
      <c r="R3" s="30" t="s">
        <v>16</v>
      </c>
    </row>
    <row r="4" spans="1:19" ht="21" customHeight="1">
      <c r="A4" t="s">
        <v>5</v>
      </c>
      <c r="B4" s="38">
        <v>0.55000000000000004</v>
      </c>
      <c r="C4" s="58">
        <v>1100000</v>
      </c>
      <c r="F4" t="s">
        <v>3</v>
      </c>
      <c r="G4" s="74">
        <v>9500</v>
      </c>
      <c r="H4" s="32">
        <v>0</v>
      </c>
      <c r="I4" s="58">
        <v>9500</v>
      </c>
      <c r="J4" s="59">
        <v>0</v>
      </c>
      <c r="M4" s="33" t="s">
        <v>35</v>
      </c>
      <c r="N4" s="36">
        <f>Accueil!C7</f>
        <v>3</v>
      </c>
      <c r="Q4" t="s">
        <v>3</v>
      </c>
      <c r="R4" t="s">
        <v>4</v>
      </c>
      <c r="S4" t="s">
        <v>5</v>
      </c>
    </row>
    <row r="5" spans="1:19" ht="21" customHeight="1">
      <c r="F5" t="s">
        <v>4</v>
      </c>
      <c r="G5" s="74">
        <v>109500</v>
      </c>
      <c r="H5" s="32">
        <v>0</v>
      </c>
      <c r="I5" s="58">
        <v>109500</v>
      </c>
      <c r="J5" s="59">
        <v>0</v>
      </c>
      <c r="P5" s="29" t="s">
        <v>40</v>
      </c>
      <c r="Q5" s="74">
        <v>9500</v>
      </c>
      <c r="R5" s="74">
        <v>109500</v>
      </c>
      <c r="S5" s="74">
        <v>217343.75</v>
      </c>
    </row>
    <row r="6" spans="1:19">
      <c r="F6" t="s">
        <v>5</v>
      </c>
      <c r="G6" s="74">
        <v>217343.75</v>
      </c>
      <c r="H6" s="32">
        <v>0</v>
      </c>
      <c r="I6" s="58">
        <v>140000</v>
      </c>
      <c r="J6" s="59">
        <v>77343.75</v>
      </c>
      <c r="P6" s="31" t="s">
        <v>30</v>
      </c>
      <c r="Q6" s="32">
        <v>0</v>
      </c>
      <c r="R6" s="32">
        <v>0</v>
      </c>
      <c r="S6" s="32">
        <v>0</v>
      </c>
    </row>
    <row r="7" spans="1:19">
      <c r="P7" s="31" t="s">
        <v>38</v>
      </c>
      <c r="Q7" s="58">
        <v>9500</v>
      </c>
      <c r="R7" s="58">
        <v>109500</v>
      </c>
      <c r="S7" s="58">
        <v>140000</v>
      </c>
    </row>
    <row r="8" spans="1:19">
      <c r="P8" s="31" t="s">
        <v>39</v>
      </c>
      <c r="Q8" s="59">
        <v>0</v>
      </c>
      <c r="R8" s="59">
        <v>0</v>
      </c>
      <c r="S8" s="59">
        <v>77343.75</v>
      </c>
    </row>
    <row r="9" spans="1:19" ht="21" customHeight="1"/>
    <row r="10" spans="1:19" ht="21" customHeight="1"/>
    <row r="11" spans="1:19" ht="21" customHeight="1"/>
  </sheetData>
  <pageMargins left="0.7" right="0.7" top="0.75" bottom="0.75" header="0.3" footer="0.3"/>
  <pageSetup paperSize="9"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TDB</vt:lpstr>
      <vt:lpstr>Données-Graph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2020-05-01T19:26:00Z</dcterms:modified>
</cp:coreProperties>
</file>