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 defaultThemeVersion="124226"/>
  <bookViews>
    <workbookView xWindow="0" yWindow="0" windowWidth="24360" windowHeight="6660" tabRatio="765" activeTab="2"/>
  </bookViews>
  <sheets>
    <sheet name="Liste des médecins" sheetId="4" r:id="rId1"/>
    <sheet name="Encodage des gardes" sheetId="3" r:id="rId2"/>
    <sheet name="Historique des gardes" sheetId="1" r:id="rId3"/>
    <sheet name="Paiement des médecins" sheetId="2" r:id="rId4"/>
  </sheets>
  <externalReferences>
    <externalReference r:id="rId5"/>
  </externalReferences>
  <definedNames>
    <definedName name="typesdactes">'[1]Encodage des gardes'!$S$31:$S$48</definedName>
  </definedNames>
  <calcPr calcId="145621"/>
  <pivotCaches>
    <pivotCache cacheId="0" r:id="rId6"/>
  </pivotCaches>
</workbook>
</file>

<file path=xl/calcChain.xml><?xml version="1.0" encoding="utf-8"?>
<calcChain xmlns="http://schemas.openxmlformats.org/spreadsheetml/2006/main">
  <c r="M57" i="3" l="1"/>
  <c r="N57" i="3" s="1"/>
  <c r="P57" i="3" s="1"/>
  <c r="G57" i="3"/>
  <c r="M56" i="3"/>
  <c r="N56" i="3" s="1"/>
  <c r="P56" i="3" s="1"/>
  <c r="G56" i="3"/>
  <c r="M55" i="3"/>
  <c r="N55" i="3" s="1"/>
  <c r="P55" i="3" s="1"/>
  <c r="G55" i="3"/>
  <c r="M54" i="3"/>
  <c r="N54" i="3" s="1"/>
  <c r="P54" i="3" s="1"/>
  <c r="G54" i="3"/>
  <c r="M53" i="3"/>
  <c r="N53" i="3" s="1"/>
  <c r="P53" i="3" s="1"/>
  <c r="G53" i="3"/>
  <c r="M52" i="3"/>
  <c r="N52" i="3" s="1"/>
  <c r="P52" i="3" s="1"/>
  <c r="G52" i="3"/>
  <c r="M51" i="3"/>
  <c r="N51" i="3" s="1"/>
  <c r="P51" i="3" s="1"/>
  <c r="G51" i="3"/>
  <c r="M50" i="3"/>
  <c r="N50" i="3" s="1"/>
  <c r="P50" i="3" s="1"/>
  <c r="G50" i="3"/>
  <c r="M49" i="3"/>
  <c r="N49" i="3" s="1"/>
  <c r="P49" i="3" s="1"/>
  <c r="G49" i="3"/>
  <c r="V48" i="3"/>
  <c r="G48" i="3"/>
  <c r="M48" i="3" s="1"/>
  <c r="N48" i="3" s="1"/>
  <c r="P48" i="3" s="1"/>
  <c r="V47" i="3"/>
  <c r="G47" i="3"/>
  <c r="M47" i="3" s="1"/>
  <c r="N47" i="3" s="1"/>
  <c r="P47" i="3" s="1"/>
  <c r="V46" i="3"/>
  <c r="G46" i="3"/>
  <c r="M46" i="3" s="1"/>
  <c r="N46" i="3" s="1"/>
  <c r="P46" i="3" s="1"/>
  <c r="V45" i="3"/>
  <c r="M45" i="3"/>
  <c r="N45" i="3" s="1"/>
  <c r="P45" i="3" s="1"/>
  <c r="G45" i="3"/>
  <c r="V44" i="3"/>
  <c r="G44" i="3"/>
  <c r="M44" i="3" s="1"/>
  <c r="N44" i="3" s="1"/>
  <c r="P44" i="3" s="1"/>
  <c r="V43" i="3"/>
  <c r="G43" i="3"/>
  <c r="M43" i="3" s="1"/>
  <c r="N43" i="3" s="1"/>
  <c r="P43" i="3" s="1"/>
  <c r="V42" i="3"/>
  <c r="G42" i="3"/>
  <c r="M42" i="3" s="1"/>
  <c r="N42" i="3" s="1"/>
  <c r="P42" i="3" s="1"/>
  <c r="V41" i="3"/>
  <c r="M41" i="3"/>
  <c r="N41" i="3" s="1"/>
  <c r="P41" i="3" s="1"/>
  <c r="G41" i="3"/>
  <c r="V40" i="3"/>
  <c r="G40" i="3"/>
  <c r="M40" i="3" s="1"/>
  <c r="N40" i="3" s="1"/>
  <c r="P40" i="3" s="1"/>
  <c r="V39" i="3"/>
  <c r="G39" i="3"/>
  <c r="M39" i="3" s="1"/>
  <c r="N39" i="3" s="1"/>
  <c r="P39" i="3" s="1"/>
  <c r="V38" i="3"/>
  <c r="G38" i="3"/>
  <c r="M38" i="3" s="1"/>
  <c r="N38" i="3" s="1"/>
  <c r="P38" i="3" s="1"/>
  <c r="V37" i="3"/>
  <c r="M37" i="3"/>
  <c r="N37" i="3" s="1"/>
  <c r="P37" i="3" s="1"/>
  <c r="G37" i="3"/>
  <c r="V36" i="3"/>
  <c r="G36" i="3"/>
  <c r="M36" i="3" s="1"/>
  <c r="N36" i="3" s="1"/>
  <c r="P36" i="3" s="1"/>
  <c r="V35" i="3"/>
  <c r="G35" i="3"/>
  <c r="M35" i="3" s="1"/>
  <c r="N35" i="3" s="1"/>
  <c r="P35" i="3" s="1"/>
  <c r="V34" i="3"/>
  <c r="G34" i="3"/>
  <c r="M34" i="3" s="1"/>
  <c r="N34" i="3" s="1"/>
  <c r="P34" i="3" s="1"/>
  <c r="V33" i="3"/>
  <c r="M33" i="3"/>
  <c r="N33" i="3" s="1"/>
  <c r="P33" i="3" s="1"/>
  <c r="G33" i="3"/>
  <c r="V32" i="3"/>
  <c r="N32" i="3"/>
  <c r="P32" i="3" s="1"/>
  <c r="M32" i="3"/>
  <c r="G32" i="3"/>
  <c r="V31" i="3"/>
  <c r="G31" i="3"/>
  <c r="M31" i="3" s="1"/>
  <c r="N31" i="3" s="1"/>
  <c r="P31" i="3" s="1"/>
  <c r="G30" i="3"/>
  <c r="M30" i="3" s="1"/>
  <c r="N30" i="3" s="1"/>
  <c r="P30" i="3" s="1"/>
  <c r="G29" i="3"/>
  <c r="M29" i="3" s="1"/>
  <c r="N29" i="3" s="1"/>
  <c r="P29" i="3" s="1"/>
  <c r="G28" i="3"/>
  <c r="M28" i="3" s="1"/>
  <c r="N28" i="3" s="1"/>
  <c r="P28" i="3" s="1"/>
  <c r="M27" i="3"/>
  <c r="N27" i="3" s="1"/>
  <c r="P27" i="3" s="1"/>
  <c r="G27" i="3"/>
  <c r="N26" i="3"/>
  <c r="P26" i="3" s="1"/>
  <c r="M26" i="3"/>
  <c r="G26" i="3"/>
  <c r="V25" i="3"/>
  <c r="T25" i="3"/>
  <c r="G25" i="3"/>
  <c r="M25" i="3" s="1"/>
  <c r="N25" i="3" s="1"/>
  <c r="P25" i="3" s="1"/>
  <c r="V24" i="3"/>
  <c r="V26" i="3" s="1"/>
  <c r="T24" i="3"/>
  <c r="N24" i="3"/>
  <c r="P24" i="3" s="1"/>
  <c r="M24" i="3"/>
  <c r="G24" i="3"/>
  <c r="N23" i="3"/>
  <c r="P23" i="3" s="1"/>
  <c r="M23" i="3"/>
  <c r="G23" i="3"/>
  <c r="N22" i="3"/>
  <c r="P22" i="3" s="1"/>
  <c r="M22" i="3"/>
  <c r="G22" i="3"/>
  <c r="G21" i="3"/>
  <c r="M21" i="3" s="1"/>
  <c r="N21" i="3" s="1"/>
  <c r="P21" i="3" s="1"/>
  <c r="V20" i="3"/>
  <c r="T20" i="3"/>
  <c r="M20" i="3"/>
  <c r="N20" i="3" s="1"/>
  <c r="P20" i="3" s="1"/>
  <c r="G20" i="3"/>
  <c r="V19" i="3"/>
  <c r="T19" i="3"/>
  <c r="G19" i="3"/>
  <c r="M19" i="3" s="1"/>
  <c r="N19" i="3" s="1"/>
  <c r="P19" i="3" s="1"/>
  <c r="V18" i="3"/>
  <c r="T18" i="3"/>
  <c r="M18" i="3"/>
  <c r="N18" i="3" s="1"/>
  <c r="P18" i="3" s="1"/>
  <c r="G18" i="3"/>
  <c r="V17" i="3"/>
  <c r="G17" i="3"/>
  <c r="M17" i="3" s="1"/>
  <c r="N17" i="3" s="1"/>
  <c r="P17" i="3" s="1"/>
  <c r="V16" i="3"/>
  <c r="M16" i="3"/>
  <c r="N16" i="3" s="1"/>
  <c r="P16" i="3" s="1"/>
  <c r="G16" i="3"/>
  <c r="M15" i="3"/>
  <c r="N15" i="3" s="1"/>
  <c r="P15" i="3" s="1"/>
  <c r="G15" i="3"/>
  <c r="M14" i="3"/>
  <c r="N14" i="3" s="1"/>
  <c r="P14" i="3" s="1"/>
  <c r="G14" i="3"/>
  <c r="M13" i="3"/>
  <c r="N13" i="3" s="1"/>
  <c r="P13" i="3" s="1"/>
  <c r="G13" i="3"/>
  <c r="M12" i="3"/>
  <c r="N12" i="3" s="1"/>
  <c r="P12" i="3" s="1"/>
  <c r="G12" i="3"/>
  <c r="M11" i="3"/>
  <c r="N11" i="3" s="1"/>
  <c r="G11" i="3"/>
  <c r="M10" i="3"/>
  <c r="N10" i="3" s="1"/>
  <c r="G10" i="3"/>
  <c r="S14" i="1"/>
  <c r="S13" i="1"/>
  <c r="S12" i="1"/>
  <c r="S11" i="1"/>
  <c r="S10" i="1"/>
  <c r="S9" i="1"/>
  <c r="S8" i="1"/>
  <c r="S7" i="1"/>
  <c r="S6" i="1"/>
  <c r="P11" i="3" l="1"/>
  <c r="T16" i="3"/>
  <c r="P10" i="3"/>
  <c r="T21" i="3"/>
  <c r="T17" i="3"/>
  <c r="V27" i="3" l="1"/>
  <c r="T27" i="3"/>
</calcChain>
</file>

<file path=xl/sharedStrings.xml><?xml version="1.0" encoding="utf-8"?>
<sst xmlns="http://schemas.openxmlformats.org/spreadsheetml/2006/main" count="176" uniqueCount="107">
  <si>
    <t>HISTORIQUE DES GARDES</t>
  </si>
  <si>
    <t>Recherche :</t>
  </si>
  <si>
    <t>Date</t>
  </si>
  <si>
    <t>Code Garde</t>
  </si>
  <si>
    <t>Médecin</t>
  </si>
  <si>
    <t>Type d'acte</t>
  </si>
  <si>
    <t>Montant de base</t>
  </si>
  <si>
    <t>Patient</t>
  </si>
  <si>
    <t>Coordonnées Institution</t>
  </si>
  <si>
    <t>Type de paiement</t>
  </si>
  <si>
    <t>Type de différé</t>
  </si>
  <si>
    <t>Attestation récupérée</t>
  </si>
  <si>
    <t>Montant disponible à la fin de la garde</t>
  </si>
  <si>
    <t>Ticket modérateur</t>
  </si>
  <si>
    <t>Date de paiement TM</t>
  </si>
  <si>
    <t>Montant mutuelle</t>
  </si>
  <si>
    <t>Date de paiement MM</t>
  </si>
  <si>
    <t>Honoraires complet</t>
  </si>
  <si>
    <t>Date de paiement Hon.</t>
  </si>
  <si>
    <t>Date du dernier paiement</t>
  </si>
  <si>
    <t>Total reçu</t>
  </si>
  <si>
    <t>Statut</t>
  </si>
  <si>
    <t>Remarques</t>
  </si>
  <si>
    <t>1a</t>
  </si>
  <si>
    <t>Bartin Claire</t>
  </si>
  <si>
    <t>Vend et JF …</t>
  </si>
  <si>
    <t>Jean</t>
  </si>
  <si>
    <t>Rue de</t>
  </si>
  <si>
    <t>Bancontact</t>
  </si>
  <si>
    <t>Disponible</t>
  </si>
  <si>
    <t>Cloturé</t>
  </si>
  <si>
    <t>Paul</t>
  </si>
  <si>
    <t>Tom</t>
  </si>
  <si>
    <t>Différé</t>
  </si>
  <si>
    <t>Admins de biens</t>
  </si>
  <si>
    <t>TM envoi 1</t>
  </si>
  <si>
    <t>Defoy Thomas</t>
  </si>
  <si>
    <t>Hon envoi 1</t>
  </si>
  <si>
    <t>PAIEMENTS</t>
  </si>
  <si>
    <t>Solde</t>
  </si>
  <si>
    <t>Somme de Solde</t>
  </si>
  <si>
    <t>ENCODAGE DES GARDES</t>
  </si>
  <si>
    <t>DONNÉES</t>
  </si>
  <si>
    <t>MEDECIN</t>
  </si>
  <si>
    <t>DATE</t>
  </si>
  <si>
    <t>CODE</t>
  </si>
  <si>
    <t>N°</t>
  </si>
  <si>
    <t>Attestation</t>
  </si>
  <si>
    <t>Type d'Acte</t>
  </si>
  <si>
    <t>Nom et prénom du patient</t>
  </si>
  <si>
    <t>Montant modifié</t>
  </si>
  <si>
    <t>Montant Dépl.</t>
  </si>
  <si>
    <t>Montant TM</t>
  </si>
  <si>
    <t>Type de Paiement</t>
  </si>
  <si>
    <t>Choix montant</t>
  </si>
  <si>
    <t>Montant perçus</t>
  </si>
  <si>
    <t>Montant LTD3 reçu</t>
  </si>
  <si>
    <t>Montant à reverser</t>
  </si>
  <si>
    <t>Commentaires éventuels</t>
  </si>
  <si>
    <t>Vend et veille JF - JOUR - Visite 3 bénéficiaires</t>
  </si>
  <si>
    <t>⅓ payant NP</t>
  </si>
  <si>
    <t>Vend et veille JF - JOUR - Consultation</t>
  </si>
  <si>
    <t>Non disponible</t>
  </si>
  <si>
    <t>Cash</t>
  </si>
  <si>
    <t>TOTAUX PERCUS RETOUR DE GARDE</t>
  </si>
  <si>
    <t>COMPTES</t>
  </si>
  <si>
    <t>CASH</t>
  </si>
  <si>
    <t>BANCONTACT</t>
  </si>
  <si>
    <t>DEPLACEMENTS</t>
  </si>
  <si>
    <t>TICKETS MODERATEURS C</t>
  </si>
  <si>
    <t>TICKETS MODERATEURS BC</t>
  </si>
  <si>
    <t>GRAND TOTAL</t>
  </si>
  <si>
    <t>DIFFERES</t>
  </si>
  <si>
    <t>A PERCEVOIR (moy)</t>
  </si>
  <si>
    <t>RECUS LTD3</t>
  </si>
  <si>
    <t>NON PERCUS</t>
  </si>
  <si>
    <t>A VERSER AU MEDECIN</t>
  </si>
  <si>
    <t>TYPES D'ACTES</t>
  </si>
  <si>
    <t>MONTANTS</t>
  </si>
  <si>
    <t>Vend et veille JF - JOUR - Consultation NA</t>
  </si>
  <si>
    <t>Vend et veille JF - JOUR - Visite 1 bénéficiare</t>
  </si>
  <si>
    <t>Vend et veille JF - JOUR - Visite 2 bénéficiaires</t>
  </si>
  <si>
    <t>Vend et veille JF - NUIT - Consultation</t>
  </si>
  <si>
    <t>Vend et veille JF - NUIT - Visite 1 bénéficiare</t>
  </si>
  <si>
    <t>Vend et veille JF - NUIT - Visite 2 bénéficiaires</t>
  </si>
  <si>
    <t>Vend et veille JF - NUIT - Visite 3 bénéficiaires</t>
  </si>
  <si>
    <t>Sam, dim et JF - JOUR - Consultation</t>
  </si>
  <si>
    <t>Sam, dim et JF - JOUR - Consultation NA</t>
  </si>
  <si>
    <t>Sam, dim et JF - JOUR - Visite 1 bénéficiaire</t>
  </si>
  <si>
    <t>Sam, dim et JF - JOUR - Visite 2 bénéficiaires</t>
  </si>
  <si>
    <t>Sam, dim et JF - JOUR - Visite 3 bénéficiaires</t>
  </si>
  <si>
    <t>Sam, dim et JF - NUIT - Consultation</t>
  </si>
  <si>
    <t>Sam, dim et JF - NUIT - Visite 1 bénéficiaire</t>
  </si>
  <si>
    <t>Sam, dim et JF - NUIT - Visite 2 bénéficiaires</t>
  </si>
  <si>
    <t>Sam, dim et JF - NUIT - Visite 3 bénéficiaires</t>
  </si>
  <si>
    <t>LISTE DES MEDECINS</t>
  </si>
  <si>
    <t>Nom &amp; Prénom</t>
  </si>
  <si>
    <t>Adresse</t>
  </si>
  <si>
    <t>Localité</t>
  </si>
  <si>
    <t>CP</t>
  </si>
  <si>
    <t>Alvarez Léa</t>
  </si>
  <si>
    <t>Rue de l'Ecole 6</t>
  </si>
  <si>
    <t xml:space="preserve">Liège </t>
  </si>
  <si>
    <t>Rue des Corbeilles 15</t>
  </si>
  <si>
    <t>Rue des Tropiques 2</t>
  </si>
  <si>
    <t>Rocourt</t>
  </si>
  <si>
    <t>non Disponible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</si>
</sst>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[$-80C]dddd\ d\ mmmm\ yyyy;@"/>
    <numFmt numFmtId="166" formatCode="&quot;€&quot;\ #,##0.00"/>
  </numFmts>
  <fonts count="13" x14ac:knownFonts="1">
    <font>
      <sz val="11"/>
      <color theme="1"/>
      <name val="Calibri"/>
      <family val="2"/>
      <scheme val="minor"/>
    </font>
    <font>
      <sz val="36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2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rgb="FF00206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50"/>
        <bgColor indexed="64"/>
      </patternFill>
    </fill>
  </fills>
  <borders count="47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rgb="FF002060"/>
      </right>
      <top/>
      <bottom/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/>
      <top/>
      <bottom style="medium">
        <color rgb="FF002060"/>
      </bottom>
      <diagonal/>
    </border>
    <border>
      <left/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 style="dotted">
        <color rgb="FF002060"/>
      </bottom>
      <diagonal/>
    </border>
    <border>
      <left style="thin">
        <color rgb="FF002060"/>
      </left>
      <right/>
      <top/>
      <bottom style="dotted">
        <color rgb="FF002060"/>
      </bottom>
      <diagonal/>
    </border>
    <border>
      <left/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/>
      <top style="dotted">
        <color rgb="FF002060"/>
      </top>
      <bottom style="dotted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/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/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/>
      <top style="dashDotDot">
        <color rgb="FF002060"/>
      </top>
      <bottom style="medium">
        <color rgb="FF002060"/>
      </bottom>
      <diagonal/>
    </border>
    <border>
      <left/>
      <right style="medium">
        <color rgb="FF002060"/>
      </right>
      <top style="dashDotDot">
        <color rgb="FF002060"/>
      </top>
      <bottom style="medium">
        <color rgb="FF002060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ashDotDot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/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dashDotDot">
        <color theme="8" tint="-0.499984740745262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0" tint="-0.14996795556505021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/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/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/>
      <top style="dotted">
        <color rgb="FF002060"/>
      </top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4" fontId="0" fillId="3" borderId="0" xfId="0" applyNumberFormat="1" applyFill="1"/>
    <xf numFmtId="0" fontId="0" fillId="3" borderId="0" xfId="0" applyFill="1" applyAlignment="1">
      <alignment horizontal="center"/>
    </xf>
    <xf numFmtId="0" fontId="0" fillId="3" borderId="0" xfId="0" applyFill="1"/>
    <xf numFmtId="164" fontId="0" fillId="3" borderId="0" xfId="0" applyNumberFormat="1" applyFill="1"/>
    <xf numFmtId="164" fontId="0" fillId="3" borderId="0" xfId="0" applyNumberFormat="1" applyFill="1" applyBorder="1"/>
    <xf numFmtId="0" fontId="0" fillId="3" borderId="0" xfId="0" applyFill="1" applyBorder="1"/>
    <xf numFmtId="14" fontId="0" fillId="3" borderId="0" xfId="0" applyNumberFormat="1" applyFill="1" applyBorder="1"/>
    <xf numFmtId="14" fontId="0" fillId="3" borderId="1" xfId="0" applyNumberFormat="1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164" fontId="0" fillId="3" borderId="1" xfId="0" applyNumberFormat="1" applyFill="1" applyBorder="1"/>
    <xf numFmtId="14" fontId="0" fillId="0" borderId="0" xfId="0" applyNumberFormat="1" applyAlignment="1">
      <alignment horizontal="left"/>
    </xf>
    <xf numFmtId="164" fontId="0" fillId="0" borderId="0" xfId="0" applyNumberFormat="1"/>
    <xf numFmtId="14" fontId="0" fillId="0" borderId="0" xfId="0" applyNumberFormat="1" applyBorder="1" applyAlignment="1">
      <alignment horizontal="left"/>
    </xf>
    <xf numFmtId="0" fontId="0" fillId="0" borderId="0" xfId="0" pivotButton="1"/>
    <xf numFmtId="14" fontId="0" fillId="0" borderId="0" xfId="0" applyNumberFormat="1"/>
    <xf numFmtId="0" fontId="7" fillId="6" borderId="6" xfId="0" applyFont="1" applyFill="1" applyBorder="1" applyAlignment="1">
      <alignment horizontal="left" vertical="center" indent="1"/>
    </xf>
    <xf numFmtId="0" fontId="7" fillId="0" borderId="7" xfId="0" applyFont="1" applyFill="1" applyBorder="1" applyAlignment="1">
      <alignment horizontal="right" vertical="center"/>
    </xf>
    <xf numFmtId="165" fontId="7" fillId="0" borderId="8" xfId="0" applyNumberFormat="1" applyFont="1" applyBorder="1" applyAlignment="1" applyProtection="1">
      <alignment horizontal="right" vertical="center"/>
      <protection locked="0"/>
    </xf>
    <xf numFmtId="0" fontId="7" fillId="0" borderId="8" xfId="0" applyFont="1" applyBorder="1" applyAlignment="1" applyProtection="1">
      <alignment horizontal="right" vertical="center"/>
      <protection locked="0"/>
    </xf>
    <xf numFmtId="0" fontId="8" fillId="5" borderId="9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9" fillId="0" borderId="0" xfId="0" applyFont="1"/>
    <xf numFmtId="0" fontId="9" fillId="6" borderId="12" xfId="0" applyFont="1" applyFill="1" applyBorder="1" applyAlignment="1">
      <alignment horizontal="center" vertical="center"/>
    </xf>
    <xf numFmtId="0" fontId="9" fillId="0" borderId="12" xfId="0" applyFont="1" applyBorder="1" applyAlignment="1" applyProtection="1">
      <alignment horizontal="right" vertical="center" indent="1"/>
      <protection locked="0"/>
    </xf>
    <xf numFmtId="0" fontId="9" fillId="0" borderId="13" xfId="0" applyFont="1" applyBorder="1" applyAlignment="1" applyProtection="1">
      <alignment horizontal="left" vertical="center" indent="1"/>
      <protection locked="0"/>
    </xf>
    <xf numFmtId="0" fontId="9" fillId="0" borderId="14" xfId="0" applyFont="1" applyBorder="1"/>
    <xf numFmtId="0" fontId="9" fillId="0" borderId="13" xfId="0" applyFont="1" applyBorder="1"/>
    <xf numFmtId="4" fontId="9" fillId="7" borderId="13" xfId="0" applyNumberFormat="1" applyFont="1" applyFill="1" applyBorder="1" applyAlignment="1">
      <alignment horizontal="right" vertical="center" indent="1"/>
    </xf>
    <xf numFmtId="4" fontId="9" fillId="0" borderId="13" xfId="0" applyNumberFormat="1" applyFont="1" applyFill="1" applyBorder="1" applyAlignment="1" applyProtection="1">
      <alignment horizontal="right" vertical="center" indent="1"/>
      <protection locked="0"/>
    </xf>
    <xf numFmtId="4" fontId="9" fillId="0" borderId="13" xfId="0" applyNumberFormat="1" applyFont="1" applyBorder="1" applyAlignment="1" applyProtection="1">
      <alignment horizontal="right" vertical="center" indent="1"/>
      <protection locked="0"/>
    </xf>
    <xf numFmtId="0" fontId="9" fillId="0" borderId="15" xfId="0" applyFont="1" applyBorder="1" applyAlignment="1" applyProtection="1">
      <alignment horizontal="left" vertical="center" indent="1"/>
      <protection locked="0"/>
    </xf>
    <xf numFmtId="2" fontId="9" fillId="7" borderId="13" xfId="0" applyNumberFormat="1" applyFont="1" applyFill="1" applyBorder="1" applyAlignment="1" applyProtection="1">
      <alignment horizontal="right" vertical="center" indent="1"/>
    </xf>
    <xf numFmtId="0" fontId="9" fillId="6" borderId="16" xfId="0" applyFont="1" applyFill="1" applyBorder="1" applyAlignment="1">
      <alignment horizontal="center" vertical="center"/>
    </xf>
    <xf numFmtId="0" fontId="9" fillId="0" borderId="16" xfId="0" applyFont="1" applyBorder="1" applyAlignment="1" applyProtection="1">
      <alignment horizontal="right" vertical="center" indent="1"/>
      <protection locked="0"/>
    </xf>
    <xf numFmtId="0" fontId="9" fillId="0" borderId="17" xfId="0" applyFont="1" applyBorder="1"/>
    <xf numFmtId="4" fontId="9" fillId="0" borderId="17" xfId="0" applyNumberFormat="1" applyFont="1" applyFill="1" applyBorder="1" applyAlignment="1" applyProtection="1">
      <alignment horizontal="right" vertical="center" indent="1"/>
      <protection locked="0"/>
    </xf>
    <xf numFmtId="4" fontId="9" fillId="0" borderId="17" xfId="0" applyNumberFormat="1" applyFont="1" applyBorder="1" applyAlignment="1" applyProtection="1">
      <alignment horizontal="right" vertical="center" indent="1"/>
      <protection locked="0"/>
    </xf>
    <xf numFmtId="0" fontId="9" fillId="0" borderId="18" xfId="0" applyFont="1" applyBorder="1" applyAlignment="1" applyProtection="1">
      <alignment horizontal="left" vertical="center" indent="1"/>
      <protection locked="0"/>
    </xf>
    <xf numFmtId="0" fontId="9" fillId="0" borderId="0" xfId="0" applyFont="1" applyFill="1"/>
    <xf numFmtId="0" fontId="9" fillId="0" borderId="0" xfId="0" applyFont="1" applyFill="1" applyBorder="1" applyAlignment="1">
      <alignment horizontal="left" vertical="center" indent="1"/>
    </xf>
    <xf numFmtId="0" fontId="10" fillId="0" borderId="0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164" fontId="7" fillId="6" borderId="23" xfId="0" applyNumberFormat="1" applyFont="1" applyFill="1" applyBorder="1" applyAlignment="1">
      <alignment horizontal="left" vertical="center" indent="1"/>
    </xf>
    <xf numFmtId="164" fontId="4" fillId="7" borderId="7" xfId="0" applyNumberFormat="1" applyFont="1" applyFill="1" applyBorder="1" applyAlignment="1">
      <alignment horizontal="right" vertical="center" indent="1"/>
    </xf>
    <xf numFmtId="0" fontId="4" fillId="7" borderId="7" xfId="0" applyNumberFormat="1" applyFont="1" applyFill="1" applyBorder="1" applyAlignment="1">
      <alignment horizontal="right" vertical="center" indent="3"/>
    </xf>
    <xf numFmtId="164" fontId="7" fillId="6" borderId="24" xfId="0" applyNumberFormat="1" applyFont="1" applyFill="1" applyBorder="1" applyAlignment="1">
      <alignment horizontal="left" vertical="center" indent="1"/>
    </xf>
    <xf numFmtId="164" fontId="4" fillId="7" borderId="25" xfId="0" applyNumberFormat="1" applyFont="1" applyFill="1" applyBorder="1" applyAlignment="1">
      <alignment horizontal="right" vertical="center" indent="1"/>
    </xf>
    <xf numFmtId="0" fontId="4" fillId="7" borderId="25" xfId="0" applyNumberFormat="1" applyFont="1" applyFill="1" applyBorder="1" applyAlignment="1">
      <alignment horizontal="right" vertical="center" indent="3"/>
    </xf>
    <xf numFmtId="0" fontId="11" fillId="0" borderId="0" xfId="0" applyFont="1"/>
    <xf numFmtId="164" fontId="7" fillId="6" borderId="5" xfId="0" applyNumberFormat="1" applyFont="1" applyFill="1" applyBorder="1" applyAlignment="1">
      <alignment horizontal="left" vertical="center" indent="1"/>
    </xf>
    <xf numFmtId="164" fontId="4" fillId="7" borderId="26" xfId="0" applyNumberFormat="1" applyFont="1" applyFill="1" applyBorder="1" applyAlignment="1">
      <alignment horizontal="right" vertical="center" indent="1"/>
    </xf>
    <xf numFmtId="0" fontId="4" fillId="7" borderId="26" xfId="0" applyNumberFormat="1" applyFont="1" applyFill="1" applyBorder="1" applyAlignment="1">
      <alignment horizontal="right" vertical="center" indent="3"/>
    </xf>
    <xf numFmtId="164" fontId="7" fillId="6" borderId="27" xfId="0" applyNumberFormat="1" applyFont="1" applyFill="1" applyBorder="1" applyAlignment="1">
      <alignment horizontal="left" vertical="center" indent="1"/>
    </xf>
    <xf numFmtId="164" fontId="4" fillId="7" borderId="27" xfId="0" applyNumberFormat="1" applyFont="1" applyFill="1" applyBorder="1" applyAlignment="1">
      <alignment horizontal="right" vertical="center" indent="1"/>
    </xf>
    <xf numFmtId="0" fontId="4" fillId="7" borderId="27" xfId="0" applyFont="1" applyFill="1" applyBorder="1" applyAlignment="1">
      <alignment horizontal="right" indent="3"/>
    </xf>
    <xf numFmtId="164" fontId="7" fillId="6" borderId="6" xfId="0" applyNumberFormat="1" applyFont="1" applyFill="1" applyBorder="1" applyAlignment="1">
      <alignment horizontal="left" vertical="center" indent="1"/>
    </xf>
    <xf numFmtId="0" fontId="4" fillId="0" borderId="0" xfId="0" applyFont="1" applyAlignment="1">
      <alignment horizontal="right" indent="3"/>
    </xf>
    <xf numFmtId="164" fontId="7" fillId="6" borderId="23" xfId="0" applyNumberFormat="1" applyFont="1" applyFill="1" applyBorder="1" applyAlignment="1">
      <alignment horizontal="left" vertical="center" indent="2"/>
    </xf>
    <xf numFmtId="164" fontId="7" fillId="6" borderId="24" xfId="0" applyNumberFormat="1" applyFont="1" applyFill="1" applyBorder="1" applyAlignment="1">
      <alignment horizontal="left" vertical="center" indent="2"/>
    </xf>
    <xf numFmtId="0" fontId="4" fillId="7" borderId="27" xfId="0" applyNumberFormat="1" applyFont="1" applyFill="1" applyBorder="1" applyAlignment="1">
      <alignment horizontal="right" vertical="center" indent="3"/>
    </xf>
    <xf numFmtId="164" fontId="4" fillId="7" borderId="8" xfId="0" applyNumberFormat="1" applyFont="1" applyFill="1" applyBorder="1" applyAlignment="1">
      <alignment horizontal="right" vertical="center" indent="1"/>
    </xf>
    <xf numFmtId="0" fontId="4" fillId="7" borderId="8" xfId="0" applyNumberFormat="1" applyFont="1" applyFill="1" applyBorder="1" applyAlignment="1">
      <alignment horizontal="right" vertical="center" indent="3"/>
    </xf>
    <xf numFmtId="166" fontId="9" fillId="0" borderId="0" xfId="0" applyNumberFormat="1" applyFont="1" applyFill="1" applyBorder="1" applyAlignment="1">
      <alignment horizontal="right" vertical="center" indent="2"/>
    </xf>
    <xf numFmtId="0" fontId="12" fillId="8" borderId="31" xfId="0" applyFont="1" applyFill="1" applyBorder="1" applyAlignment="1" applyProtection="1">
      <alignment horizontal="left" vertical="center" indent="1"/>
      <protection locked="0"/>
    </xf>
    <xf numFmtId="164" fontId="4" fillId="0" borderId="32" xfId="0" applyNumberFormat="1" applyFont="1" applyBorder="1" applyAlignment="1" applyProtection="1">
      <alignment horizontal="center" vertical="center"/>
      <protection locked="0"/>
    </xf>
    <xf numFmtId="0" fontId="4" fillId="7" borderId="33" xfId="0" applyFont="1" applyFill="1" applyBorder="1" applyAlignment="1">
      <alignment horizontal="right" indent="3"/>
    </xf>
    <xf numFmtId="0" fontId="12" fillId="8" borderId="34" xfId="0" applyFont="1" applyFill="1" applyBorder="1" applyAlignment="1" applyProtection="1">
      <alignment horizontal="left" vertical="center" indent="1"/>
      <protection locked="0"/>
    </xf>
    <xf numFmtId="164" fontId="4" fillId="0" borderId="35" xfId="0" applyNumberFormat="1" applyFont="1" applyBorder="1" applyAlignment="1" applyProtection="1">
      <alignment horizontal="center" vertical="center"/>
      <protection locked="0"/>
    </xf>
    <xf numFmtId="0" fontId="4" fillId="7" borderId="36" xfId="0" applyFont="1" applyFill="1" applyBorder="1" applyAlignment="1">
      <alignment horizontal="right" indent="3"/>
    </xf>
    <xf numFmtId="164" fontId="4" fillId="0" borderId="37" xfId="0" applyNumberFormat="1" applyFont="1" applyBorder="1" applyAlignment="1" applyProtection="1">
      <alignment horizontal="center" vertical="center"/>
      <protection locked="0"/>
    </xf>
    <xf numFmtId="0" fontId="12" fillId="8" borderId="38" xfId="0" applyFont="1" applyFill="1" applyBorder="1" applyAlignment="1" applyProtection="1">
      <alignment horizontal="left" vertical="center" indent="1"/>
      <protection locked="0"/>
    </xf>
    <xf numFmtId="164" fontId="4" fillId="0" borderId="39" xfId="0" applyNumberFormat="1" applyFont="1" applyBorder="1" applyAlignment="1" applyProtection="1">
      <alignment horizontal="center" vertical="center"/>
      <protection locked="0"/>
    </xf>
    <xf numFmtId="0" fontId="4" fillId="7" borderId="40" xfId="0" applyFont="1" applyFill="1" applyBorder="1" applyAlignment="1">
      <alignment horizontal="right" indent="3"/>
    </xf>
    <xf numFmtId="0" fontId="12" fillId="8" borderId="41" xfId="0" applyFont="1" applyFill="1" applyBorder="1" applyAlignment="1" applyProtection="1">
      <alignment horizontal="left" vertical="center" indent="1"/>
      <protection locked="0"/>
    </xf>
    <xf numFmtId="0" fontId="12" fillId="8" borderId="42" xfId="0" applyFont="1" applyFill="1" applyBorder="1" applyAlignment="1" applyProtection="1">
      <alignment horizontal="left" vertical="center" indent="1"/>
      <protection locked="0"/>
    </xf>
    <xf numFmtId="0" fontId="12" fillId="8" borderId="43" xfId="0" applyFont="1" applyFill="1" applyBorder="1" applyAlignment="1" applyProtection="1">
      <alignment horizontal="left" vertical="center" indent="1"/>
      <protection locked="0"/>
    </xf>
    <xf numFmtId="0" fontId="9" fillId="6" borderId="44" xfId="0" applyFont="1" applyFill="1" applyBorder="1" applyAlignment="1">
      <alignment horizontal="center" vertical="center"/>
    </xf>
    <xf numFmtId="0" fontId="9" fillId="0" borderId="44" xfId="0" applyFont="1" applyBorder="1" applyAlignment="1" applyProtection="1">
      <alignment horizontal="right" vertical="center" indent="1"/>
      <protection locked="0"/>
    </xf>
    <xf numFmtId="0" fontId="9" fillId="0" borderId="45" xfId="0" applyFont="1" applyBorder="1" applyAlignment="1" applyProtection="1">
      <alignment horizontal="left" vertical="center" indent="1"/>
      <protection locked="0"/>
    </xf>
    <xf numFmtId="0" fontId="9" fillId="0" borderId="45" xfId="0" applyFont="1" applyBorder="1"/>
    <xf numFmtId="4" fontId="9" fillId="0" borderId="45" xfId="0" applyNumberFormat="1" applyFont="1" applyFill="1" applyBorder="1" applyAlignment="1" applyProtection="1">
      <alignment horizontal="right" vertical="center" indent="1"/>
      <protection locked="0"/>
    </xf>
    <xf numFmtId="4" fontId="9" fillId="0" borderId="45" xfId="0" applyNumberFormat="1" applyFont="1" applyBorder="1" applyAlignment="1" applyProtection="1">
      <alignment horizontal="right" vertical="center" indent="1"/>
      <protection locked="0"/>
    </xf>
    <xf numFmtId="2" fontId="9" fillId="7" borderId="45" xfId="0" applyNumberFormat="1" applyFont="1" applyFill="1" applyBorder="1" applyAlignment="1" applyProtection="1">
      <alignment horizontal="right" vertical="center" indent="1"/>
    </xf>
    <xf numFmtId="4" fontId="9" fillId="7" borderId="45" xfId="0" applyNumberFormat="1" applyFont="1" applyFill="1" applyBorder="1" applyAlignment="1">
      <alignment horizontal="right" vertical="center" indent="1"/>
    </xf>
    <xf numFmtId="0" fontId="9" fillId="0" borderId="46" xfId="0" applyFont="1" applyBorder="1" applyAlignment="1" applyProtection="1">
      <alignment horizontal="left" vertical="center" indent="1"/>
      <protection locked="0"/>
    </xf>
    <xf numFmtId="0" fontId="3" fillId="9" borderId="0" xfId="0" applyFont="1" applyFill="1" applyAlignment="1">
      <alignment horizontal="left" vertical="center"/>
    </xf>
    <xf numFmtId="0" fontId="6" fillId="5" borderId="19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164" fontId="7" fillId="6" borderId="6" xfId="0" applyNumberFormat="1" applyFont="1" applyFill="1" applyBorder="1" applyAlignment="1">
      <alignment horizontal="left" vertical="center" indent="1"/>
    </xf>
    <xf numFmtId="164" fontId="7" fillId="6" borderId="28" xfId="0" applyNumberFormat="1" applyFont="1" applyFill="1" applyBorder="1" applyAlignment="1">
      <alignment horizontal="left" vertical="center" indent="1"/>
    </xf>
    <xf numFmtId="164" fontId="7" fillId="6" borderId="29" xfId="0" applyNumberFormat="1" applyFont="1" applyFill="1" applyBorder="1" applyAlignment="1">
      <alignment horizontal="left" vertical="center" indent="2"/>
    </xf>
    <xf numFmtId="164" fontId="7" fillId="6" borderId="30" xfId="0" applyNumberFormat="1" applyFont="1" applyFill="1" applyBorder="1" applyAlignment="1">
      <alignment horizontal="left" vertical="center" indent="2"/>
    </xf>
    <xf numFmtId="0" fontId="6" fillId="5" borderId="3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left"/>
    </xf>
    <xf numFmtId="0" fontId="0" fillId="5" borderId="2" xfId="0" applyFill="1" applyBorder="1" applyAlignment="1">
      <alignment horizontal="center"/>
    </xf>
    <xf numFmtId="0" fontId="6" fillId="5" borderId="4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ill="1" applyBorder="1" applyAlignment="1">
      <alignment horizontal="center"/>
    </xf>
    <xf numFmtId="0" fontId="6" fillId="5" borderId="2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left" vertical="center"/>
    </xf>
    <xf numFmtId="14" fontId="0" fillId="10" borderId="0" xfId="0" applyNumberFormat="1" applyFill="1"/>
    <xf numFmtId="0" fontId="0" fillId="10" borderId="0" xfId="0" applyFill="1" applyAlignment="1">
      <alignment horizontal="center"/>
    </xf>
    <xf numFmtId="0" fontId="0" fillId="10" borderId="0" xfId="0" applyFill="1"/>
    <xf numFmtId="164" fontId="0" fillId="10" borderId="0" xfId="0" applyNumberFormat="1" applyFill="1" applyBorder="1"/>
    <xf numFmtId="0" fontId="0" fillId="10" borderId="0" xfId="0" applyFill="1" applyBorder="1"/>
    <xf numFmtId="14" fontId="0" fillId="10" borderId="0" xfId="0" applyNumberFormat="1" applyFill="1" applyBorder="1"/>
  </cellXfs>
  <cellStyles count="1">
    <cellStyle name="Normal" xfId="0" builtinId="0"/>
  </cellStyles>
  <dxfs count="48">
    <dxf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numFmt numFmtId="164" formatCode="#,##0.00\ &quot;€&quot;"/>
      <fill>
        <patternFill patternType="solid">
          <fgColor indexed="64"/>
          <bgColor indexed="9"/>
        </patternFill>
      </fill>
    </dxf>
    <dxf>
      <numFmt numFmtId="167" formatCode="dd/mm/yy"/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numFmt numFmtId="164" formatCode="#,##0.00\ &quot;€&quot;"/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numFmt numFmtId="164" formatCode="#,##0.00\ &quot;€&quot;"/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numFmt numFmtId="164" formatCode="#,##0.00\ &quot;€&quot;"/>
      <fill>
        <patternFill patternType="solid">
          <fgColor indexed="64"/>
          <bgColor indexed="9"/>
        </patternFill>
      </fill>
    </dxf>
    <dxf>
      <numFmt numFmtId="164" formatCode="#,##0.00\ &quot;€&quot;"/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numFmt numFmtId="164" formatCode="#,##0.00\ &quot;€&quot;"/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indexed="9"/>
        </patternFill>
      </fill>
    </dxf>
    <dxf>
      <numFmt numFmtId="164" formatCode="#,##0.00\ &quot;€&quot;"/>
    </dxf>
    <dxf>
      <numFmt numFmtId="164" formatCode="#,##0.00\ &quot;€&quot;"/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right" vertical="center" textRotation="0" wrapText="0" indent="1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border outline="0">
        <left style="medium">
          <color rgb="FF002060"/>
        </left>
        <right style="medium">
          <color rgb="FF002060"/>
        </right>
        <top style="medium">
          <color rgb="FF002060"/>
        </top>
        <bottom style="medium">
          <color rgb="FF002060"/>
        </bottom>
      </border>
    </dxf>
    <dxf>
      <border outline="0">
        <bottom style="medium">
          <color rgb="FF00206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1" indent="0" justifyLastLine="0" shrinkToFit="0" readingOrder="0"/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numFmt numFmtId="0" formatCode="General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3</xdr:row>
          <xdr:rowOff>0</xdr:rowOff>
        </xdr:from>
        <xdr:to>
          <xdr:col>6</xdr:col>
          <xdr:colOff>0</xdr:colOff>
          <xdr:row>4</xdr:row>
          <xdr:rowOff>190500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</xdr:row>
          <xdr:rowOff>190500</xdr:rowOff>
        </xdr:from>
        <xdr:to>
          <xdr:col>8</xdr:col>
          <xdr:colOff>200025</xdr:colOff>
          <xdr:row>3</xdr:row>
          <xdr:rowOff>38100</xdr:rowOff>
        </xdr:to>
        <xdr:sp macro="" textlink="">
          <xdr:nvSpPr>
            <xdr:cNvPr id="2049" name="Text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323850</xdr:colOff>
          <xdr:row>0</xdr:row>
          <xdr:rowOff>66675</xdr:rowOff>
        </xdr:from>
        <xdr:to>
          <xdr:col>14</xdr:col>
          <xdr:colOff>123825</xdr:colOff>
          <xdr:row>3</xdr:row>
          <xdr:rowOff>133350</xdr:rowOff>
        </xdr:to>
        <xdr:sp macro="" textlink="">
          <xdr:nvSpPr>
            <xdr:cNvPr id="2051" name="ListBox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609600</xdr:colOff>
      <xdr:row>0</xdr:row>
      <xdr:rowOff>171450</xdr:rowOff>
    </xdr:from>
    <xdr:to>
      <xdr:col>2</xdr:col>
      <xdr:colOff>571500</xdr:colOff>
      <xdr:row>2</xdr:row>
      <xdr:rowOff>66674</xdr:rowOff>
    </xdr:to>
    <xdr:sp macro="[0]!MiseAjour" textlink="">
      <xdr:nvSpPr>
        <xdr:cNvPr id="2" name="ZoneTexte 1"/>
        <xdr:cNvSpPr txBox="1"/>
      </xdr:nvSpPr>
      <xdr:spPr>
        <a:xfrm>
          <a:off x="1704975" y="171450"/>
          <a:ext cx="10572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ravail\Conception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médecins"/>
      <sheetName val="Encodage des gardes"/>
      <sheetName val="Historique des gardes"/>
      <sheetName val="Paiements du médecin"/>
      <sheetName val="Conception v2"/>
    </sheetNames>
    <definedNames>
      <definedName name="sauvegarder"/>
    </definedNames>
    <sheetDataSet>
      <sheetData sheetId="0" refreshError="1"/>
      <sheetData sheetId="1">
        <row r="31">
          <cell r="S31" t="str">
            <v>Vend et veille JF - JOUR - Consultation</v>
          </cell>
        </row>
        <row r="32">
          <cell r="S32" t="str">
            <v>Vend et veille JF - JOUR - Consultation NA</v>
          </cell>
        </row>
        <row r="33">
          <cell r="S33" t="str">
            <v>Vend et veille JF - JOUR - Visite 1 bénéficiare</v>
          </cell>
        </row>
        <row r="34">
          <cell r="S34" t="str">
            <v>Vend et veille JF - JOUR - Visite 2 bénéficiaires</v>
          </cell>
        </row>
        <row r="35">
          <cell r="S35" t="str">
            <v>Vend et veille JF - JOUR - Visite 3 bénéficiaires</v>
          </cell>
        </row>
        <row r="36">
          <cell r="S36" t="str">
            <v>Vend et veille JF - NUIT - Consultation</v>
          </cell>
        </row>
        <row r="37">
          <cell r="S37" t="str">
            <v>Vend et veille JF - NUIT - Visite 1 bénéficiare</v>
          </cell>
        </row>
        <row r="38">
          <cell r="S38" t="str">
            <v>Vend et veille JF - NUIT - Visite 2 bénéficiaires</v>
          </cell>
        </row>
        <row r="39">
          <cell r="S39" t="str">
            <v>Vend et veille JF - NUIT - Visite 3 bénéficiaires</v>
          </cell>
        </row>
        <row r="40">
          <cell r="S40" t="str">
            <v>Sam, dim et JF - JOUR - Consultation</v>
          </cell>
        </row>
        <row r="41">
          <cell r="S41" t="str">
            <v>Sam, dim et JF - JOUR - Consultation NA</v>
          </cell>
        </row>
        <row r="42">
          <cell r="S42" t="str">
            <v>Sam, dim et JF - JOUR - Visite 1 bénéficiaire</v>
          </cell>
        </row>
        <row r="43">
          <cell r="S43" t="str">
            <v>Sam, dim et JF - JOUR - Visite 2 bénéficiaires</v>
          </cell>
        </row>
        <row r="44">
          <cell r="S44" t="str">
            <v>Sam, dim et JF - JOUR - Visite 3 bénéficiaires</v>
          </cell>
        </row>
        <row r="45">
          <cell r="S45" t="str">
            <v>Sam, dim et JF - NUIT - Consultation</v>
          </cell>
        </row>
        <row r="46">
          <cell r="S46" t="str">
            <v>Sam, dim et JF - NUIT - Visite 1 bénéficiaire</v>
          </cell>
        </row>
        <row r="47">
          <cell r="S47" t="str">
            <v>Sam, dim et JF - NUIT - Visite 2 bénéficiaires</v>
          </cell>
        </row>
        <row r="48">
          <cell r="S48" t="str">
            <v>Sam, dim et JF - NUIT - Visite 3 bénéficiaires</v>
          </cell>
        </row>
      </sheetData>
      <sheetData sheetId="2"/>
      <sheetData sheetId="3" refreshError="1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Guy%20Blancher/AppData/Local/Microsoft/Windows/INetCache/IE/CTABY3G9/Conception%20v2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699.60514097222" createdVersion="6" refreshedVersion="4" minRefreshableVersion="3" recordCount="9">
  <cacheSource type="worksheet">
    <worksheetSource name="tabpaie" r:id="rId2"/>
  </cacheSource>
  <cacheFields count="3">
    <cacheField name="Date" numFmtId="14">
      <sharedItems containsSemiMixedTypes="0" containsNonDate="0" containsDate="1" containsString="0" minDate="2017-01-01T00:00:00" maxDate="2017-01-10T00:00:00" count="3">
        <d v="2017-01-01T00:00:00"/>
        <d v="2017-01-02T00:00:00"/>
        <d v="2017-01-09T00:00:00"/>
      </sharedItems>
    </cacheField>
    <cacheField name="Médecin" numFmtId="0">
      <sharedItems count="2">
        <s v="Bartin Claire"/>
        <s v="Defoy Thomas"/>
      </sharedItems>
    </cacheField>
    <cacheField name="Solde" numFmtId="0">
      <sharedItems containsSemiMixedTypes="0" containsString="0" containsNumber="1" containsInteger="1" minValue="2" maxValue="49" count="2">
        <n v="49"/>
        <n v="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x v="0"/>
  </r>
  <r>
    <x v="0"/>
    <x v="0"/>
    <x v="0"/>
  </r>
  <r>
    <x v="0"/>
    <x v="0"/>
    <x v="1"/>
  </r>
  <r>
    <x v="1"/>
    <x v="1"/>
    <x v="0"/>
  </r>
  <r>
    <x v="1"/>
    <x v="1"/>
    <x v="0"/>
  </r>
  <r>
    <x v="2"/>
    <x v="1"/>
    <x v="1"/>
  </r>
  <r>
    <x v="2"/>
    <x v="1"/>
    <x v="0"/>
  </r>
  <r>
    <x v="2"/>
    <x v="1"/>
    <x v="0"/>
  </r>
  <r>
    <x v="2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E4:E5" firstHeaderRow="1" firstDataRow="1" firstDataCol="0" rowPageCount="2" colPageCount="1"/>
  <pivotFields count="3">
    <pivotField axis="axisPage" numFmtId="14" multipleItemSelectionAllowed="1" showAll="0">
      <items count="4">
        <item h="1" x="0"/>
        <item h="1" x="1"/>
        <item x="2"/>
        <item t="default"/>
      </items>
    </pivotField>
    <pivotField axis="axisPage" showAll="0">
      <items count="3">
        <item x="0"/>
        <item x="1"/>
        <item t="default"/>
      </items>
    </pivotField>
    <pivotField dataField="1" numFmtId="164" showAll="0">
      <items count="3">
        <item x="1"/>
        <item x="0"/>
        <item t="default"/>
      </items>
    </pivotField>
  </pivotFields>
  <rowItems count="1">
    <i/>
  </rowItems>
  <colItems count="1">
    <i/>
  </colItems>
  <pageFields count="2">
    <pageField fld="1" item="1" hier="-1"/>
    <pageField fld="0" hier="-1"/>
  </pageFields>
  <dataFields count="1">
    <dataField name="Somme de Solde" fld="2" baseField="0" baseItem="0" numFmtId="164"/>
  </dataFields>
  <formats count="1">
    <format dxfId="23">
      <pivotArea outline="0" collapsedLevelsAreSubtotals="1" fieldPosition="0"/>
    </format>
  </formats>
  <pivotTableStyleInfo name="PivotStyleMedium1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5" name="tabMEDECINS" displayName="tabMEDECINS" ref="A3:D6" totalsRowShown="0">
  <autoFilter ref="A3:D6"/>
  <sortState ref="A4:D6">
    <sortCondition ref="A3:A6"/>
  </sortState>
  <tableColumns count="4">
    <tableColumn id="1" name="Nom &amp; Prénom" dataDxfId="47"/>
    <tableColumn id="2" name="Adresse"/>
    <tableColumn id="3" name="Localité"/>
    <tableColumn id="4" name="CP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4" name="Tabgardes" displayName="Tabgardes" ref="A9:Q57" totalsRowShown="0" headerRowDxfId="44" headerRowBorderDxfId="43" tableBorderDxfId="42">
  <tableColumns count="17">
    <tableColumn id="1" name="N°" dataDxfId="41"/>
    <tableColumn id="2" name="Attestation" dataDxfId="40"/>
    <tableColumn id="3" name="Type d'Acte" dataDxfId="39"/>
    <tableColumn id="4" name="Nom et prénom du patient" dataDxfId="38"/>
    <tableColumn id="5" name="Coordonnées Institution" dataDxfId="37"/>
    <tableColumn id="6" name="Attestation récupérée" dataDxfId="36"/>
    <tableColumn id="7" name="Montant de base" dataDxfId="35">
      <calculatedColumnFormula>IF(C10="","",VLOOKUP(C10,$S$31:$T$48,2,FALSE))</calculatedColumnFormula>
    </tableColumn>
    <tableColumn id="8" name="Montant modifié" dataDxfId="34"/>
    <tableColumn id="9" name="Montant Dépl." dataDxfId="33"/>
    <tableColumn id="10" name="Montant TM" dataDxfId="32"/>
    <tableColumn id="11" name="Type de Paiement" dataDxfId="31"/>
    <tableColumn id="12" name="Type de différé" dataDxfId="30"/>
    <tableColumn id="13" name="Choix montant" dataDxfId="29">
      <calculatedColumnFormula xml:space="preserve"> IF(TRIM(H10)="",G10,H10)</calculatedColumnFormula>
    </tableColumn>
    <tableColumn id="14" name="Montant perçus" dataDxfId="28">
      <calculatedColumnFormula>IF(M10="","",    IF(K10&lt;&gt;"Différé",M10+I10,   I10+J10))</calculatedColumnFormula>
    </tableColumn>
    <tableColumn id="15" name="Montant LTD3 reçu" dataDxfId="27"/>
    <tableColumn id="16" name="Montant à reverser" dataDxfId="26">
      <calculatedColumnFormula>IF(AND(N10="",O10=""),"",   N10+O10)</calculatedColumnFormula>
    </tableColumn>
    <tableColumn id="17" name="Commentaires éventuels" dataDxfId="2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histo4" displayName="tabhisto4" ref="A5:U14" totalsRowShown="0" headerRowDxfId="24" dataDxfId="0">
  <tableColumns count="21">
    <tableColumn id="1" name="Date" dataDxfId="21"/>
    <tableColumn id="2" name="Code Garde" dataDxfId="20"/>
    <tableColumn id="3" name="Médecin" dataDxfId="19"/>
    <tableColumn id="4" name="Type d'acte" dataDxfId="18"/>
    <tableColumn id="5" name="Montant de base" dataDxfId="17"/>
    <tableColumn id="6" name="Patient" dataDxfId="16"/>
    <tableColumn id="7" name="Coordonnées Institution" dataDxfId="15"/>
    <tableColumn id="8" name="Type de paiement" dataDxfId="14"/>
    <tableColumn id="9" name="Type de différé" dataDxfId="13"/>
    <tableColumn id="10" name="Attestation récupérée" dataDxfId="12"/>
    <tableColumn id="11" name="Montant disponible à la fin de la garde" dataDxfId="11"/>
    <tableColumn id="12" name="Ticket modérateur" dataDxfId="10"/>
    <tableColumn id="13" name="Date de paiement TM" dataDxfId="9"/>
    <tableColumn id="14" name="Montant mutuelle" dataDxfId="8"/>
    <tableColumn id="15" name="Date de paiement MM" dataDxfId="7"/>
    <tableColumn id="16" name="Honoraires complet" dataDxfId="6"/>
    <tableColumn id="17" name="Date de paiement Hon." dataDxfId="5"/>
    <tableColumn id="21" name="Date du dernier paiement" dataDxfId="4"/>
    <tableColumn id="18" name="Total reçu" dataDxfId="3">
      <calculatedColumnFormula>IF(tabhisto4[[#This Row],[Type de paiement]]="","",IF(OR(tabhisto4[[#This Row],[Type de paiement]]="Bancontact",tabhisto4[[#This Row],[Type de paiement]]="Cash"),tabhisto4[[#This Row],[Honoraires complet]],tabhisto4[[#This Row],[Ticket modérateur]]+tabhisto4[[#This Row],[Montant mutuelle]]+tabhisto4[[#This Row],[Honoraires complet]]))</calculatedColumnFormula>
    </tableColumn>
    <tableColumn id="19" name="Statut" dataDxfId="2"/>
    <tableColumn id="20" name="Remarques" dataDxfId="1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id="2" name="tabpaie" displayName="tabpaie" ref="A4:C13" totalsRowShown="0">
  <autoFilter ref="A4:C13"/>
  <tableColumns count="3">
    <tableColumn id="1" name="Date"/>
    <tableColumn id="3" name="Médecin"/>
    <tableColumn id="2" name="Solde" dataDxfId="22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6"/>
  <sheetViews>
    <sheetView workbookViewId="0">
      <selection activeCell="G25" sqref="G25"/>
    </sheetView>
  </sheetViews>
  <sheetFormatPr baseColWidth="10" defaultRowHeight="15" x14ac:dyDescent="0.25"/>
  <cols>
    <col min="1" max="1" width="19.42578125" customWidth="1"/>
    <col min="2" max="2" width="23.7109375" customWidth="1"/>
  </cols>
  <sheetData>
    <row r="1" spans="1:4" x14ac:dyDescent="0.25">
      <c r="A1" s="92" t="s">
        <v>95</v>
      </c>
      <c r="B1" s="92"/>
      <c r="C1" s="92"/>
      <c r="D1" s="92"/>
    </row>
    <row r="2" spans="1:4" x14ac:dyDescent="0.25">
      <c r="A2" s="92"/>
      <c r="B2" s="92"/>
      <c r="C2" s="92"/>
      <c r="D2" s="92"/>
    </row>
    <row r="3" spans="1:4" x14ac:dyDescent="0.25">
      <c r="A3" t="s">
        <v>96</v>
      </c>
      <c r="B3" t="s">
        <v>97</v>
      </c>
      <c r="C3" t="s">
        <v>98</v>
      </c>
      <c r="D3" t="s">
        <v>99</v>
      </c>
    </row>
    <row r="4" spans="1:4" x14ac:dyDescent="0.25">
      <c r="A4" t="s">
        <v>100</v>
      </c>
      <c r="B4" t="s">
        <v>101</v>
      </c>
      <c r="C4" t="s">
        <v>102</v>
      </c>
      <c r="D4">
        <v>4000</v>
      </c>
    </row>
    <row r="5" spans="1:4" x14ac:dyDescent="0.25">
      <c r="A5" t="s">
        <v>24</v>
      </c>
      <c r="B5" t="s">
        <v>103</v>
      </c>
      <c r="C5" t="s">
        <v>102</v>
      </c>
      <c r="D5">
        <v>4000</v>
      </c>
    </row>
    <row r="6" spans="1:4" x14ac:dyDescent="0.25">
      <c r="A6" t="s">
        <v>36</v>
      </c>
      <c r="B6" t="s">
        <v>104</v>
      </c>
      <c r="C6" t="s">
        <v>105</v>
      </c>
      <c r="D6">
        <v>4000</v>
      </c>
    </row>
  </sheetData>
  <mergeCells count="1">
    <mergeCell ref="A1:D2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V57"/>
  <sheetViews>
    <sheetView zoomScale="80" zoomScaleNormal="80" workbookViewId="0">
      <selection activeCell="T10" sqref="T10"/>
    </sheetView>
  </sheetViews>
  <sheetFormatPr baseColWidth="10" defaultColWidth="9.140625" defaultRowHeight="15" x14ac:dyDescent="0.25"/>
  <cols>
    <col min="2" max="2" width="12" customWidth="1"/>
    <col min="3" max="3" width="44" customWidth="1"/>
    <col min="4" max="4" width="19.5703125" customWidth="1"/>
    <col min="5" max="5" width="17" customWidth="1"/>
    <col min="6" max="6" width="16.140625" customWidth="1"/>
    <col min="11" max="11" width="13.5703125" customWidth="1"/>
    <col min="18" max="18" width="2.28515625" customWidth="1"/>
    <col min="19" max="19" width="41.7109375" customWidth="1"/>
    <col min="21" max="21" width="1.42578125" customWidth="1"/>
  </cols>
  <sheetData>
    <row r="1" spans="1:22" x14ac:dyDescent="0.25">
      <c r="A1" s="101" t="s">
        <v>41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</row>
    <row r="2" spans="1:22" x14ac:dyDescent="0.25">
      <c r="A2" s="101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</row>
    <row r="3" spans="1:22" ht="15.75" thickBot="1" x14ac:dyDescent="0.3">
      <c r="A3" s="101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</row>
    <row r="4" spans="1:22" ht="16.5" thickBot="1" x14ac:dyDescent="0.3">
      <c r="A4" s="102"/>
      <c r="B4" s="99" t="s">
        <v>42</v>
      </c>
      <c r="C4" s="103"/>
      <c r="D4" s="104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</row>
    <row r="5" spans="1:22" ht="15.75" thickBot="1" x14ac:dyDescent="0.3">
      <c r="A5" s="102"/>
      <c r="B5" s="21" t="s">
        <v>43</v>
      </c>
      <c r="C5" s="22"/>
      <c r="D5" s="104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</row>
    <row r="6" spans="1:22" ht="15.75" thickBot="1" x14ac:dyDescent="0.3">
      <c r="A6" s="102"/>
      <c r="B6" s="21" t="s">
        <v>44</v>
      </c>
      <c r="C6" s="23">
        <v>42736</v>
      </c>
      <c r="D6" s="104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</row>
    <row r="7" spans="1:22" ht="15.75" thickBot="1" x14ac:dyDescent="0.3">
      <c r="A7" s="102"/>
      <c r="B7" s="21" t="s">
        <v>45</v>
      </c>
      <c r="C7" s="24" t="s">
        <v>23</v>
      </c>
      <c r="D7" s="104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</row>
    <row r="8" spans="1:22" x14ac:dyDescent="0.25">
      <c r="A8" s="106"/>
      <c r="B8" s="106"/>
      <c r="C8" s="106"/>
      <c r="D8" s="106"/>
      <c r="E8" s="106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106"/>
      <c r="Q8" s="106"/>
    </row>
    <row r="9" spans="1:22" ht="39" thickBot="1" x14ac:dyDescent="0.3">
      <c r="A9" s="25" t="s">
        <v>46</v>
      </c>
      <c r="B9" s="25" t="s">
        <v>47</v>
      </c>
      <c r="C9" s="26" t="s">
        <v>48</v>
      </c>
      <c r="D9" s="26" t="s">
        <v>49</v>
      </c>
      <c r="E9" s="26" t="s">
        <v>8</v>
      </c>
      <c r="F9" s="26" t="s">
        <v>11</v>
      </c>
      <c r="G9" s="26" t="s">
        <v>6</v>
      </c>
      <c r="H9" s="26" t="s">
        <v>50</v>
      </c>
      <c r="I9" s="26" t="s">
        <v>51</v>
      </c>
      <c r="J9" s="26" t="s">
        <v>52</v>
      </c>
      <c r="K9" s="26" t="s">
        <v>53</v>
      </c>
      <c r="L9" s="27" t="s">
        <v>10</v>
      </c>
      <c r="M9" s="26" t="s">
        <v>54</v>
      </c>
      <c r="N9" s="26" t="s">
        <v>55</v>
      </c>
      <c r="O9" s="26" t="s">
        <v>56</v>
      </c>
      <c r="P9" s="27" t="s">
        <v>57</v>
      </c>
      <c r="Q9" s="27" t="s">
        <v>58</v>
      </c>
      <c r="R9" s="28"/>
      <c r="U9" s="28"/>
      <c r="V9" s="28"/>
    </row>
    <row r="10" spans="1:22" x14ac:dyDescent="0.25">
      <c r="A10" s="29">
        <v>1</v>
      </c>
      <c r="B10" s="30"/>
      <c r="C10" s="31" t="s">
        <v>59</v>
      </c>
      <c r="D10" s="32"/>
      <c r="E10" s="33"/>
      <c r="F10" s="33" t="s">
        <v>29</v>
      </c>
      <c r="G10" s="34">
        <f t="shared" ref="G10:G57" si="0">IF(C10="","",VLOOKUP(C10,$S$31:$T$48,2,FALSE))</f>
        <v>40</v>
      </c>
      <c r="H10" s="35"/>
      <c r="I10" s="36"/>
      <c r="J10" s="36"/>
      <c r="K10" s="31" t="s">
        <v>28</v>
      </c>
      <c r="L10" s="37" t="s">
        <v>60</v>
      </c>
      <c r="M10" s="38">
        <f t="shared" ref="M10:M57" si="1" xml:space="preserve"> IF(TRIM(H10)="",G10,H10)</f>
        <v>40</v>
      </c>
      <c r="N10" s="34">
        <f t="shared" ref="N10:N57" si="2">IF(M10="","",    IF(K10&lt;&gt;"Différé",M10+I10,   I10+J10))</f>
        <v>40</v>
      </c>
      <c r="O10" s="35"/>
      <c r="P10" s="34">
        <f t="shared" ref="P10:P57" si="3">IF(AND(N10="",O10=""),"",   N10+O10)</f>
        <v>40</v>
      </c>
      <c r="Q10" s="37"/>
      <c r="R10" s="28"/>
      <c r="U10" s="28"/>
    </row>
    <row r="11" spans="1:22" x14ac:dyDescent="0.25">
      <c r="A11" s="39">
        <v>4</v>
      </c>
      <c r="B11" s="40"/>
      <c r="C11" s="31" t="s">
        <v>61</v>
      </c>
      <c r="D11" s="41"/>
      <c r="E11" s="33"/>
      <c r="F11" s="33" t="s">
        <v>62</v>
      </c>
      <c r="G11" s="34">
        <f t="shared" si="0"/>
        <v>29</v>
      </c>
      <c r="H11" s="42"/>
      <c r="I11" s="43"/>
      <c r="J11" s="36"/>
      <c r="K11" s="31" t="s">
        <v>63</v>
      </c>
      <c r="L11" s="37"/>
      <c r="M11" s="38">
        <f t="shared" si="1"/>
        <v>29</v>
      </c>
      <c r="N11" s="34">
        <f t="shared" si="2"/>
        <v>29</v>
      </c>
      <c r="O11" s="35"/>
      <c r="P11" s="34">
        <f t="shared" si="3"/>
        <v>29</v>
      </c>
      <c r="Q11" s="44"/>
      <c r="R11" s="28"/>
      <c r="U11" s="45"/>
    </row>
    <row r="12" spans="1:22" x14ac:dyDescent="0.25">
      <c r="A12" s="39">
        <v>5</v>
      </c>
      <c r="B12" s="40"/>
      <c r="C12" s="31"/>
      <c r="D12" s="41"/>
      <c r="E12" s="33"/>
      <c r="F12" s="33"/>
      <c r="G12" s="34" t="str">
        <f t="shared" si="0"/>
        <v/>
      </c>
      <c r="H12" s="42"/>
      <c r="I12" s="43"/>
      <c r="J12" s="36"/>
      <c r="K12" s="31"/>
      <c r="L12" s="37"/>
      <c r="M12" s="38" t="str">
        <f t="shared" si="1"/>
        <v/>
      </c>
      <c r="N12" s="34" t="str">
        <f t="shared" si="2"/>
        <v/>
      </c>
      <c r="O12" s="35"/>
      <c r="P12" s="34" t="str">
        <f t="shared" si="3"/>
        <v/>
      </c>
      <c r="Q12" s="44"/>
      <c r="R12" s="28"/>
      <c r="U12" s="45"/>
    </row>
    <row r="13" spans="1:22" ht="15.75" thickBot="1" x14ac:dyDescent="0.3">
      <c r="A13" s="39">
        <v>6</v>
      </c>
      <c r="B13" s="40"/>
      <c r="C13" s="31"/>
      <c r="D13" s="41"/>
      <c r="E13" s="33"/>
      <c r="F13" s="33"/>
      <c r="G13" s="34" t="str">
        <f t="shared" si="0"/>
        <v/>
      </c>
      <c r="H13" s="42"/>
      <c r="I13" s="43"/>
      <c r="J13" s="36"/>
      <c r="K13" s="31"/>
      <c r="L13" s="37"/>
      <c r="M13" s="38" t="str">
        <f t="shared" si="1"/>
        <v/>
      </c>
      <c r="N13" s="34" t="str">
        <f t="shared" si="2"/>
        <v/>
      </c>
      <c r="O13" s="35"/>
      <c r="P13" s="34" t="str">
        <f t="shared" si="3"/>
        <v/>
      </c>
      <c r="Q13" s="44"/>
      <c r="R13" s="28"/>
      <c r="S13" s="28"/>
      <c r="T13" s="46"/>
      <c r="U13" s="28"/>
      <c r="V13" s="28"/>
    </row>
    <row r="14" spans="1:22" x14ac:dyDescent="0.25">
      <c r="A14" s="39">
        <v>7</v>
      </c>
      <c r="B14" s="40"/>
      <c r="C14" s="31"/>
      <c r="D14" s="41"/>
      <c r="E14" s="33"/>
      <c r="F14" s="33"/>
      <c r="G14" s="34" t="str">
        <f t="shared" si="0"/>
        <v/>
      </c>
      <c r="H14" s="42"/>
      <c r="I14" s="43"/>
      <c r="J14" s="36"/>
      <c r="K14" s="31"/>
      <c r="L14" s="37"/>
      <c r="M14" s="38" t="str">
        <f t="shared" si="1"/>
        <v/>
      </c>
      <c r="N14" s="34" t="str">
        <f t="shared" si="2"/>
        <v/>
      </c>
      <c r="O14" s="35"/>
      <c r="P14" s="34" t="str">
        <f t="shared" si="3"/>
        <v/>
      </c>
      <c r="Q14" s="44"/>
      <c r="R14" s="28"/>
      <c r="S14" s="99" t="s">
        <v>64</v>
      </c>
      <c r="T14" s="103"/>
      <c r="U14" s="28"/>
      <c r="V14" s="93" t="s">
        <v>65</v>
      </c>
    </row>
    <row r="15" spans="1:22" ht="15.75" thickBot="1" x14ac:dyDescent="0.3">
      <c r="A15" s="39">
        <v>8</v>
      </c>
      <c r="B15" s="40"/>
      <c r="C15" s="31"/>
      <c r="D15" s="41"/>
      <c r="E15" s="33"/>
      <c r="F15" s="33"/>
      <c r="G15" s="34" t="str">
        <f t="shared" si="0"/>
        <v/>
      </c>
      <c r="H15" s="42"/>
      <c r="I15" s="43"/>
      <c r="J15" s="36"/>
      <c r="K15" s="31"/>
      <c r="L15" s="37"/>
      <c r="M15" s="38" t="str">
        <f t="shared" si="1"/>
        <v/>
      </c>
      <c r="N15" s="34" t="str">
        <f t="shared" si="2"/>
        <v/>
      </c>
      <c r="O15" s="35"/>
      <c r="P15" s="34" t="str">
        <f t="shared" si="3"/>
        <v/>
      </c>
      <c r="Q15" s="44"/>
      <c r="R15" s="28"/>
      <c r="S15" s="100"/>
      <c r="T15" s="107"/>
      <c r="U15" s="47"/>
      <c r="V15" s="94"/>
    </row>
    <row r="16" spans="1:22" x14ac:dyDescent="0.25">
      <c r="A16" s="39">
        <v>9</v>
      </c>
      <c r="B16" s="40"/>
      <c r="C16" s="31"/>
      <c r="D16" s="41"/>
      <c r="E16" s="33"/>
      <c r="F16" s="33"/>
      <c r="G16" s="34" t="str">
        <f t="shared" si="0"/>
        <v/>
      </c>
      <c r="H16" s="42"/>
      <c r="I16" s="43"/>
      <c r="J16" s="36"/>
      <c r="K16" s="31"/>
      <c r="L16" s="37"/>
      <c r="M16" s="38" t="str">
        <f t="shared" si="1"/>
        <v/>
      </c>
      <c r="N16" s="34" t="str">
        <f t="shared" si="2"/>
        <v/>
      </c>
      <c r="O16" s="35"/>
      <c r="P16" s="34" t="str">
        <f t="shared" si="3"/>
        <v/>
      </c>
      <c r="Q16" s="44"/>
      <c r="R16" s="48"/>
      <c r="S16" s="49" t="s">
        <v>66</v>
      </c>
      <c r="T16" s="50">
        <f>SUMIF($K$10:$K$57,"Cash",$N$10:$N$57)</f>
        <v>29</v>
      </c>
      <c r="U16" s="28"/>
      <c r="V16" s="51">
        <f>COUNTIF($K$10:$K$57,"Cash")</f>
        <v>1</v>
      </c>
    </row>
    <row r="17" spans="1:22" x14ac:dyDescent="0.25">
      <c r="A17" s="39">
        <v>10</v>
      </c>
      <c r="B17" s="40"/>
      <c r="C17" s="31"/>
      <c r="D17" s="41"/>
      <c r="E17" s="33"/>
      <c r="F17" s="33"/>
      <c r="G17" s="34" t="str">
        <f t="shared" si="0"/>
        <v/>
      </c>
      <c r="H17" s="42"/>
      <c r="I17" s="43"/>
      <c r="J17" s="36"/>
      <c r="K17" s="31"/>
      <c r="L17" s="37"/>
      <c r="M17" s="38" t="str">
        <f t="shared" si="1"/>
        <v/>
      </c>
      <c r="N17" s="34" t="str">
        <f t="shared" si="2"/>
        <v/>
      </c>
      <c r="O17" s="35"/>
      <c r="P17" s="34" t="str">
        <f t="shared" si="3"/>
        <v/>
      </c>
      <c r="Q17" s="44"/>
      <c r="R17" s="28"/>
      <c r="S17" s="52" t="s">
        <v>67</v>
      </c>
      <c r="T17" s="53">
        <f>SUMIF($K$10:$K$57,"Bancontact",$N$10:$N$57)</f>
        <v>40</v>
      </c>
      <c r="U17" s="28"/>
      <c r="V17" s="54">
        <f>COUNTIF($K$10:$K$57,"Bancontact")</f>
        <v>1</v>
      </c>
    </row>
    <row r="18" spans="1:22" x14ac:dyDescent="0.25">
      <c r="A18" s="39">
        <v>11</v>
      </c>
      <c r="B18" s="40"/>
      <c r="C18" s="31"/>
      <c r="D18" s="41"/>
      <c r="E18" s="33"/>
      <c r="F18" s="33"/>
      <c r="G18" s="34" t="str">
        <f t="shared" si="0"/>
        <v/>
      </c>
      <c r="H18" s="42"/>
      <c r="I18" s="43"/>
      <c r="J18" s="36"/>
      <c r="K18" s="31"/>
      <c r="L18" s="37"/>
      <c r="M18" s="38" t="str">
        <f t="shared" si="1"/>
        <v/>
      </c>
      <c r="N18" s="34" t="str">
        <f t="shared" si="2"/>
        <v/>
      </c>
      <c r="O18" s="35"/>
      <c r="P18" s="34" t="str">
        <f t="shared" si="3"/>
        <v/>
      </c>
      <c r="Q18" s="44"/>
      <c r="R18" s="28"/>
      <c r="S18" s="52" t="s">
        <v>68</v>
      </c>
      <c r="T18" s="53">
        <f>SUM(I10:I57)</f>
        <v>0</v>
      </c>
      <c r="U18" s="55"/>
      <c r="V18" s="54">
        <f>COUNT($I$10:$I$57)</f>
        <v>0</v>
      </c>
    </row>
    <row r="19" spans="1:22" x14ac:dyDescent="0.25">
      <c r="A19" s="39">
        <v>12</v>
      </c>
      <c r="B19" s="40"/>
      <c r="C19" s="31"/>
      <c r="D19" s="41"/>
      <c r="E19" s="33"/>
      <c r="F19" s="33"/>
      <c r="G19" s="34" t="str">
        <f t="shared" si="0"/>
        <v/>
      </c>
      <c r="H19" s="42"/>
      <c r="I19" s="43"/>
      <c r="J19" s="36"/>
      <c r="K19" s="31"/>
      <c r="L19" s="37"/>
      <c r="M19" s="38" t="str">
        <f t="shared" si="1"/>
        <v/>
      </c>
      <c r="N19" s="34" t="str">
        <f t="shared" si="2"/>
        <v/>
      </c>
      <c r="O19" s="35"/>
      <c r="P19" s="34" t="str">
        <f t="shared" si="3"/>
        <v/>
      </c>
      <c r="Q19" s="44"/>
      <c r="R19" s="28"/>
      <c r="S19" s="56" t="s">
        <v>69</v>
      </c>
      <c r="T19" s="57">
        <f>SUMIF($L$10:$L$57,"⅓ payant C",$J$10:$J$57)</f>
        <v>0</v>
      </c>
      <c r="U19" s="55"/>
      <c r="V19" s="58">
        <f>COUNTIF($L$10:$L$57,"⅓ payant C")</f>
        <v>0</v>
      </c>
    </row>
    <row r="20" spans="1:22" ht="15.75" thickBot="1" x14ac:dyDescent="0.3">
      <c r="A20" s="39">
        <v>13</v>
      </c>
      <c r="B20" s="40"/>
      <c r="C20" s="31"/>
      <c r="D20" s="41"/>
      <c r="E20" s="33"/>
      <c r="F20" s="33"/>
      <c r="G20" s="34" t="str">
        <f t="shared" si="0"/>
        <v/>
      </c>
      <c r="H20" s="42"/>
      <c r="I20" s="43"/>
      <c r="J20" s="36"/>
      <c r="K20" s="31"/>
      <c r="L20" s="37"/>
      <c r="M20" s="38" t="str">
        <f t="shared" si="1"/>
        <v/>
      </c>
      <c r="N20" s="34" t="str">
        <f t="shared" si="2"/>
        <v/>
      </c>
      <c r="O20" s="35"/>
      <c r="P20" s="34" t="str">
        <f t="shared" si="3"/>
        <v/>
      </c>
      <c r="Q20" s="44"/>
      <c r="R20" s="28"/>
      <c r="S20" s="59" t="s">
        <v>70</v>
      </c>
      <c r="T20" s="60">
        <f>SUMIF($L$10:$L$57,"⅓ payant BC",$J$10:$J$57)</f>
        <v>0</v>
      </c>
      <c r="U20" s="55"/>
      <c r="V20" s="61">
        <f>COUNTIF($L$10:$L$57,"⅓ payant BC")</f>
        <v>0</v>
      </c>
    </row>
    <row r="21" spans="1:22" ht="15.75" thickBot="1" x14ac:dyDescent="0.3">
      <c r="A21" s="39">
        <v>14</v>
      </c>
      <c r="B21" s="40"/>
      <c r="C21" s="31"/>
      <c r="D21" s="41"/>
      <c r="E21" s="33"/>
      <c r="F21" s="33"/>
      <c r="G21" s="34" t="str">
        <f t="shared" si="0"/>
        <v/>
      </c>
      <c r="H21" s="42"/>
      <c r="I21" s="43"/>
      <c r="J21" s="36"/>
      <c r="K21" s="31"/>
      <c r="L21" s="37"/>
      <c r="M21" s="38" t="str">
        <f t="shared" si="1"/>
        <v/>
      </c>
      <c r="N21" s="34" t="str">
        <f t="shared" si="2"/>
        <v/>
      </c>
      <c r="O21" s="35"/>
      <c r="P21" s="34" t="str">
        <f t="shared" si="3"/>
        <v/>
      </c>
      <c r="Q21" s="44"/>
      <c r="R21" s="28"/>
      <c r="S21" s="62" t="s">
        <v>71</v>
      </c>
      <c r="T21" s="60">
        <f>SUM(N10:N57)</f>
        <v>69</v>
      </c>
      <c r="U21" s="28"/>
      <c r="V21" s="63"/>
    </row>
    <row r="22" spans="1:22" ht="15.75" thickBot="1" x14ac:dyDescent="0.3">
      <c r="A22" s="39">
        <v>15</v>
      </c>
      <c r="B22" s="40"/>
      <c r="C22" s="31"/>
      <c r="D22" s="41"/>
      <c r="E22" s="33"/>
      <c r="F22" s="33"/>
      <c r="G22" s="34" t="str">
        <f t="shared" si="0"/>
        <v/>
      </c>
      <c r="H22" s="42"/>
      <c r="I22" s="43"/>
      <c r="J22" s="36"/>
      <c r="K22" s="31"/>
      <c r="L22" s="37"/>
      <c r="M22" s="38" t="str">
        <f t="shared" si="1"/>
        <v/>
      </c>
      <c r="N22" s="34" t="str">
        <f t="shared" si="2"/>
        <v/>
      </c>
      <c r="O22" s="35"/>
      <c r="P22" s="34" t="str">
        <f t="shared" si="3"/>
        <v/>
      </c>
      <c r="Q22" s="44"/>
      <c r="R22" s="28"/>
      <c r="S22" s="28"/>
      <c r="T22" s="28"/>
      <c r="U22" s="28"/>
      <c r="V22" s="63"/>
    </row>
    <row r="23" spans="1:22" ht="15.75" thickBot="1" x14ac:dyDescent="0.3">
      <c r="A23" s="39">
        <v>16</v>
      </c>
      <c r="B23" s="40"/>
      <c r="C23" s="31"/>
      <c r="D23" s="41"/>
      <c r="E23" s="33"/>
      <c r="F23" s="33"/>
      <c r="G23" s="34" t="str">
        <f t="shared" si="0"/>
        <v/>
      </c>
      <c r="H23" s="42"/>
      <c r="I23" s="43"/>
      <c r="J23" s="36"/>
      <c r="K23" s="31"/>
      <c r="L23" s="37"/>
      <c r="M23" s="38" t="str">
        <f t="shared" si="1"/>
        <v/>
      </c>
      <c r="N23" s="34" t="str">
        <f t="shared" si="2"/>
        <v/>
      </c>
      <c r="O23" s="35"/>
      <c r="P23" s="34" t="str">
        <f t="shared" si="3"/>
        <v/>
      </c>
      <c r="Q23" s="44"/>
      <c r="R23" s="28"/>
      <c r="S23" s="95" t="s">
        <v>72</v>
      </c>
      <c r="T23" s="96"/>
      <c r="U23" s="28"/>
      <c r="V23" s="63"/>
    </row>
    <row r="24" spans="1:22" x14ac:dyDescent="0.25">
      <c r="A24" s="39">
        <v>17</v>
      </c>
      <c r="B24" s="40"/>
      <c r="C24" s="31"/>
      <c r="D24" s="41"/>
      <c r="E24" s="33"/>
      <c r="F24" s="33"/>
      <c r="G24" s="34" t="str">
        <f t="shared" si="0"/>
        <v/>
      </c>
      <c r="H24" s="42"/>
      <c r="I24" s="43"/>
      <c r="J24" s="36"/>
      <c r="K24" s="31"/>
      <c r="L24" s="37"/>
      <c r="M24" s="38" t="str">
        <f t="shared" si="1"/>
        <v/>
      </c>
      <c r="N24" s="34" t="str">
        <f t="shared" si="2"/>
        <v/>
      </c>
      <c r="O24" s="35"/>
      <c r="P24" s="34" t="str">
        <f t="shared" si="3"/>
        <v/>
      </c>
      <c r="Q24" s="44"/>
      <c r="R24" s="28"/>
      <c r="S24" s="64" t="s">
        <v>73</v>
      </c>
      <c r="T24" s="50">
        <f>SUMIF($K$10:$K$57,"Différé",  $M$10:$M$57 )</f>
        <v>0</v>
      </c>
      <c r="U24" s="28"/>
      <c r="V24" s="51">
        <f>COUNTIF($K$10:$K$57,"Différé")</f>
        <v>0</v>
      </c>
    </row>
    <row r="25" spans="1:22" x14ac:dyDescent="0.25">
      <c r="A25" s="39">
        <v>18</v>
      </c>
      <c r="B25" s="40"/>
      <c r="C25" s="31"/>
      <c r="D25" s="41"/>
      <c r="E25" s="33"/>
      <c r="F25" s="33"/>
      <c r="G25" s="34" t="str">
        <f t="shared" si="0"/>
        <v/>
      </c>
      <c r="H25" s="42"/>
      <c r="I25" s="43"/>
      <c r="J25" s="36"/>
      <c r="K25" s="31"/>
      <c r="L25" s="37"/>
      <c r="M25" s="38" t="str">
        <f t="shared" si="1"/>
        <v/>
      </c>
      <c r="N25" s="34" t="str">
        <f t="shared" si="2"/>
        <v/>
      </c>
      <c r="O25" s="35"/>
      <c r="P25" s="34" t="str">
        <f t="shared" si="3"/>
        <v/>
      </c>
      <c r="Q25" s="44"/>
      <c r="R25" s="28"/>
      <c r="S25" s="65" t="s">
        <v>74</v>
      </c>
      <c r="T25" s="53">
        <f>SUM(O10:O57)</f>
        <v>0</v>
      </c>
      <c r="U25" s="28"/>
      <c r="V25" s="54">
        <f>COUNT($O$10:$O$57)</f>
        <v>0</v>
      </c>
    </row>
    <row r="26" spans="1:22" ht="15.75" thickBot="1" x14ac:dyDescent="0.3">
      <c r="A26" s="39">
        <v>19</v>
      </c>
      <c r="B26" s="40"/>
      <c r="C26" s="31"/>
      <c r="D26" s="41"/>
      <c r="E26" s="33"/>
      <c r="F26" s="33"/>
      <c r="G26" s="34" t="str">
        <f t="shared" si="0"/>
        <v/>
      </c>
      <c r="H26" s="42"/>
      <c r="I26" s="43"/>
      <c r="J26" s="36"/>
      <c r="K26" s="31"/>
      <c r="L26" s="37"/>
      <c r="M26" s="38" t="str">
        <f t="shared" si="1"/>
        <v/>
      </c>
      <c r="N26" s="34" t="str">
        <f t="shared" si="2"/>
        <v/>
      </c>
      <c r="O26" s="35"/>
      <c r="P26" s="34" t="str">
        <f t="shared" si="3"/>
        <v/>
      </c>
      <c r="Q26" s="44"/>
      <c r="R26" s="28"/>
      <c r="S26" s="97" t="s">
        <v>75</v>
      </c>
      <c r="T26" s="98"/>
      <c r="U26" s="55"/>
      <c r="V26" s="66">
        <f>V24-V25</f>
        <v>0</v>
      </c>
    </row>
    <row r="27" spans="1:22" ht="15.75" thickBot="1" x14ac:dyDescent="0.3">
      <c r="A27" s="39">
        <v>20</v>
      </c>
      <c r="B27" s="40"/>
      <c r="C27" s="31"/>
      <c r="D27" s="41"/>
      <c r="E27" s="33"/>
      <c r="F27" s="33"/>
      <c r="G27" s="34" t="str">
        <f t="shared" si="0"/>
        <v/>
      </c>
      <c r="H27" s="42"/>
      <c r="I27" s="43"/>
      <c r="J27" s="36"/>
      <c r="K27" s="31"/>
      <c r="L27" s="37"/>
      <c r="M27" s="38" t="str">
        <f t="shared" si="1"/>
        <v/>
      </c>
      <c r="N27" s="34" t="str">
        <f t="shared" si="2"/>
        <v/>
      </c>
      <c r="O27" s="35"/>
      <c r="P27" s="34" t="str">
        <f t="shared" si="3"/>
        <v/>
      </c>
      <c r="Q27" s="44"/>
      <c r="R27" s="28"/>
      <c r="S27" s="62" t="s">
        <v>76</v>
      </c>
      <c r="T27" s="67">
        <f>SUM(P10:P57)</f>
        <v>69</v>
      </c>
      <c r="U27" s="55"/>
      <c r="V27" s="68">
        <f>COUNT($P$10:$P$57)</f>
        <v>2</v>
      </c>
    </row>
    <row r="28" spans="1:22" ht="15.75" thickBot="1" x14ac:dyDescent="0.3">
      <c r="A28" s="39">
        <v>21</v>
      </c>
      <c r="B28" s="40"/>
      <c r="C28" s="31"/>
      <c r="D28" s="41"/>
      <c r="E28" s="33"/>
      <c r="F28" s="33"/>
      <c r="G28" s="34" t="str">
        <f t="shared" si="0"/>
        <v/>
      </c>
      <c r="H28" s="42"/>
      <c r="I28" s="43"/>
      <c r="J28" s="36"/>
      <c r="K28" s="31"/>
      <c r="L28" s="37"/>
      <c r="M28" s="38" t="str">
        <f t="shared" si="1"/>
        <v/>
      </c>
      <c r="N28" s="34" t="str">
        <f t="shared" si="2"/>
        <v/>
      </c>
      <c r="O28" s="35"/>
      <c r="P28" s="34" t="str">
        <f t="shared" si="3"/>
        <v/>
      </c>
      <c r="Q28" s="44"/>
      <c r="R28" s="28"/>
      <c r="S28" s="28"/>
      <c r="T28" s="69"/>
      <c r="U28" s="28"/>
      <c r="V28" s="63"/>
    </row>
    <row r="29" spans="1:22" x14ac:dyDescent="0.25">
      <c r="A29" s="39">
        <v>22</v>
      </c>
      <c r="B29" s="40"/>
      <c r="C29" s="31"/>
      <c r="D29" s="41"/>
      <c r="E29" s="33"/>
      <c r="F29" s="33"/>
      <c r="G29" s="34" t="str">
        <f t="shared" si="0"/>
        <v/>
      </c>
      <c r="H29" s="42"/>
      <c r="I29" s="43"/>
      <c r="J29" s="36"/>
      <c r="K29" s="31"/>
      <c r="L29" s="37"/>
      <c r="M29" s="38" t="str">
        <f t="shared" si="1"/>
        <v/>
      </c>
      <c r="N29" s="34" t="str">
        <f t="shared" si="2"/>
        <v/>
      </c>
      <c r="O29" s="35"/>
      <c r="P29" s="34" t="str">
        <f t="shared" si="3"/>
        <v/>
      </c>
      <c r="Q29" s="44"/>
      <c r="R29" s="28"/>
      <c r="S29" s="99" t="s">
        <v>77</v>
      </c>
      <c r="T29" s="99" t="s">
        <v>78</v>
      </c>
      <c r="U29" s="28"/>
      <c r="V29" s="63"/>
    </row>
    <row r="30" spans="1:22" ht="15.75" thickBot="1" x14ac:dyDescent="0.3">
      <c r="A30" s="39">
        <v>23</v>
      </c>
      <c r="B30" s="40"/>
      <c r="C30" s="31"/>
      <c r="D30" s="41"/>
      <c r="E30" s="33"/>
      <c r="F30" s="33"/>
      <c r="G30" s="34" t="str">
        <f t="shared" si="0"/>
        <v/>
      </c>
      <c r="H30" s="42"/>
      <c r="I30" s="43"/>
      <c r="J30" s="36"/>
      <c r="K30" s="31"/>
      <c r="L30" s="37"/>
      <c r="M30" s="38" t="str">
        <f t="shared" si="1"/>
        <v/>
      </c>
      <c r="N30" s="34" t="str">
        <f t="shared" si="2"/>
        <v/>
      </c>
      <c r="O30" s="35"/>
      <c r="P30" s="34" t="str">
        <f t="shared" si="3"/>
        <v/>
      </c>
      <c r="Q30" s="44"/>
      <c r="R30" s="28"/>
      <c r="S30" s="100"/>
      <c r="T30" s="100"/>
      <c r="U30" s="55"/>
      <c r="V30" s="63"/>
    </row>
    <row r="31" spans="1:22" x14ac:dyDescent="0.25">
      <c r="A31" s="39">
        <v>24</v>
      </c>
      <c r="B31" s="40"/>
      <c r="C31" s="31"/>
      <c r="D31" s="41"/>
      <c r="E31" s="33"/>
      <c r="F31" s="33"/>
      <c r="G31" s="34" t="str">
        <f t="shared" si="0"/>
        <v/>
      </c>
      <c r="H31" s="42"/>
      <c r="I31" s="43"/>
      <c r="J31" s="36"/>
      <c r="K31" s="31"/>
      <c r="L31" s="37"/>
      <c r="M31" s="38" t="str">
        <f t="shared" si="1"/>
        <v/>
      </c>
      <c r="N31" s="34" t="str">
        <f t="shared" si="2"/>
        <v/>
      </c>
      <c r="O31" s="35"/>
      <c r="P31" s="34" t="str">
        <f t="shared" si="3"/>
        <v/>
      </c>
      <c r="Q31" s="44"/>
      <c r="R31" s="28"/>
      <c r="S31" s="70" t="s">
        <v>61</v>
      </c>
      <c r="T31" s="71">
        <v>29</v>
      </c>
      <c r="U31" s="55"/>
      <c r="V31" s="72">
        <f>COUNTIF($C$10:$C$57,"Vend et veille JF - JOUR - Consultation")</f>
        <v>1</v>
      </c>
    </row>
    <row r="32" spans="1:22" x14ac:dyDescent="0.25">
      <c r="A32" s="39">
        <v>25</v>
      </c>
      <c r="B32" s="40"/>
      <c r="C32" s="31"/>
      <c r="D32" s="41"/>
      <c r="E32" s="33"/>
      <c r="F32" s="33"/>
      <c r="G32" s="34" t="str">
        <f t="shared" si="0"/>
        <v/>
      </c>
      <c r="H32" s="42"/>
      <c r="I32" s="43"/>
      <c r="J32" s="36"/>
      <c r="K32" s="31"/>
      <c r="L32" s="37"/>
      <c r="M32" s="38" t="str">
        <f t="shared" si="1"/>
        <v/>
      </c>
      <c r="N32" s="34" t="str">
        <f t="shared" si="2"/>
        <v/>
      </c>
      <c r="O32" s="35"/>
      <c r="P32" s="34" t="str">
        <f t="shared" si="3"/>
        <v/>
      </c>
      <c r="Q32" s="44"/>
      <c r="R32" s="28"/>
      <c r="S32" s="73" t="s">
        <v>79</v>
      </c>
      <c r="T32" s="74">
        <v>25</v>
      </c>
      <c r="U32" s="55"/>
      <c r="V32" s="75">
        <f>COUNTIF($C$10:$C$57,"Vend et veille JF - JOUR - Consultation NA")</f>
        <v>0</v>
      </c>
    </row>
    <row r="33" spans="1:22" x14ac:dyDescent="0.25">
      <c r="A33" s="39">
        <v>26</v>
      </c>
      <c r="B33" s="40"/>
      <c r="C33" s="31"/>
      <c r="D33" s="41"/>
      <c r="E33" s="33"/>
      <c r="F33" s="33"/>
      <c r="G33" s="34" t="str">
        <f t="shared" si="0"/>
        <v/>
      </c>
      <c r="H33" s="42"/>
      <c r="I33" s="43"/>
      <c r="J33" s="36"/>
      <c r="K33" s="31"/>
      <c r="L33" s="37"/>
      <c r="M33" s="38" t="str">
        <f t="shared" si="1"/>
        <v/>
      </c>
      <c r="N33" s="34" t="str">
        <f t="shared" si="2"/>
        <v/>
      </c>
      <c r="O33" s="35"/>
      <c r="P33" s="34" t="str">
        <f t="shared" si="3"/>
        <v/>
      </c>
      <c r="Q33" s="44"/>
      <c r="R33" s="28"/>
      <c r="S33" s="73" t="s">
        <v>80</v>
      </c>
      <c r="T33" s="76">
        <v>49</v>
      </c>
      <c r="U33" s="55"/>
      <c r="V33" s="75">
        <f>COUNTIF($C$10:$C$57,"Vend et veille JF - JOUR - Visite 1 bénéficiare")</f>
        <v>0</v>
      </c>
    </row>
    <row r="34" spans="1:22" x14ac:dyDescent="0.25">
      <c r="A34" s="39">
        <v>27</v>
      </c>
      <c r="B34" s="40"/>
      <c r="C34" s="31"/>
      <c r="D34" s="41"/>
      <c r="E34" s="33"/>
      <c r="F34" s="33"/>
      <c r="G34" s="34" t="str">
        <f t="shared" si="0"/>
        <v/>
      </c>
      <c r="H34" s="42"/>
      <c r="I34" s="43"/>
      <c r="J34" s="36"/>
      <c r="K34" s="31"/>
      <c r="L34" s="37"/>
      <c r="M34" s="38" t="str">
        <f t="shared" si="1"/>
        <v/>
      </c>
      <c r="N34" s="34" t="str">
        <f t="shared" si="2"/>
        <v/>
      </c>
      <c r="O34" s="35"/>
      <c r="P34" s="34" t="str">
        <f t="shared" si="3"/>
        <v/>
      </c>
      <c r="Q34" s="44"/>
      <c r="R34" s="28"/>
      <c r="S34" s="73" t="s">
        <v>81</v>
      </c>
      <c r="T34" s="76">
        <v>42</v>
      </c>
      <c r="U34" s="28"/>
      <c r="V34" s="75">
        <f>COUNTIF($C$10:$C$57,"Vend et veille JF - JOUR - Visite 2 bénéficiaires")</f>
        <v>0</v>
      </c>
    </row>
    <row r="35" spans="1:22" ht="15.75" thickBot="1" x14ac:dyDescent="0.3">
      <c r="A35" s="39">
        <v>28</v>
      </c>
      <c r="B35" s="40"/>
      <c r="C35" s="31"/>
      <c r="D35" s="41"/>
      <c r="E35" s="33"/>
      <c r="F35" s="33"/>
      <c r="G35" s="34" t="str">
        <f t="shared" si="0"/>
        <v/>
      </c>
      <c r="H35" s="42"/>
      <c r="I35" s="43"/>
      <c r="J35" s="36"/>
      <c r="K35" s="31"/>
      <c r="L35" s="37"/>
      <c r="M35" s="38" t="str">
        <f t="shared" si="1"/>
        <v/>
      </c>
      <c r="N35" s="34" t="str">
        <f t="shared" si="2"/>
        <v/>
      </c>
      <c r="O35" s="35"/>
      <c r="P35" s="34" t="str">
        <f t="shared" si="3"/>
        <v/>
      </c>
      <c r="Q35" s="44"/>
      <c r="R35" s="28"/>
      <c r="S35" s="77" t="s">
        <v>59</v>
      </c>
      <c r="T35" s="78">
        <v>40</v>
      </c>
      <c r="U35" s="28"/>
      <c r="V35" s="79">
        <f>COUNTIF($C$10:$C$57,"Vend et veille JF - JOUR - Visite 3 bénéficiaires")</f>
        <v>1</v>
      </c>
    </row>
    <row r="36" spans="1:22" x14ac:dyDescent="0.25">
      <c r="A36" s="39">
        <v>29</v>
      </c>
      <c r="B36" s="40"/>
      <c r="C36" s="31"/>
      <c r="D36" s="41"/>
      <c r="E36" s="33"/>
      <c r="F36" s="33"/>
      <c r="G36" s="34" t="str">
        <f t="shared" si="0"/>
        <v/>
      </c>
      <c r="H36" s="42"/>
      <c r="I36" s="43"/>
      <c r="J36" s="36"/>
      <c r="K36" s="31"/>
      <c r="L36" s="37"/>
      <c r="M36" s="38" t="str">
        <f t="shared" si="1"/>
        <v/>
      </c>
      <c r="N36" s="34" t="str">
        <f t="shared" si="2"/>
        <v/>
      </c>
      <c r="O36" s="35"/>
      <c r="P36" s="34" t="str">
        <f t="shared" si="3"/>
        <v/>
      </c>
      <c r="Q36" s="44"/>
      <c r="R36" s="28"/>
      <c r="S36" s="80" t="s">
        <v>82</v>
      </c>
      <c r="T36" s="71">
        <v>49</v>
      </c>
      <c r="U36" s="28"/>
      <c r="V36" s="72">
        <f>COUNTIF($C$10:$C$57,"Vend et veille JF - NUIT - Consultation")</f>
        <v>0</v>
      </c>
    </row>
    <row r="37" spans="1:22" x14ac:dyDescent="0.25">
      <c r="A37" s="39">
        <v>30</v>
      </c>
      <c r="B37" s="40"/>
      <c r="C37" s="31"/>
      <c r="D37" s="41"/>
      <c r="E37" s="33"/>
      <c r="F37" s="33"/>
      <c r="G37" s="34" t="str">
        <f t="shared" si="0"/>
        <v/>
      </c>
      <c r="H37" s="42"/>
      <c r="I37" s="43"/>
      <c r="J37" s="36"/>
      <c r="K37" s="31"/>
      <c r="L37" s="37"/>
      <c r="M37" s="38" t="str">
        <f t="shared" si="1"/>
        <v/>
      </c>
      <c r="N37" s="34" t="str">
        <f t="shared" si="2"/>
        <v/>
      </c>
      <c r="O37" s="35"/>
      <c r="P37" s="34" t="str">
        <f t="shared" si="3"/>
        <v/>
      </c>
      <c r="Q37" s="44"/>
      <c r="R37" s="28"/>
      <c r="S37" s="73" t="s">
        <v>83</v>
      </c>
      <c r="T37" s="76">
        <v>85</v>
      </c>
      <c r="U37" s="28"/>
      <c r="V37" s="75">
        <f>COUNTIF($C$10:$C$57,"Vend et veille JF - NUIT - Visite 1 bénéficiare")</f>
        <v>0</v>
      </c>
    </row>
    <row r="38" spans="1:22" x14ac:dyDescent="0.25">
      <c r="A38" s="39">
        <v>31</v>
      </c>
      <c r="B38" s="40"/>
      <c r="C38" s="31"/>
      <c r="D38" s="41"/>
      <c r="E38" s="33"/>
      <c r="F38" s="33"/>
      <c r="G38" s="34" t="str">
        <f t="shared" si="0"/>
        <v/>
      </c>
      <c r="H38" s="42"/>
      <c r="I38" s="43"/>
      <c r="J38" s="36"/>
      <c r="K38" s="31"/>
      <c r="L38" s="37"/>
      <c r="M38" s="38" t="str">
        <f t="shared" si="1"/>
        <v/>
      </c>
      <c r="N38" s="34" t="str">
        <f t="shared" si="2"/>
        <v/>
      </c>
      <c r="O38" s="35"/>
      <c r="P38" s="34" t="str">
        <f t="shared" si="3"/>
        <v/>
      </c>
      <c r="Q38" s="44"/>
      <c r="R38" s="28"/>
      <c r="S38" s="73" t="s">
        <v>84</v>
      </c>
      <c r="T38" s="76">
        <v>77</v>
      </c>
      <c r="U38" s="28"/>
      <c r="V38" s="75">
        <f>COUNTIF($C$10:$C$57,"Vend et veille JF - NUIT - Visite 2 bénéficiaires")</f>
        <v>0</v>
      </c>
    </row>
    <row r="39" spans="1:22" ht="15.75" thickBot="1" x14ac:dyDescent="0.3">
      <c r="A39" s="39">
        <v>32</v>
      </c>
      <c r="B39" s="40"/>
      <c r="C39" s="31"/>
      <c r="D39" s="41"/>
      <c r="E39" s="33"/>
      <c r="F39" s="33"/>
      <c r="G39" s="34" t="str">
        <f t="shared" si="0"/>
        <v/>
      </c>
      <c r="H39" s="42"/>
      <c r="I39" s="43"/>
      <c r="J39" s="36"/>
      <c r="K39" s="31"/>
      <c r="L39" s="37"/>
      <c r="M39" s="38" t="str">
        <f t="shared" si="1"/>
        <v/>
      </c>
      <c r="N39" s="34" t="str">
        <f t="shared" si="2"/>
        <v/>
      </c>
      <c r="O39" s="35"/>
      <c r="P39" s="34" t="str">
        <f t="shared" si="3"/>
        <v/>
      </c>
      <c r="Q39" s="44"/>
      <c r="R39" s="28"/>
      <c r="S39" s="77" t="s">
        <v>85</v>
      </c>
      <c r="T39" s="78">
        <v>75</v>
      </c>
      <c r="U39" s="28"/>
      <c r="V39" s="79">
        <f>COUNTIF($C$10:$C$57,"Vend et veille JF - NUIT - Visite 3 bénéficiaires")</f>
        <v>0</v>
      </c>
    </row>
    <row r="40" spans="1:22" x14ac:dyDescent="0.25">
      <c r="A40" s="39">
        <v>33</v>
      </c>
      <c r="B40" s="40"/>
      <c r="C40" s="31"/>
      <c r="D40" s="41"/>
      <c r="E40" s="33"/>
      <c r="F40" s="33"/>
      <c r="G40" s="34" t="str">
        <f t="shared" si="0"/>
        <v/>
      </c>
      <c r="H40" s="42"/>
      <c r="I40" s="43"/>
      <c r="J40" s="36"/>
      <c r="K40" s="31"/>
      <c r="L40" s="37"/>
      <c r="M40" s="38" t="str">
        <f t="shared" si="1"/>
        <v/>
      </c>
      <c r="N40" s="34" t="str">
        <f t="shared" si="2"/>
        <v/>
      </c>
      <c r="O40" s="35"/>
      <c r="P40" s="34" t="str">
        <f t="shared" si="3"/>
        <v/>
      </c>
      <c r="Q40" s="44"/>
      <c r="R40" s="28"/>
      <c r="S40" s="81" t="s">
        <v>86</v>
      </c>
      <c r="T40" s="71">
        <v>37</v>
      </c>
      <c r="U40" s="28"/>
      <c r="V40" s="72">
        <f>COUNTIF($C$10:$C$57,"Sam, dim et JF - JOUR - Consultation")</f>
        <v>0</v>
      </c>
    </row>
    <row r="41" spans="1:22" x14ac:dyDescent="0.25">
      <c r="A41" s="39">
        <v>34</v>
      </c>
      <c r="B41" s="40"/>
      <c r="C41" s="31"/>
      <c r="D41" s="41"/>
      <c r="E41" s="33"/>
      <c r="F41" s="33"/>
      <c r="G41" s="34" t="str">
        <f t="shared" si="0"/>
        <v/>
      </c>
      <c r="H41" s="42"/>
      <c r="I41" s="43"/>
      <c r="J41" s="36"/>
      <c r="K41" s="31"/>
      <c r="L41" s="37"/>
      <c r="M41" s="38" t="str">
        <f t="shared" si="1"/>
        <v/>
      </c>
      <c r="N41" s="34" t="str">
        <f t="shared" si="2"/>
        <v/>
      </c>
      <c r="O41" s="35"/>
      <c r="P41" s="34" t="str">
        <f t="shared" si="3"/>
        <v/>
      </c>
      <c r="Q41" s="44"/>
      <c r="R41" s="28"/>
      <c r="S41" s="73" t="s">
        <v>87</v>
      </c>
      <c r="T41" s="74">
        <v>33</v>
      </c>
      <c r="U41" s="28"/>
      <c r="V41" s="75">
        <f>COUNTIF($C$10:$C$57,"Sam, dim et JF - JOUR - Consultation NA")</f>
        <v>0</v>
      </c>
    </row>
    <row r="42" spans="1:22" x14ac:dyDescent="0.25">
      <c r="A42" s="39">
        <v>35</v>
      </c>
      <c r="B42" s="40"/>
      <c r="C42" s="31"/>
      <c r="D42" s="41"/>
      <c r="E42" s="33"/>
      <c r="F42" s="33"/>
      <c r="G42" s="34" t="str">
        <f t="shared" si="0"/>
        <v/>
      </c>
      <c r="H42" s="42"/>
      <c r="I42" s="43"/>
      <c r="J42" s="36"/>
      <c r="K42" s="31"/>
      <c r="L42" s="37"/>
      <c r="M42" s="38" t="str">
        <f t="shared" si="1"/>
        <v/>
      </c>
      <c r="N42" s="34" t="str">
        <f t="shared" si="2"/>
        <v/>
      </c>
      <c r="O42" s="35"/>
      <c r="P42" s="34" t="str">
        <f t="shared" si="3"/>
        <v/>
      </c>
      <c r="Q42" s="44"/>
      <c r="R42" s="28"/>
      <c r="S42" s="73" t="s">
        <v>88</v>
      </c>
      <c r="T42" s="76">
        <v>55</v>
      </c>
      <c r="U42" s="28"/>
      <c r="V42" s="75">
        <f>COUNTIF($C$10:$C$57,"Sam, dim et JF - JOUR - Visite 1 bénéficiaire")</f>
        <v>0</v>
      </c>
    </row>
    <row r="43" spans="1:22" x14ac:dyDescent="0.25">
      <c r="A43" s="39">
        <v>36</v>
      </c>
      <c r="B43" s="40"/>
      <c r="C43" s="31"/>
      <c r="D43" s="41"/>
      <c r="E43" s="33"/>
      <c r="F43" s="33"/>
      <c r="G43" s="34" t="str">
        <f t="shared" si="0"/>
        <v/>
      </c>
      <c r="H43" s="42"/>
      <c r="I43" s="43"/>
      <c r="J43" s="36"/>
      <c r="K43" s="31"/>
      <c r="L43" s="37"/>
      <c r="M43" s="38" t="str">
        <f t="shared" si="1"/>
        <v/>
      </c>
      <c r="N43" s="34" t="str">
        <f t="shared" si="2"/>
        <v/>
      </c>
      <c r="O43" s="35"/>
      <c r="P43" s="34" t="str">
        <f t="shared" si="3"/>
        <v/>
      </c>
      <c r="Q43" s="44"/>
      <c r="R43" s="28"/>
      <c r="S43" s="73" t="s">
        <v>89</v>
      </c>
      <c r="T43" s="76">
        <v>48</v>
      </c>
      <c r="U43" s="28"/>
      <c r="V43" s="75">
        <f>COUNTIF($C$10:$C$57,"Sam, dim et JF - JOUR - Visite 2 bénéficiaires")</f>
        <v>0</v>
      </c>
    </row>
    <row r="44" spans="1:22" ht="15.75" thickBot="1" x14ac:dyDescent="0.3">
      <c r="A44" s="39">
        <v>37</v>
      </c>
      <c r="B44" s="40"/>
      <c r="C44" s="31"/>
      <c r="D44" s="41"/>
      <c r="E44" s="33"/>
      <c r="F44" s="33"/>
      <c r="G44" s="34" t="str">
        <f t="shared" si="0"/>
        <v/>
      </c>
      <c r="H44" s="42"/>
      <c r="I44" s="43"/>
      <c r="J44" s="36"/>
      <c r="K44" s="31"/>
      <c r="L44" s="37"/>
      <c r="M44" s="38" t="str">
        <f t="shared" si="1"/>
        <v/>
      </c>
      <c r="N44" s="34" t="str">
        <f t="shared" si="2"/>
        <v/>
      </c>
      <c r="O44" s="35"/>
      <c r="P44" s="34" t="str">
        <f t="shared" si="3"/>
        <v/>
      </c>
      <c r="Q44" s="44"/>
      <c r="R44" s="28"/>
      <c r="S44" s="77" t="s">
        <v>90</v>
      </c>
      <c r="T44" s="78">
        <v>46</v>
      </c>
      <c r="U44" s="28"/>
      <c r="V44" s="79">
        <f>COUNTIF($C$10:$C$57,"Sam, dim et JF - JOUR - Visite 3 bénéficiaires")</f>
        <v>0</v>
      </c>
    </row>
    <row r="45" spans="1:22" x14ac:dyDescent="0.25">
      <c r="A45" s="39">
        <v>38</v>
      </c>
      <c r="B45" s="40"/>
      <c r="C45" s="31"/>
      <c r="D45" s="41"/>
      <c r="E45" s="33"/>
      <c r="F45" s="33"/>
      <c r="G45" s="34" t="str">
        <f t="shared" si="0"/>
        <v/>
      </c>
      <c r="H45" s="42"/>
      <c r="I45" s="43"/>
      <c r="J45" s="36"/>
      <c r="K45" s="31"/>
      <c r="L45" s="37"/>
      <c r="M45" s="38" t="str">
        <f t="shared" si="1"/>
        <v/>
      </c>
      <c r="N45" s="34" t="str">
        <f t="shared" si="2"/>
        <v/>
      </c>
      <c r="O45" s="35"/>
      <c r="P45" s="34" t="str">
        <f t="shared" si="3"/>
        <v/>
      </c>
      <c r="Q45" s="44"/>
      <c r="R45" s="28"/>
      <c r="S45" s="80" t="s">
        <v>91</v>
      </c>
      <c r="T45" s="71">
        <v>49</v>
      </c>
      <c r="U45" s="28"/>
      <c r="V45" s="72">
        <f>COUNTIF($C$10:$C$57,"Sam, dim et JF - NUIT - Consultation")</f>
        <v>0</v>
      </c>
    </row>
    <row r="46" spans="1:22" x14ac:dyDescent="0.25">
      <c r="A46" s="39">
        <v>39</v>
      </c>
      <c r="B46" s="40"/>
      <c r="C46" s="31"/>
      <c r="D46" s="41"/>
      <c r="E46" s="33"/>
      <c r="F46" s="33"/>
      <c r="G46" s="34" t="str">
        <f t="shared" si="0"/>
        <v/>
      </c>
      <c r="H46" s="42"/>
      <c r="I46" s="43"/>
      <c r="J46" s="36"/>
      <c r="K46" s="31"/>
      <c r="L46" s="37"/>
      <c r="M46" s="38" t="str">
        <f t="shared" si="1"/>
        <v/>
      </c>
      <c r="N46" s="34" t="str">
        <f t="shared" si="2"/>
        <v/>
      </c>
      <c r="O46" s="35"/>
      <c r="P46" s="34" t="str">
        <f t="shared" si="3"/>
        <v/>
      </c>
      <c r="Q46" s="44"/>
      <c r="R46" s="28"/>
      <c r="S46" s="73" t="s">
        <v>92</v>
      </c>
      <c r="T46" s="76">
        <v>85</v>
      </c>
      <c r="U46" s="28"/>
      <c r="V46" s="75">
        <f>COUNTIF($C$10:$C$57,"Sam, dim et JF - NUIT - Visite 1 bénéficiaire")</f>
        <v>0</v>
      </c>
    </row>
    <row r="47" spans="1:22" x14ac:dyDescent="0.25">
      <c r="A47" s="39">
        <v>40</v>
      </c>
      <c r="B47" s="40"/>
      <c r="C47" s="31"/>
      <c r="D47" s="41"/>
      <c r="E47" s="33"/>
      <c r="F47" s="33"/>
      <c r="G47" s="34" t="str">
        <f t="shared" si="0"/>
        <v/>
      </c>
      <c r="H47" s="42"/>
      <c r="I47" s="43"/>
      <c r="J47" s="36"/>
      <c r="K47" s="31"/>
      <c r="L47" s="37"/>
      <c r="M47" s="38" t="str">
        <f t="shared" si="1"/>
        <v/>
      </c>
      <c r="N47" s="34" t="str">
        <f t="shared" si="2"/>
        <v/>
      </c>
      <c r="O47" s="35"/>
      <c r="P47" s="34" t="str">
        <f t="shared" si="3"/>
        <v/>
      </c>
      <c r="Q47" s="44"/>
      <c r="R47" s="28"/>
      <c r="S47" s="73" t="s">
        <v>93</v>
      </c>
      <c r="T47" s="76">
        <v>77</v>
      </c>
      <c r="U47" s="28"/>
      <c r="V47" s="75">
        <f>COUNTIF($C$10:$C$57,"Sam, dim et JF - NUIT - Visite 2 bénéficiaires")</f>
        <v>0</v>
      </c>
    </row>
    <row r="48" spans="1:22" ht="15.75" thickBot="1" x14ac:dyDescent="0.3">
      <c r="A48" s="39">
        <v>41</v>
      </c>
      <c r="B48" s="40"/>
      <c r="C48" s="31"/>
      <c r="D48" s="41"/>
      <c r="E48" s="33"/>
      <c r="F48" s="33"/>
      <c r="G48" s="34" t="str">
        <f t="shared" si="0"/>
        <v/>
      </c>
      <c r="H48" s="42"/>
      <c r="I48" s="43"/>
      <c r="J48" s="36"/>
      <c r="K48" s="31"/>
      <c r="L48" s="37"/>
      <c r="M48" s="38" t="str">
        <f t="shared" si="1"/>
        <v/>
      </c>
      <c r="N48" s="34" t="str">
        <f t="shared" si="2"/>
        <v/>
      </c>
      <c r="O48" s="35"/>
      <c r="P48" s="34" t="str">
        <f t="shared" si="3"/>
        <v/>
      </c>
      <c r="Q48" s="44"/>
      <c r="R48" s="28"/>
      <c r="S48" s="82" t="s">
        <v>94</v>
      </c>
      <c r="T48" s="78">
        <v>75</v>
      </c>
      <c r="U48" s="28"/>
      <c r="V48" s="79">
        <f>COUNTIF($C$10:$C$57,"Sam, dim et JF - NUIT - Visite 3 bénéficiaires")</f>
        <v>0</v>
      </c>
    </row>
    <row r="49" spans="1:22" x14ac:dyDescent="0.25">
      <c r="A49" s="39">
        <v>42</v>
      </c>
      <c r="B49" s="40"/>
      <c r="C49" s="31"/>
      <c r="D49" s="41"/>
      <c r="E49" s="33"/>
      <c r="F49" s="33"/>
      <c r="G49" s="34" t="str">
        <f t="shared" si="0"/>
        <v/>
      </c>
      <c r="H49" s="42"/>
      <c r="I49" s="43"/>
      <c r="J49" s="36"/>
      <c r="K49" s="31"/>
      <c r="L49" s="37"/>
      <c r="M49" s="38" t="str">
        <f t="shared" si="1"/>
        <v/>
      </c>
      <c r="N49" s="34" t="str">
        <f t="shared" si="2"/>
        <v/>
      </c>
      <c r="O49" s="35"/>
      <c r="P49" s="34" t="str">
        <f t="shared" si="3"/>
        <v/>
      </c>
      <c r="Q49" s="44"/>
      <c r="R49" s="28"/>
      <c r="S49" s="28"/>
      <c r="T49" s="28"/>
      <c r="U49" s="28"/>
      <c r="V49" s="28"/>
    </row>
    <row r="50" spans="1:22" x14ac:dyDescent="0.25">
      <c r="A50" s="39">
        <v>43</v>
      </c>
      <c r="B50" s="40"/>
      <c r="C50" s="31"/>
      <c r="D50" s="41"/>
      <c r="E50" s="33"/>
      <c r="F50" s="33"/>
      <c r="G50" s="34" t="str">
        <f t="shared" si="0"/>
        <v/>
      </c>
      <c r="H50" s="42"/>
      <c r="I50" s="43"/>
      <c r="J50" s="36"/>
      <c r="K50" s="31"/>
      <c r="L50" s="37"/>
      <c r="M50" s="38" t="str">
        <f t="shared" si="1"/>
        <v/>
      </c>
      <c r="N50" s="34" t="str">
        <f t="shared" si="2"/>
        <v/>
      </c>
      <c r="O50" s="35"/>
      <c r="P50" s="34" t="str">
        <f t="shared" si="3"/>
        <v/>
      </c>
      <c r="Q50" s="44"/>
      <c r="R50" s="28"/>
      <c r="S50" s="28"/>
      <c r="T50" s="28"/>
      <c r="U50" s="28"/>
      <c r="V50" s="28"/>
    </row>
    <row r="51" spans="1:22" x14ac:dyDescent="0.25">
      <c r="A51" s="39">
        <v>44</v>
      </c>
      <c r="B51" s="40"/>
      <c r="C51" s="31"/>
      <c r="D51" s="41"/>
      <c r="E51" s="33"/>
      <c r="F51" s="33"/>
      <c r="G51" s="34" t="str">
        <f t="shared" si="0"/>
        <v/>
      </c>
      <c r="H51" s="42"/>
      <c r="I51" s="43"/>
      <c r="J51" s="36"/>
      <c r="K51" s="31"/>
      <c r="L51" s="37"/>
      <c r="M51" s="38" t="str">
        <f t="shared" si="1"/>
        <v/>
      </c>
      <c r="N51" s="34" t="str">
        <f t="shared" si="2"/>
        <v/>
      </c>
      <c r="O51" s="35"/>
      <c r="P51" s="34" t="str">
        <f t="shared" si="3"/>
        <v/>
      </c>
      <c r="Q51" s="44"/>
      <c r="R51" s="28"/>
      <c r="S51" s="28"/>
      <c r="T51" s="28"/>
      <c r="U51" s="28"/>
      <c r="V51" s="28"/>
    </row>
    <row r="52" spans="1:22" x14ac:dyDescent="0.25">
      <c r="A52" s="39">
        <v>45</v>
      </c>
      <c r="B52" s="40"/>
      <c r="C52" s="31"/>
      <c r="D52" s="41"/>
      <c r="E52" s="33"/>
      <c r="F52" s="33"/>
      <c r="G52" s="34" t="str">
        <f t="shared" si="0"/>
        <v/>
      </c>
      <c r="H52" s="42"/>
      <c r="I52" s="43"/>
      <c r="J52" s="36"/>
      <c r="K52" s="31"/>
      <c r="L52" s="37"/>
      <c r="M52" s="38" t="str">
        <f t="shared" si="1"/>
        <v/>
      </c>
      <c r="N52" s="34" t="str">
        <f t="shared" si="2"/>
        <v/>
      </c>
      <c r="O52" s="35"/>
      <c r="P52" s="34" t="str">
        <f t="shared" si="3"/>
        <v/>
      </c>
      <c r="Q52" s="44"/>
      <c r="R52" s="28"/>
      <c r="S52" s="28"/>
      <c r="T52" s="28"/>
      <c r="U52" s="28"/>
      <c r="V52" s="28"/>
    </row>
    <row r="53" spans="1:22" x14ac:dyDescent="0.25">
      <c r="A53" s="39">
        <v>46</v>
      </c>
      <c r="B53" s="40"/>
      <c r="C53" s="31"/>
      <c r="D53" s="41"/>
      <c r="E53" s="33"/>
      <c r="F53" s="33"/>
      <c r="G53" s="34" t="str">
        <f t="shared" si="0"/>
        <v/>
      </c>
      <c r="H53" s="42"/>
      <c r="I53" s="43"/>
      <c r="J53" s="36"/>
      <c r="K53" s="31"/>
      <c r="L53" s="37"/>
      <c r="M53" s="38" t="str">
        <f t="shared" si="1"/>
        <v/>
      </c>
      <c r="N53" s="34" t="str">
        <f t="shared" si="2"/>
        <v/>
      </c>
      <c r="O53" s="35"/>
      <c r="P53" s="34" t="str">
        <f t="shared" si="3"/>
        <v/>
      </c>
      <c r="Q53" s="44"/>
      <c r="R53" s="28"/>
      <c r="S53" s="28"/>
      <c r="T53" s="28"/>
      <c r="U53" s="28"/>
      <c r="V53" s="28"/>
    </row>
    <row r="54" spans="1:22" x14ac:dyDescent="0.25">
      <c r="A54" s="39">
        <v>47</v>
      </c>
      <c r="B54" s="40"/>
      <c r="C54" s="31"/>
      <c r="D54" s="41"/>
      <c r="E54" s="33"/>
      <c r="F54" s="33"/>
      <c r="G54" s="34" t="str">
        <f t="shared" si="0"/>
        <v/>
      </c>
      <c r="H54" s="42"/>
      <c r="I54" s="43"/>
      <c r="J54" s="36"/>
      <c r="K54" s="31"/>
      <c r="L54" s="37"/>
      <c r="M54" s="38" t="str">
        <f t="shared" si="1"/>
        <v/>
      </c>
      <c r="N54" s="34" t="str">
        <f t="shared" si="2"/>
        <v/>
      </c>
      <c r="O54" s="35"/>
      <c r="P54" s="34" t="str">
        <f t="shared" si="3"/>
        <v/>
      </c>
      <c r="Q54" s="44"/>
      <c r="R54" s="28"/>
      <c r="S54" s="28"/>
      <c r="T54" s="28"/>
      <c r="U54" s="28"/>
      <c r="V54" s="28"/>
    </row>
    <row r="55" spans="1:22" x14ac:dyDescent="0.25">
      <c r="A55" s="39">
        <v>48</v>
      </c>
      <c r="B55" s="40"/>
      <c r="C55" s="31"/>
      <c r="D55" s="41"/>
      <c r="E55" s="33"/>
      <c r="F55" s="33"/>
      <c r="G55" s="34" t="str">
        <f t="shared" si="0"/>
        <v/>
      </c>
      <c r="H55" s="42"/>
      <c r="I55" s="43"/>
      <c r="J55" s="36"/>
      <c r="K55" s="31"/>
      <c r="L55" s="37"/>
      <c r="M55" s="38" t="str">
        <f t="shared" si="1"/>
        <v/>
      </c>
      <c r="N55" s="34" t="str">
        <f t="shared" si="2"/>
        <v/>
      </c>
      <c r="O55" s="35"/>
      <c r="P55" s="34" t="str">
        <f t="shared" si="3"/>
        <v/>
      </c>
      <c r="Q55" s="44"/>
      <c r="R55" s="28"/>
      <c r="S55" s="28"/>
      <c r="T55" s="28"/>
      <c r="U55" s="28"/>
      <c r="V55" s="28"/>
    </row>
    <row r="56" spans="1:22" x14ac:dyDescent="0.25">
      <c r="A56" s="39">
        <v>49</v>
      </c>
      <c r="B56" s="40"/>
      <c r="C56" s="31"/>
      <c r="D56" s="41"/>
      <c r="E56" s="33"/>
      <c r="F56" s="33"/>
      <c r="G56" s="34" t="str">
        <f t="shared" si="0"/>
        <v/>
      </c>
      <c r="H56" s="42"/>
      <c r="I56" s="43"/>
      <c r="J56" s="36"/>
      <c r="K56" s="31"/>
      <c r="L56" s="37"/>
      <c r="M56" s="38" t="str">
        <f t="shared" si="1"/>
        <v/>
      </c>
      <c r="N56" s="34" t="str">
        <f t="shared" si="2"/>
        <v/>
      </c>
      <c r="O56" s="35"/>
      <c r="P56" s="34" t="str">
        <f t="shared" si="3"/>
        <v/>
      </c>
      <c r="Q56" s="44"/>
      <c r="R56" s="28"/>
      <c r="S56" s="28"/>
      <c r="T56" s="28"/>
      <c r="U56" s="28"/>
      <c r="V56" s="28"/>
    </row>
    <row r="57" spans="1:22" x14ac:dyDescent="0.25">
      <c r="A57" s="83">
        <v>50</v>
      </c>
      <c r="B57" s="84"/>
      <c r="C57" s="85"/>
      <c r="D57" s="86"/>
      <c r="E57" s="86"/>
      <c r="F57" s="86"/>
      <c r="G57" s="34" t="str">
        <f t="shared" si="0"/>
        <v/>
      </c>
      <c r="H57" s="87"/>
      <c r="I57" s="88"/>
      <c r="J57" s="88"/>
      <c r="K57" s="85"/>
      <c r="L57" s="85"/>
      <c r="M57" s="89" t="str">
        <f t="shared" si="1"/>
        <v/>
      </c>
      <c r="N57" s="90" t="str">
        <f t="shared" si="2"/>
        <v/>
      </c>
      <c r="O57" s="87"/>
      <c r="P57" s="90" t="str">
        <f t="shared" si="3"/>
        <v/>
      </c>
      <c r="Q57" s="91"/>
      <c r="R57" s="28"/>
      <c r="S57" s="28"/>
      <c r="T57" s="28"/>
      <c r="U57" s="28"/>
      <c r="V57" s="28"/>
    </row>
  </sheetData>
  <mergeCells count="11">
    <mergeCell ref="A1:Q3"/>
    <mergeCell ref="A4:A7"/>
    <mergeCell ref="B4:C4"/>
    <mergeCell ref="D4:Q7"/>
    <mergeCell ref="A8:Q8"/>
    <mergeCell ref="V14:V15"/>
    <mergeCell ref="S23:T23"/>
    <mergeCell ref="S26:T26"/>
    <mergeCell ref="S29:S30"/>
    <mergeCell ref="T29:T30"/>
    <mergeCell ref="S14:T15"/>
  </mergeCells>
  <conditionalFormatting sqref="U11:U12">
    <cfRule type="cellIs" dxfId="46" priority="1" operator="equal">
      <formula>"NON"</formula>
    </cfRule>
    <cfRule type="cellIs" dxfId="45" priority="2" operator="equal">
      <formula>"OUI"</formula>
    </cfRule>
  </conditionalFormatting>
  <dataValidations count="7">
    <dataValidation type="list" allowBlank="1" showInputMessage="1" showErrorMessage="1" sqref="C5">
      <formula1>INDIRECT("tabMEDECINS[Nom &amp; Prénom]")</formula1>
    </dataValidation>
    <dataValidation type="list" allowBlank="1" showInputMessage="1" showErrorMessage="1" sqref="L10:L57">
      <formula1>"Admin. De biens,CPAS,MR,MM,⅓ payant C,⅓ payant BC,⅓ payant NP,Réquisition,Virement,Autres"</formula1>
    </dataValidation>
    <dataValidation type="list" allowBlank="1" showInputMessage="1" showErrorMessage="1" sqref="C10:C57">
      <formula1>typesdactes</formula1>
    </dataValidation>
    <dataValidation type="list" allowBlank="1" showInputMessage="1" showErrorMessage="1" sqref="C10:C57">
      <formula1>$S$31:$S$48</formula1>
    </dataValidation>
    <dataValidation type="list" allowBlank="1" showInputMessage="1" showErrorMessage="1" sqref="K10:K57">
      <formula1>"Cash,Bancontact,Différé"</formula1>
    </dataValidation>
    <dataValidation type="list" allowBlank="1" showInputMessage="1" showErrorMessage="1" sqref="F10:F57">
      <formula1>"Disponible,Non disponible"</formula1>
    </dataValidation>
    <dataValidation type="list" allowBlank="1" showInputMessage="1" showErrorMessage="1" sqref="C7">
      <formula1>"1a,1b,2a,2b,3,4,5,6,7,nuit 1,nuit 2,nuit 3"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1]!sauvegarder">
                <anchor moveWithCells="1" sizeWithCells="1">
                  <from>
                    <xdr:col>4</xdr:col>
                    <xdr:colOff>9525</xdr:colOff>
                    <xdr:row>3</xdr:row>
                    <xdr:rowOff>0</xdr:rowOff>
                  </from>
                  <to>
                    <xdr:col>6</xdr:col>
                    <xdr:colOff>0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14"/>
  <sheetViews>
    <sheetView tabSelected="1" workbookViewId="0">
      <selection activeCell="J24" sqref="J24"/>
    </sheetView>
  </sheetViews>
  <sheetFormatPr baseColWidth="10" defaultColWidth="9.140625" defaultRowHeight="15" x14ac:dyDescent="0.25"/>
  <cols>
    <col min="1" max="1" width="13.140625" customWidth="1"/>
    <col min="5" max="5" width="33.140625" customWidth="1"/>
    <col min="6" max="6" width="14.42578125" customWidth="1"/>
    <col min="10" max="10" width="19.5703125" customWidth="1"/>
    <col min="17" max="17" width="14" customWidth="1"/>
    <col min="18" max="18" width="15.7109375" customWidth="1"/>
  </cols>
  <sheetData>
    <row r="1" spans="1:21" ht="15.75" customHeight="1" x14ac:dyDescent="0.25">
      <c r="A1" s="108" t="s">
        <v>0</v>
      </c>
      <c r="B1" s="108"/>
      <c r="C1" s="108"/>
      <c r="D1" s="108"/>
      <c r="E1" s="108"/>
      <c r="F1" s="109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15.75" customHeight="1" x14ac:dyDescent="0.25">
      <c r="A2" s="108"/>
      <c r="B2" s="108"/>
      <c r="C2" s="108"/>
      <c r="D2" s="108"/>
      <c r="E2" s="108"/>
      <c r="F2" s="109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5.75" customHeight="1" x14ac:dyDescent="0.25">
      <c r="A3" s="108"/>
      <c r="B3" s="108"/>
      <c r="C3" s="108"/>
      <c r="D3" s="108"/>
      <c r="E3" s="108"/>
      <c r="F3" s="2" t="s">
        <v>1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.75" customHeight="1" x14ac:dyDescent="0.25">
      <c r="A4" s="108"/>
      <c r="B4" s="108"/>
      <c r="C4" s="108"/>
      <c r="D4" s="108"/>
      <c r="E4" s="108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75" x14ac:dyDescent="0.25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4" t="s">
        <v>13</v>
      </c>
      <c r="M5" s="4" t="s">
        <v>14</v>
      </c>
      <c r="N5" s="4" t="s">
        <v>15</v>
      </c>
      <c r="O5" s="4" t="s">
        <v>16</v>
      </c>
      <c r="P5" s="4" t="s">
        <v>17</v>
      </c>
      <c r="Q5" s="4" t="s">
        <v>18</v>
      </c>
      <c r="R5" s="4" t="s">
        <v>19</v>
      </c>
      <c r="S5" s="4" t="s">
        <v>20</v>
      </c>
      <c r="T5" s="4" t="s">
        <v>21</v>
      </c>
      <c r="U5" s="4" t="s">
        <v>22</v>
      </c>
    </row>
    <row r="6" spans="1:21" x14ac:dyDescent="0.25">
      <c r="A6" s="5">
        <v>42736</v>
      </c>
      <c r="B6" s="6" t="s">
        <v>23</v>
      </c>
      <c r="C6" s="7" t="s">
        <v>24</v>
      </c>
      <c r="D6" s="7" t="s">
        <v>25</v>
      </c>
      <c r="E6" s="8">
        <v>49</v>
      </c>
      <c r="F6" s="7" t="s">
        <v>26</v>
      </c>
      <c r="G6" s="7" t="s">
        <v>27</v>
      </c>
      <c r="H6" s="7" t="s">
        <v>28</v>
      </c>
      <c r="I6" s="7"/>
      <c r="J6" s="7" t="s">
        <v>29</v>
      </c>
      <c r="K6" s="8">
        <v>49</v>
      </c>
      <c r="L6" s="9"/>
      <c r="M6" s="10"/>
      <c r="N6" s="9"/>
      <c r="O6" s="10"/>
      <c r="P6" s="9">
        <v>49</v>
      </c>
      <c r="Q6" s="11">
        <v>42371</v>
      </c>
      <c r="R6" s="11">
        <v>42371</v>
      </c>
      <c r="S6" s="9">
        <f>IF(tabhisto4[[#This Row],[Type de paiement]]="","",IF(OR(tabhisto4[[#This Row],[Type de paiement]]="Bancontact",tabhisto4[[#This Row],[Type de paiement]]="Cash"),tabhisto4[[#This Row],[Honoraires complet]],tabhisto4[[#This Row],[Ticket modérateur]]+tabhisto4[[#This Row],[Montant mutuelle]]+tabhisto4[[#This Row],[Honoraires complet]]))</f>
        <v>49</v>
      </c>
      <c r="T6" s="10" t="s">
        <v>30</v>
      </c>
      <c r="U6" s="10"/>
    </row>
    <row r="7" spans="1:21" x14ac:dyDescent="0.25">
      <c r="A7" s="5">
        <v>42736</v>
      </c>
      <c r="B7" s="6"/>
      <c r="C7" s="7" t="s">
        <v>24</v>
      </c>
      <c r="D7" s="7" t="s">
        <v>25</v>
      </c>
      <c r="E7" s="8">
        <v>49</v>
      </c>
      <c r="F7" s="7" t="s">
        <v>31</v>
      </c>
      <c r="G7" s="7" t="s">
        <v>27</v>
      </c>
      <c r="H7" s="7" t="s">
        <v>28</v>
      </c>
      <c r="I7" s="7"/>
      <c r="J7" s="7" t="s">
        <v>29</v>
      </c>
      <c r="K7" s="8">
        <v>49</v>
      </c>
      <c r="L7" s="9"/>
      <c r="M7" s="10"/>
      <c r="N7" s="9"/>
      <c r="O7" s="10"/>
      <c r="P7" s="9">
        <v>49</v>
      </c>
      <c r="Q7" s="11">
        <v>42371</v>
      </c>
      <c r="R7" s="11">
        <v>42371</v>
      </c>
      <c r="S7" s="9">
        <f>IF(tabhisto4[[#This Row],[Type de paiement]]="","",IF(OR(tabhisto4[[#This Row],[Type de paiement]]="Bancontact",tabhisto4[[#This Row],[Type de paiement]]="Cash"),tabhisto4[[#This Row],[Honoraires complet]],tabhisto4[[#This Row],[Ticket modérateur]]+tabhisto4[[#This Row],[Montant mutuelle]]+tabhisto4[[#This Row],[Honoraires complet]]))</f>
        <v>49</v>
      </c>
      <c r="T7" s="10" t="s">
        <v>30</v>
      </c>
      <c r="U7" s="10"/>
    </row>
    <row r="8" spans="1:21" ht="15.75" thickBot="1" x14ac:dyDescent="0.3">
      <c r="A8" s="12">
        <v>42736</v>
      </c>
      <c r="B8" s="13"/>
      <c r="C8" s="14" t="s">
        <v>24</v>
      </c>
      <c r="D8" s="14" t="s">
        <v>25</v>
      </c>
      <c r="E8" s="15">
        <v>49</v>
      </c>
      <c r="F8" s="14" t="s">
        <v>32</v>
      </c>
      <c r="G8" s="14" t="s">
        <v>27</v>
      </c>
      <c r="H8" s="14" t="s">
        <v>33</v>
      </c>
      <c r="I8" s="14" t="s">
        <v>34</v>
      </c>
      <c r="J8" s="14" t="s">
        <v>29</v>
      </c>
      <c r="K8" s="15">
        <v>49</v>
      </c>
      <c r="L8" s="15">
        <v>2</v>
      </c>
      <c r="M8" s="14"/>
      <c r="N8" s="15">
        <v>40</v>
      </c>
      <c r="O8" s="12">
        <v>42402</v>
      </c>
      <c r="P8" s="15"/>
      <c r="Q8" s="14"/>
      <c r="R8" s="12"/>
      <c r="S8" s="15">
        <f>IF(tabhisto4[[#This Row],[Type de paiement]]="","",IF(OR(tabhisto4[[#This Row],[Type de paiement]]="Bancontact",tabhisto4[[#This Row],[Type de paiement]]="Cash"),tabhisto4[[#This Row],[Honoraires complet]],tabhisto4[[#This Row],[Ticket modérateur]]+tabhisto4[[#This Row],[Montant mutuelle]]+tabhisto4[[#This Row],[Honoraires complet]]))</f>
        <v>42</v>
      </c>
      <c r="T8" s="14" t="s">
        <v>35</v>
      </c>
      <c r="U8" s="14"/>
    </row>
    <row r="9" spans="1:21" x14ac:dyDescent="0.25">
      <c r="A9" s="5">
        <v>42745</v>
      </c>
      <c r="B9" s="6" t="s">
        <v>23</v>
      </c>
      <c r="C9" s="7" t="s">
        <v>24</v>
      </c>
      <c r="D9" s="7" t="s">
        <v>25</v>
      </c>
      <c r="E9" s="8">
        <v>49</v>
      </c>
      <c r="F9" s="7" t="s">
        <v>26</v>
      </c>
      <c r="G9" s="7" t="s">
        <v>27</v>
      </c>
      <c r="H9" s="7" t="s">
        <v>28</v>
      </c>
      <c r="I9" s="7"/>
      <c r="J9" s="7" t="s">
        <v>29</v>
      </c>
      <c r="K9" s="8">
        <v>49</v>
      </c>
      <c r="L9" s="9"/>
      <c r="M9" s="10"/>
      <c r="N9" s="9"/>
      <c r="O9" s="10"/>
      <c r="P9" s="9">
        <v>49</v>
      </c>
      <c r="Q9" s="11">
        <v>42402</v>
      </c>
      <c r="R9" s="11">
        <v>42402</v>
      </c>
      <c r="S9" s="9">
        <f>IF(tabhisto4[[#This Row],[Type de paiement]]="","",IF(OR(tabhisto4[[#This Row],[Type de paiement]]="Bancontact",tabhisto4[[#This Row],[Type de paiement]]="Cash"),tabhisto4[[#This Row],[Honoraires complet]],tabhisto4[[#This Row],[Ticket modérateur]]+tabhisto4[[#This Row],[Montant mutuelle]]+tabhisto4[[#This Row],[Honoraires complet]]))</f>
        <v>49</v>
      </c>
      <c r="T9" s="10" t="s">
        <v>30</v>
      </c>
      <c r="U9" s="10"/>
    </row>
    <row r="10" spans="1:21" x14ac:dyDescent="0.25">
      <c r="A10" s="5">
        <v>42745</v>
      </c>
      <c r="B10" s="6"/>
      <c r="C10" s="7" t="s">
        <v>24</v>
      </c>
      <c r="D10" s="7" t="s">
        <v>25</v>
      </c>
      <c r="E10" s="8">
        <v>49</v>
      </c>
      <c r="F10" s="7" t="s">
        <v>31</v>
      </c>
      <c r="G10" s="7" t="s">
        <v>27</v>
      </c>
      <c r="H10" s="7" t="s">
        <v>28</v>
      </c>
      <c r="I10" s="7"/>
      <c r="J10" s="7" t="s">
        <v>29</v>
      </c>
      <c r="K10" s="8">
        <v>49</v>
      </c>
      <c r="L10" s="9"/>
      <c r="M10" s="10"/>
      <c r="N10" s="9"/>
      <c r="O10" s="10"/>
      <c r="P10" s="9">
        <v>49</v>
      </c>
      <c r="Q10" s="11">
        <v>42402</v>
      </c>
      <c r="R10" s="11">
        <v>42402</v>
      </c>
      <c r="S10" s="9">
        <f>IF(tabhisto4[[#This Row],[Type de paiement]]="","",IF(OR(tabhisto4[[#This Row],[Type de paiement]]="Bancontact",tabhisto4[[#This Row],[Type de paiement]]="Cash"),tabhisto4[[#This Row],[Honoraires complet]],tabhisto4[[#This Row],[Ticket modérateur]]+tabhisto4[[#This Row],[Montant mutuelle]]+tabhisto4[[#This Row],[Honoraires complet]]))</f>
        <v>49</v>
      </c>
      <c r="T10" s="10" t="s">
        <v>30</v>
      </c>
      <c r="U10" s="10"/>
    </row>
    <row r="11" spans="1:21" ht="15.75" thickBot="1" x14ac:dyDescent="0.3">
      <c r="A11" s="12">
        <v>42745</v>
      </c>
      <c r="B11" s="13"/>
      <c r="C11" s="14" t="s">
        <v>24</v>
      </c>
      <c r="D11" s="14" t="s">
        <v>25</v>
      </c>
      <c r="E11" s="15">
        <v>49</v>
      </c>
      <c r="F11" s="14" t="s">
        <v>32</v>
      </c>
      <c r="G11" s="14" t="s">
        <v>27</v>
      </c>
      <c r="H11" s="14" t="s">
        <v>33</v>
      </c>
      <c r="I11" s="14" t="s">
        <v>34</v>
      </c>
      <c r="J11" s="14" t="s">
        <v>29</v>
      </c>
      <c r="K11" s="15">
        <v>49</v>
      </c>
      <c r="L11" s="15">
        <v>2</v>
      </c>
      <c r="M11" s="14"/>
      <c r="N11" s="15"/>
      <c r="O11" s="14"/>
      <c r="P11" s="15"/>
      <c r="Q11" s="14"/>
      <c r="R11" s="12"/>
      <c r="S11" s="15">
        <f>IF(tabhisto4[[#This Row],[Type de paiement]]="","",IF(OR(tabhisto4[[#This Row],[Type de paiement]]="Bancontact",tabhisto4[[#This Row],[Type de paiement]]="Cash"),tabhisto4[[#This Row],[Honoraires complet]],tabhisto4[[#This Row],[Ticket modérateur]]+tabhisto4[[#This Row],[Montant mutuelle]]+tabhisto4[[#This Row],[Honoraires complet]]))</f>
        <v>2</v>
      </c>
      <c r="T11" s="14" t="s">
        <v>35</v>
      </c>
      <c r="U11" s="14"/>
    </row>
    <row r="12" spans="1:21" x14ac:dyDescent="0.25">
      <c r="A12" s="5">
        <v>42744</v>
      </c>
      <c r="B12" s="6"/>
      <c r="C12" s="7" t="s">
        <v>36</v>
      </c>
      <c r="D12" s="7" t="s">
        <v>25</v>
      </c>
      <c r="E12" s="8">
        <v>49</v>
      </c>
      <c r="F12" s="7" t="s">
        <v>26</v>
      </c>
      <c r="G12" s="7" t="s">
        <v>27</v>
      </c>
      <c r="H12" s="7" t="s">
        <v>28</v>
      </c>
      <c r="I12" s="7"/>
      <c r="J12" s="7" t="s">
        <v>29</v>
      </c>
      <c r="K12" s="8">
        <v>49</v>
      </c>
      <c r="L12" s="9"/>
      <c r="M12" s="10"/>
      <c r="N12" s="9"/>
      <c r="O12" s="10"/>
      <c r="P12" s="9">
        <v>49</v>
      </c>
      <c r="Q12" s="10"/>
      <c r="R12" s="11"/>
      <c r="S12" s="9">
        <f>IF(tabhisto4[[#This Row],[Type de paiement]]="","",IF(OR(tabhisto4[[#This Row],[Type de paiement]]="Bancontact",tabhisto4[[#This Row],[Type de paiement]]="Cash"),tabhisto4[[#This Row],[Honoraires complet]],tabhisto4[[#This Row],[Ticket modérateur]]+tabhisto4[[#This Row],[Montant mutuelle]]+tabhisto4[[#This Row],[Honoraires complet]]))</f>
        <v>49</v>
      </c>
      <c r="T12" s="10" t="s">
        <v>37</v>
      </c>
      <c r="U12" s="10"/>
    </row>
    <row r="13" spans="1:21" x14ac:dyDescent="0.25">
      <c r="A13" s="5">
        <v>42744</v>
      </c>
      <c r="B13" s="6"/>
      <c r="C13" s="7" t="s">
        <v>36</v>
      </c>
      <c r="D13" s="7" t="s">
        <v>25</v>
      </c>
      <c r="E13" s="8">
        <v>49</v>
      </c>
      <c r="F13" s="7" t="s">
        <v>31</v>
      </c>
      <c r="G13" s="7" t="s">
        <v>27</v>
      </c>
      <c r="H13" s="7" t="s">
        <v>28</v>
      </c>
      <c r="I13" s="7"/>
      <c r="J13" s="7" t="s">
        <v>29</v>
      </c>
      <c r="K13" s="8">
        <v>49</v>
      </c>
      <c r="L13" s="9"/>
      <c r="M13" s="10"/>
      <c r="N13" s="9"/>
      <c r="O13" s="10"/>
      <c r="P13" s="9">
        <v>49</v>
      </c>
      <c r="Q13" s="10"/>
      <c r="R13" s="11"/>
      <c r="S13" s="9">
        <f>IF(tabhisto4[[#This Row],[Type de paiement]]="","",IF(OR(tabhisto4[[#This Row],[Type de paiement]]="Bancontact",tabhisto4[[#This Row],[Type de paiement]]="Cash"),tabhisto4[[#This Row],[Honoraires complet]],tabhisto4[[#This Row],[Ticket modérateur]]+tabhisto4[[#This Row],[Montant mutuelle]]+tabhisto4[[#This Row],[Honoraires complet]]))</f>
        <v>49</v>
      </c>
      <c r="T13" s="10" t="s">
        <v>30</v>
      </c>
      <c r="U13" s="10"/>
    </row>
    <row r="14" spans="1:21" x14ac:dyDescent="0.25">
      <c r="A14" s="111">
        <v>42744</v>
      </c>
      <c r="B14" s="112"/>
      <c r="C14" s="113" t="s">
        <v>36</v>
      </c>
      <c r="D14" s="115" t="s">
        <v>25</v>
      </c>
      <c r="E14" s="114">
        <v>49</v>
      </c>
      <c r="F14" s="115" t="s">
        <v>32</v>
      </c>
      <c r="G14" s="115" t="s">
        <v>27</v>
      </c>
      <c r="H14" s="115" t="s">
        <v>33</v>
      </c>
      <c r="I14" s="115" t="s">
        <v>34</v>
      </c>
      <c r="J14" s="115" t="s">
        <v>106</v>
      </c>
      <c r="K14" s="114">
        <v>49</v>
      </c>
      <c r="L14" s="114">
        <v>2</v>
      </c>
      <c r="M14" s="115"/>
      <c r="N14" s="114"/>
      <c r="O14" s="115"/>
      <c r="P14" s="114"/>
      <c r="Q14" s="115"/>
      <c r="R14" s="116"/>
      <c r="S14" s="114">
        <f>IF(tabhisto4[[#This Row],[Type de paiement]]="","",IF(OR(tabhisto4[[#This Row],[Type de paiement]]="Bancontact",tabhisto4[[#This Row],[Type de paiement]]="Cash"),tabhisto4[[#This Row],[Honoraires complet]],tabhisto4[[#This Row],[Ticket modérateur]]+tabhisto4[[#This Row],[Montant mutuelle]]+tabhisto4[[#This Row],[Honoraires complet]]))</f>
        <v>2</v>
      </c>
      <c r="T14" s="115" t="s">
        <v>35</v>
      </c>
      <c r="U14" s="115"/>
    </row>
  </sheetData>
  <mergeCells count="2">
    <mergeCell ref="A1:E4"/>
    <mergeCell ref="F1:F2"/>
  </mergeCells>
  <dataValidations count="1">
    <dataValidation type="list" allowBlank="1" showInputMessage="1" showErrorMessage="1" sqref="T6:T14">
      <formula1>"Cloturé,TM envoi 1,TM envoi 2,TM recouvrement,Mut envoi 1,Mut envoi 2,Mut recouvrement,Hon envoi 1,Hon envoi 2,Hon recouvrement"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1" r:id="rId3" name="ListBox1">
          <controlPr defaultSize="0" autoLine="0" r:id="rId4">
            <anchor moveWithCells="1">
              <from>
                <xdr:col>8</xdr:col>
                <xdr:colOff>323850</xdr:colOff>
                <xdr:row>0</xdr:row>
                <xdr:rowOff>66675</xdr:rowOff>
              </from>
              <to>
                <xdr:col>14</xdr:col>
                <xdr:colOff>123825</xdr:colOff>
                <xdr:row>3</xdr:row>
                <xdr:rowOff>133350</xdr:rowOff>
              </to>
            </anchor>
          </controlPr>
        </control>
      </mc:Choice>
      <mc:Fallback>
        <control shapeId="2051" r:id="rId3" name="ListBox1"/>
      </mc:Fallback>
    </mc:AlternateContent>
    <mc:AlternateContent xmlns:mc="http://schemas.openxmlformats.org/markup-compatibility/2006">
      <mc:Choice Requires="x14">
        <control shapeId="2049" r:id="rId5" name="TextBox1">
          <controlPr defaultSize="0" autoLine="0" r:id="rId6">
            <anchor moveWithCells="1">
              <from>
                <xdr:col>6</xdr:col>
                <xdr:colOff>9525</xdr:colOff>
                <xdr:row>1</xdr:row>
                <xdr:rowOff>190500</xdr:rowOff>
              </from>
              <to>
                <xdr:col>8</xdr:col>
                <xdr:colOff>200025</xdr:colOff>
                <xdr:row>3</xdr:row>
                <xdr:rowOff>38100</xdr:rowOff>
              </to>
            </anchor>
          </controlPr>
        </control>
      </mc:Choice>
      <mc:Fallback>
        <control shapeId="2049" r:id="rId5" name="TextBox1"/>
      </mc:Fallback>
    </mc:AlternateContent>
  </controls>
  <tableParts count="1"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3"/>
  <sheetViews>
    <sheetView workbookViewId="0">
      <selection activeCell="E36" sqref="E36"/>
    </sheetView>
  </sheetViews>
  <sheetFormatPr baseColWidth="10" defaultColWidth="9.140625" defaultRowHeight="15" x14ac:dyDescent="0.25"/>
  <cols>
    <col min="1" max="2" width="16.42578125" customWidth="1"/>
    <col min="3" max="3" width="14" customWidth="1"/>
    <col min="5" max="5" width="24" customWidth="1"/>
    <col min="6" max="6" width="14" customWidth="1"/>
  </cols>
  <sheetData>
    <row r="1" spans="1:6" x14ac:dyDescent="0.25">
      <c r="A1" s="110" t="s">
        <v>38</v>
      </c>
      <c r="B1" s="110"/>
      <c r="C1" s="110"/>
      <c r="E1" s="19" t="s">
        <v>4</v>
      </c>
      <c r="F1" t="s">
        <v>36</v>
      </c>
    </row>
    <row r="2" spans="1:6" x14ac:dyDescent="0.25">
      <c r="A2" s="110"/>
      <c r="B2" s="110"/>
      <c r="C2" s="110"/>
      <c r="E2" s="19" t="s">
        <v>2</v>
      </c>
      <c r="F2" s="16">
        <v>42744</v>
      </c>
    </row>
    <row r="3" spans="1:6" x14ac:dyDescent="0.25">
      <c r="A3" s="110"/>
      <c r="B3" s="110"/>
      <c r="C3" s="110"/>
    </row>
    <row r="4" spans="1:6" x14ac:dyDescent="0.25">
      <c r="A4" t="s">
        <v>2</v>
      </c>
      <c r="B4" t="s">
        <v>4</v>
      </c>
      <c r="C4" t="s">
        <v>39</v>
      </c>
      <c r="E4" s="19" t="s">
        <v>40</v>
      </c>
    </row>
    <row r="5" spans="1:6" x14ac:dyDescent="0.25">
      <c r="A5" s="16"/>
      <c r="B5" s="20"/>
      <c r="C5" s="17"/>
      <c r="E5" s="17">
        <v>102</v>
      </c>
    </row>
    <row r="6" spans="1:6" x14ac:dyDescent="0.25">
      <c r="A6" s="16"/>
      <c r="B6" s="20"/>
      <c r="C6" s="17"/>
    </row>
    <row r="7" spans="1:6" x14ac:dyDescent="0.25">
      <c r="A7" s="18"/>
      <c r="C7" s="17"/>
    </row>
    <row r="8" spans="1:6" x14ac:dyDescent="0.25">
      <c r="A8" s="18"/>
      <c r="B8" s="20"/>
      <c r="C8" s="17"/>
    </row>
    <row r="9" spans="1:6" x14ac:dyDescent="0.25">
      <c r="A9" s="16"/>
      <c r="B9" s="20"/>
      <c r="C9" s="17"/>
    </row>
    <row r="10" spans="1:6" x14ac:dyDescent="0.25">
      <c r="A10" s="18"/>
      <c r="C10" s="17"/>
    </row>
    <row r="11" spans="1:6" x14ac:dyDescent="0.25">
      <c r="A11" s="16"/>
      <c r="C11" s="17"/>
    </row>
    <row r="12" spans="1:6" x14ac:dyDescent="0.25">
      <c r="A12" s="16"/>
      <c r="C12" s="17"/>
    </row>
    <row r="13" spans="1:6" x14ac:dyDescent="0.25">
      <c r="A13" s="16"/>
      <c r="C13" s="17"/>
    </row>
  </sheetData>
  <mergeCells count="1">
    <mergeCell ref="A1:C3"/>
  </mergeCells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des médecins</vt:lpstr>
      <vt:lpstr>Encodage des gardes</vt:lpstr>
      <vt:lpstr>Historique des gardes</vt:lpstr>
      <vt:lpstr>Paiement des médecins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2016-11-28T07:57:06Z</dcterms:modified>
</cp:coreProperties>
</file>