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4000" windowHeight="10320" tabRatio="919" firstSheet="11" activeTab="23"/>
  </bookViews>
  <sheets>
    <sheet name="Janvier 2017" sheetId="13" r:id="rId1"/>
    <sheet name="Février 2017" sheetId="1" r:id="rId2"/>
    <sheet name="Mars 2017" sheetId="2" r:id="rId3"/>
    <sheet name="Avril 2017" sheetId="3" r:id="rId4"/>
    <sheet name="Mai 2017" sheetId="4" r:id="rId5"/>
    <sheet name="Juin 2017" sheetId="5" r:id="rId6"/>
    <sheet name="Juillet 2017" sheetId="6" r:id="rId7"/>
    <sheet name="Aout 2017" sheetId="7" r:id="rId8"/>
    <sheet name="Septembre 2017" sheetId="8" r:id="rId9"/>
    <sheet name="Octobre 2017" sheetId="9" r:id="rId10"/>
    <sheet name="Novembre 2017" sheetId="10" r:id="rId11"/>
    <sheet name="Décembre 2017" sheetId="11" r:id="rId12"/>
    <sheet name="Année 2017" sheetId="12" r:id="rId13"/>
    <sheet name="Janvier 2018" sheetId="15" r:id="rId14"/>
    <sheet name="Février 2018" sheetId="16" r:id="rId15"/>
    <sheet name="Mars 2018" sheetId="17" r:id="rId16"/>
    <sheet name="Avril 2018" sheetId="18" r:id="rId17"/>
    <sheet name="Mai 2018" sheetId="19" r:id="rId18"/>
    <sheet name="Juin 2018" sheetId="20" r:id="rId19"/>
    <sheet name="Juillet 2018" sheetId="21" r:id="rId20"/>
    <sheet name="Aout 2018" sheetId="30" r:id="rId21"/>
    <sheet name="Septembre 2018" sheetId="23" r:id="rId22"/>
    <sheet name="Octobre 2018" sheetId="24" r:id="rId23"/>
    <sheet name="Novembre 2018" sheetId="25" r:id="rId24"/>
    <sheet name="Décembre 2018" sheetId="26" r:id="rId25"/>
    <sheet name="Année 2018" sheetId="27" r:id="rId26"/>
    <sheet name="Janvier 2019" sheetId="31" state="hidden" r:id="rId27"/>
    <sheet name="Février 2019" sheetId="32" state="hidden" r:id="rId28"/>
    <sheet name="Mars 2019" sheetId="33" state="hidden" r:id="rId29"/>
    <sheet name="Avril 2019" sheetId="34" state="hidden" r:id="rId30"/>
    <sheet name="Mai 2019" sheetId="35" state="hidden" r:id="rId31"/>
    <sheet name="Juin 2019" sheetId="36" state="hidden" r:id="rId32"/>
    <sheet name="Juillet 2019" sheetId="37" state="hidden" r:id="rId33"/>
    <sheet name="Aout 2019" sheetId="38" state="hidden" r:id="rId34"/>
    <sheet name="Septembre 2019" sheetId="39" state="hidden" r:id="rId35"/>
    <sheet name="Octobre 2019" sheetId="40" state="hidden" r:id="rId36"/>
    <sheet name="Novembre 2019" sheetId="41" state="hidden" r:id="rId37"/>
    <sheet name="Décembre 2019" sheetId="42" state="hidden" r:id="rId38"/>
    <sheet name="Année 2019" sheetId="43" state="hidden" r:id="rId39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11" l="1"/>
  <c r="L33" i="11"/>
  <c r="M33" i="11"/>
  <c r="J33" i="11"/>
  <c r="K33" i="10"/>
  <c r="L33" i="10"/>
  <c r="M33" i="10"/>
  <c r="J33" i="10"/>
  <c r="K33" i="9"/>
  <c r="L33" i="9"/>
  <c r="M33" i="9"/>
  <c r="J33" i="9"/>
  <c r="K33" i="8"/>
  <c r="L33" i="8"/>
  <c r="M33" i="8"/>
  <c r="J33" i="8"/>
  <c r="K33" i="7"/>
  <c r="L33" i="7"/>
  <c r="M33" i="7"/>
  <c r="J33" i="7"/>
  <c r="K33" i="6"/>
  <c r="L33" i="6"/>
  <c r="M33" i="6"/>
  <c r="J33" i="6"/>
  <c r="K33" i="5"/>
  <c r="L33" i="5"/>
  <c r="M33" i="5"/>
  <c r="J33" i="5"/>
  <c r="K33" i="4"/>
  <c r="L33" i="4"/>
  <c r="M33" i="4"/>
  <c r="J33" i="4"/>
  <c r="K33" i="3"/>
  <c r="L33" i="3"/>
  <c r="M33" i="3"/>
  <c r="J33" i="3"/>
  <c r="K33" i="2"/>
  <c r="L33" i="2"/>
  <c r="M33" i="2"/>
  <c r="J33" i="2"/>
  <c r="K30" i="1"/>
  <c r="L30" i="1"/>
  <c r="M30" i="1"/>
  <c r="J30" i="1"/>
  <c r="K33" i="13"/>
  <c r="L33" i="13"/>
  <c r="M33" i="13"/>
  <c r="J33" i="13"/>
  <c r="E2" i="12" l="1"/>
  <c r="D2" i="12"/>
  <c r="I33" i="13"/>
  <c r="I2" i="12" s="1"/>
  <c r="H33" i="13"/>
  <c r="H2" i="12" s="1"/>
  <c r="G33" i="13"/>
  <c r="G2" i="12" s="1"/>
  <c r="C2" i="12"/>
  <c r="F32" i="13"/>
  <c r="B32" i="13"/>
  <c r="F31" i="13"/>
  <c r="B31" i="13"/>
  <c r="F30" i="13"/>
  <c r="B30" i="13"/>
  <c r="F29" i="13"/>
  <c r="B29" i="13"/>
  <c r="F28" i="13"/>
  <c r="B28" i="13"/>
  <c r="F27" i="13"/>
  <c r="B27" i="13"/>
  <c r="F26" i="13"/>
  <c r="B26" i="13"/>
  <c r="F25" i="13"/>
  <c r="B25" i="13"/>
  <c r="F24" i="13"/>
  <c r="B24" i="13"/>
  <c r="F23" i="13"/>
  <c r="B23" i="13"/>
  <c r="F22" i="13"/>
  <c r="B22" i="13"/>
  <c r="F21" i="13"/>
  <c r="B21" i="13"/>
  <c r="F20" i="13"/>
  <c r="B20" i="13"/>
  <c r="F19" i="13"/>
  <c r="B19" i="13"/>
  <c r="F18" i="13"/>
  <c r="B18" i="13"/>
  <c r="F17" i="13"/>
  <c r="B17" i="13"/>
  <c r="F16" i="13"/>
  <c r="B16" i="13"/>
  <c r="F15" i="13"/>
  <c r="B15" i="13"/>
  <c r="F14" i="13"/>
  <c r="B14" i="13"/>
  <c r="F13" i="13"/>
  <c r="B13" i="13"/>
  <c r="F12" i="13"/>
  <c r="B12" i="13"/>
  <c r="F11" i="13"/>
  <c r="B11" i="13"/>
  <c r="F10" i="13"/>
  <c r="B10" i="13"/>
  <c r="F9" i="13"/>
  <c r="B9" i="13"/>
  <c r="F8" i="13"/>
  <c r="B8" i="13"/>
  <c r="F7" i="13"/>
  <c r="B7" i="13"/>
  <c r="F6" i="13"/>
  <c r="B6" i="13"/>
  <c r="F5" i="13"/>
  <c r="B5" i="13"/>
  <c r="F4" i="13"/>
  <c r="B4" i="13"/>
  <c r="F3" i="13"/>
  <c r="B3" i="13"/>
  <c r="F2" i="13"/>
  <c r="B2" i="13"/>
  <c r="I33" i="11"/>
  <c r="I13" i="12" s="1"/>
  <c r="H33" i="11"/>
  <c r="H13" i="12" s="1"/>
  <c r="G33" i="11"/>
  <c r="G13" i="12" s="1"/>
  <c r="E33" i="11"/>
  <c r="E13" i="12" s="1"/>
  <c r="D33" i="11"/>
  <c r="D13" i="12" s="1"/>
  <c r="C33" i="11"/>
  <c r="C13" i="12" s="1"/>
  <c r="F32" i="11"/>
  <c r="B32" i="11"/>
  <c r="F31" i="11"/>
  <c r="B31" i="11"/>
  <c r="F30" i="11"/>
  <c r="B30" i="11"/>
  <c r="F29" i="11"/>
  <c r="B29" i="11"/>
  <c r="F28" i="11"/>
  <c r="B28" i="11"/>
  <c r="F27" i="11"/>
  <c r="B27" i="11"/>
  <c r="F26" i="11"/>
  <c r="B26" i="11"/>
  <c r="F25" i="11"/>
  <c r="B25" i="11"/>
  <c r="F24" i="11"/>
  <c r="B24" i="11"/>
  <c r="F23" i="11"/>
  <c r="B23" i="11"/>
  <c r="F22" i="11"/>
  <c r="B22" i="11"/>
  <c r="F21" i="11"/>
  <c r="B21" i="11"/>
  <c r="F20" i="11"/>
  <c r="B20" i="11"/>
  <c r="F19" i="11"/>
  <c r="B19" i="11"/>
  <c r="F18" i="11"/>
  <c r="B18" i="11"/>
  <c r="F17" i="11"/>
  <c r="B17" i="11"/>
  <c r="F16" i="11"/>
  <c r="B16" i="11"/>
  <c r="F15" i="11"/>
  <c r="B15" i="11"/>
  <c r="F14" i="11"/>
  <c r="B14" i="11"/>
  <c r="F13" i="11"/>
  <c r="B13" i="11"/>
  <c r="F12" i="11"/>
  <c r="B12" i="11"/>
  <c r="F11" i="11"/>
  <c r="B11" i="11"/>
  <c r="F10" i="11"/>
  <c r="B10" i="11"/>
  <c r="F9" i="11"/>
  <c r="B9" i="11"/>
  <c r="F8" i="11"/>
  <c r="B8" i="11"/>
  <c r="F7" i="11"/>
  <c r="B7" i="11"/>
  <c r="F6" i="11"/>
  <c r="B6" i="11"/>
  <c r="F5" i="11"/>
  <c r="B5" i="11"/>
  <c r="F4" i="11"/>
  <c r="B4" i="11"/>
  <c r="F3" i="11"/>
  <c r="B3" i="11"/>
  <c r="F2" i="11"/>
  <c r="B2" i="11"/>
  <c r="I33" i="10"/>
  <c r="I12" i="12" s="1"/>
  <c r="H33" i="10"/>
  <c r="H12" i="12" s="1"/>
  <c r="G33" i="10"/>
  <c r="G12" i="12" s="1"/>
  <c r="E33" i="10"/>
  <c r="E12" i="12" s="1"/>
  <c r="D33" i="10"/>
  <c r="D12" i="12" s="1"/>
  <c r="C33" i="10"/>
  <c r="C12" i="12" s="1"/>
  <c r="F32" i="10"/>
  <c r="B32" i="10"/>
  <c r="F31" i="10"/>
  <c r="B31" i="10"/>
  <c r="F30" i="10"/>
  <c r="B30" i="10"/>
  <c r="F29" i="10"/>
  <c r="B29" i="10"/>
  <c r="F28" i="10"/>
  <c r="B28" i="10"/>
  <c r="F27" i="10"/>
  <c r="B27" i="10"/>
  <c r="F26" i="10"/>
  <c r="B26" i="10"/>
  <c r="F25" i="10"/>
  <c r="B25" i="10"/>
  <c r="F24" i="10"/>
  <c r="B24" i="10"/>
  <c r="F23" i="10"/>
  <c r="B23" i="10"/>
  <c r="F22" i="10"/>
  <c r="B22" i="10"/>
  <c r="F21" i="10"/>
  <c r="B21" i="10"/>
  <c r="F20" i="10"/>
  <c r="B20" i="10"/>
  <c r="F19" i="10"/>
  <c r="B19" i="10"/>
  <c r="F18" i="10"/>
  <c r="B18" i="10"/>
  <c r="F17" i="10"/>
  <c r="B17" i="10"/>
  <c r="F16" i="10"/>
  <c r="B16" i="10"/>
  <c r="F15" i="10"/>
  <c r="B15" i="10"/>
  <c r="F14" i="10"/>
  <c r="B14" i="10"/>
  <c r="F13" i="10"/>
  <c r="B13" i="10"/>
  <c r="F12" i="10"/>
  <c r="B12" i="10"/>
  <c r="F11" i="10"/>
  <c r="B11" i="10"/>
  <c r="F10" i="10"/>
  <c r="B10" i="10"/>
  <c r="F9" i="10"/>
  <c r="B9" i="10"/>
  <c r="F8" i="10"/>
  <c r="B8" i="10"/>
  <c r="F7" i="10"/>
  <c r="B7" i="10"/>
  <c r="F6" i="10"/>
  <c r="B6" i="10"/>
  <c r="F5" i="10"/>
  <c r="B5" i="10"/>
  <c r="F4" i="10"/>
  <c r="B4" i="10"/>
  <c r="F3" i="10"/>
  <c r="B3" i="10"/>
  <c r="F2" i="10"/>
  <c r="B2" i="10"/>
  <c r="I33" i="9"/>
  <c r="I11" i="12" s="1"/>
  <c r="H33" i="9"/>
  <c r="H11" i="12" s="1"/>
  <c r="G33" i="9"/>
  <c r="G11" i="12" s="1"/>
  <c r="E33" i="9"/>
  <c r="E11" i="12" s="1"/>
  <c r="D33" i="9"/>
  <c r="D11" i="12" s="1"/>
  <c r="C33" i="9"/>
  <c r="C11" i="12" s="1"/>
  <c r="F32" i="9"/>
  <c r="B32" i="9"/>
  <c r="F31" i="9"/>
  <c r="B31" i="9"/>
  <c r="F30" i="9"/>
  <c r="B30" i="9"/>
  <c r="F29" i="9"/>
  <c r="B29" i="9"/>
  <c r="F28" i="9"/>
  <c r="B28" i="9"/>
  <c r="F27" i="9"/>
  <c r="B27" i="9"/>
  <c r="F26" i="9"/>
  <c r="B26" i="9"/>
  <c r="F25" i="9"/>
  <c r="B25" i="9"/>
  <c r="F24" i="9"/>
  <c r="B24" i="9"/>
  <c r="F23" i="9"/>
  <c r="B23" i="9"/>
  <c r="F22" i="9"/>
  <c r="B22" i="9"/>
  <c r="F21" i="9"/>
  <c r="B21" i="9"/>
  <c r="F20" i="9"/>
  <c r="B20" i="9"/>
  <c r="F19" i="9"/>
  <c r="B19" i="9"/>
  <c r="F18" i="9"/>
  <c r="B18" i="9"/>
  <c r="F17" i="9"/>
  <c r="B17" i="9"/>
  <c r="F16" i="9"/>
  <c r="B16" i="9"/>
  <c r="F15" i="9"/>
  <c r="B15" i="9"/>
  <c r="F14" i="9"/>
  <c r="B14" i="9"/>
  <c r="F13" i="9"/>
  <c r="B13" i="9"/>
  <c r="F12" i="9"/>
  <c r="B12" i="9"/>
  <c r="F11" i="9"/>
  <c r="B11" i="9"/>
  <c r="F10" i="9"/>
  <c r="B10" i="9"/>
  <c r="F9" i="9"/>
  <c r="B9" i="9"/>
  <c r="F8" i="9"/>
  <c r="B8" i="9"/>
  <c r="F7" i="9"/>
  <c r="B7" i="9"/>
  <c r="F6" i="9"/>
  <c r="B6" i="9"/>
  <c r="F5" i="9"/>
  <c r="B5" i="9"/>
  <c r="F4" i="9"/>
  <c r="B4" i="9"/>
  <c r="F3" i="9"/>
  <c r="B3" i="9"/>
  <c r="F2" i="9"/>
  <c r="B2" i="9"/>
  <c r="I33" i="8"/>
  <c r="I10" i="12" s="1"/>
  <c r="H33" i="8"/>
  <c r="H10" i="12" s="1"/>
  <c r="G33" i="8"/>
  <c r="G10" i="12" s="1"/>
  <c r="E33" i="8"/>
  <c r="E10" i="12" s="1"/>
  <c r="D33" i="8"/>
  <c r="D10" i="12" s="1"/>
  <c r="C33" i="8"/>
  <c r="C10" i="12" s="1"/>
  <c r="F32" i="8"/>
  <c r="B32" i="8"/>
  <c r="F31" i="8"/>
  <c r="B31" i="8"/>
  <c r="F30" i="8"/>
  <c r="B30" i="8"/>
  <c r="F29" i="8"/>
  <c r="B29" i="8"/>
  <c r="F28" i="8"/>
  <c r="B28" i="8"/>
  <c r="F27" i="8"/>
  <c r="B27" i="8"/>
  <c r="F26" i="8"/>
  <c r="B26" i="8"/>
  <c r="F25" i="8"/>
  <c r="B25" i="8"/>
  <c r="F24" i="8"/>
  <c r="B24" i="8"/>
  <c r="F23" i="8"/>
  <c r="B23" i="8"/>
  <c r="F22" i="8"/>
  <c r="B22" i="8"/>
  <c r="F21" i="8"/>
  <c r="B21" i="8"/>
  <c r="F20" i="8"/>
  <c r="B20" i="8"/>
  <c r="F19" i="8"/>
  <c r="B19" i="8"/>
  <c r="F18" i="8"/>
  <c r="B18" i="8"/>
  <c r="F17" i="8"/>
  <c r="B17" i="8"/>
  <c r="F16" i="8"/>
  <c r="B16" i="8"/>
  <c r="F15" i="8"/>
  <c r="B15" i="8"/>
  <c r="F14" i="8"/>
  <c r="B14" i="8"/>
  <c r="F13" i="8"/>
  <c r="B13" i="8"/>
  <c r="F12" i="8"/>
  <c r="B12" i="8"/>
  <c r="F11" i="8"/>
  <c r="B11" i="8"/>
  <c r="F10" i="8"/>
  <c r="B10" i="8"/>
  <c r="F9" i="8"/>
  <c r="B9" i="8"/>
  <c r="F8" i="8"/>
  <c r="B8" i="8"/>
  <c r="F7" i="8"/>
  <c r="B7" i="8"/>
  <c r="F6" i="8"/>
  <c r="B6" i="8"/>
  <c r="F5" i="8"/>
  <c r="B5" i="8"/>
  <c r="F4" i="8"/>
  <c r="B4" i="8"/>
  <c r="F3" i="8"/>
  <c r="B3" i="8"/>
  <c r="F2" i="8"/>
  <c r="B2" i="8"/>
  <c r="I33" i="7"/>
  <c r="I9" i="12" s="1"/>
  <c r="H33" i="7"/>
  <c r="H9" i="12" s="1"/>
  <c r="G33" i="7"/>
  <c r="G9" i="12" s="1"/>
  <c r="E33" i="7"/>
  <c r="E9" i="12" s="1"/>
  <c r="D33" i="7"/>
  <c r="D9" i="12" s="1"/>
  <c r="C33" i="7"/>
  <c r="C9" i="12" s="1"/>
  <c r="F32" i="7"/>
  <c r="B32" i="7"/>
  <c r="F31" i="7"/>
  <c r="B31" i="7"/>
  <c r="F30" i="7"/>
  <c r="B30" i="7"/>
  <c r="F29" i="7"/>
  <c r="B29" i="7"/>
  <c r="F28" i="7"/>
  <c r="B28" i="7"/>
  <c r="F27" i="7"/>
  <c r="B27" i="7"/>
  <c r="F26" i="7"/>
  <c r="B26" i="7"/>
  <c r="F25" i="7"/>
  <c r="B25" i="7"/>
  <c r="F24" i="7"/>
  <c r="B24" i="7"/>
  <c r="F23" i="7"/>
  <c r="B23" i="7"/>
  <c r="F22" i="7"/>
  <c r="B22" i="7"/>
  <c r="F21" i="7"/>
  <c r="B21" i="7"/>
  <c r="F20" i="7"/>
  <c r="B20" i="7"/>
  <c r="F19" i="7"/>
  <c r="B19" i="7"/>
  <c r="F18" i="7"/>
  <c r="B18" i="7"/>
  <c r="F17" i="7"/>
  <c r="B17" i="7"/>
  <c r="F16" i="7"/>
  <c r="B16" i="7"/>
  <c r="F15" i="7"/>
  <c r="B15" i="7"/>
  <c r="F14" i="7"/>
  <c r="B14" i="7"/>
  <c r="F13" i="7"/>
  <c r="B13" i="7"/>
  <c r="F12" i="7"/>
  <c r="B12" i="7"/>
  <c r="F11" i="7"/>
  <c r="B11" i="7"/>
  <c r="F10" i="7"/>
  <c r="B10" i="7"/>
  <c r="F9" i="7"/>
  <c r="B9" i="7"/>
  <c r="F8" i="7"/>
  <c r="B8" i="7"/>
  <c r="F7" i="7"/>
  <c r="B7" i="7"/>
  <c r="F6" i="7"/>
  <c r="B6" i="7"/>
  <c r="F5" i="7"/>
  <c r="B5" i="7"/>
  <c r="F4" i="7"/>
  <c r="B4" i="7"/>
  <c r="F3" i="7"/>
  <c r="B3" i="7"/>
  <c r="F2" i="7"/>
  <c r="B2" i="7"/>
  <c r="I33" i="6"/>
  <c r="I8" i="12" s="1"/>
  <c r="H33" i="6"/>
  <c r="H8" i="12" s="1"/>
  <c r="G33" i="6"/>
  <c r="G8" i="12" s="1"/>
  <c r="E33" i="6"/>
  <c r="E8" i="12" s="1"/>
  <c r="D33" i="6"/>
  <c r="D8" i="12" s="1"/>
  <c r="C33" i="6"/>
  <c r="C8" i="12" s="1"/>
  <c r="F32" i="6"/>
  <c r="B32" i="6"/>
  <c r="F31" i="6"/>
  <c r="B31" i="6"/>
  <c r="F30" i="6"/>
  <c r="B30" i="6"/>
  <c r="F29" i="6"/>
  <c r="B29" i="6"/>
  <c r="F28" i="6"/>
  <c r="B28" i="6"/>
  <c r="F27" i="6"/>
  <c r="B27" i="6"/>
  <c r="F26" i="6"/>
  <c r="B26" i="6"/>
  <c r="F25" i="6"/>
  <c r="B25" i="6"/>
  <c r="F24" i="6"/>
  <c r="B24" i="6"/>
  <c r="F23" i="6"/>
  <c r="B23" i="6"/>
  <c r="F22" i="6"/>
  <c r="B22" i="6"/>
  <c r="F21" i="6"/>
  <c r="B21" i="6"/>
  <c r="F20" i="6"/>
  <c r="B20" i="6"/>
  <c r="F19" i="6"/>
  <c r="B19" i="6"/>
  <c r="F18" i="6"/>
  <c r="B18" i="6"/>
  <c r="F17" i="6"/>
  <c r="B17" i="6"/>
  <c r="F16" i="6"/>
  <c r="B16" i="6"/>
  <c r="F15" i="6"/>
  <c r="B15" i="6"/>
  <c r="F14" i="6"/>
  <c r="B14" i="6"/>
  <c r="F13" i="6"/>
  <c r="B13" i="6"/>
  <c r="F12" i="6"/>
  <c r="B12" i="6"/>
  <c r="F11" i="6"/>
  <c r="B11" i="6"/>
  <c r="F10" i="6"/>
  <c r="B10" i="6"/>
  <c r="F9" i="6"/>
  <c r="B9" i="6"/>
  <c r="F8" i="6"/>
  <c r="B8" i="6"/>
  <c r="F7" i="6"/>
  <c r="B7" i="6"/>
  <c r="F6" i="6"/>
  <c r="B6" i="6"/>
  <c r="F5" i="6"/>
  <c r="B5" i="6"/>
  <c r="F4" i="6"/>
  <c r="B4" i="6"/>
  <c r="F3" i="6"/>
  <c r="B3" i="6"/>
  <c r="F2" i="6"/>
  <c r="B2" i="6"/>
  <c r="I33" i="5"/>
  <c r="I7" i="12" s="1"/>
  <c r="H33" i="5"/>
  <c r="H7" i="12" s="1"/>
  <c r="G33" i="5"/>
  <c r="G7" i="12" s="1"/>
  <c r="E33" i="5"/>
  <c r="E7" i="12" s="1"/>
  <c r="D33" i="5"/>
  <c r="D7" i="12" s="1"/>
  <c r="C33" i="5"/>
  <c r="C7" i="12" s="1"/>
  <c r="F32" i="5"/>
  <c r="B32" i="5"/>
  <c r="F31" i="5"/>
  <c r="B31" i="5"/>
  <c r="F30" i="5"/>
  <c r="B30" i="5"/>
  <c r="F29" i="5"/>
  <c r="B29" i="5"/>
  <c r="F28" i="5"/>
  <c r="B28" i="5"/>
  <c r="F27" i="5"/>
  <c r="B27" i="5"/>
  <c r="F26" i="5"/>
  <c r="B26" i="5"/>
  <c r="F25" i="5"/>
  <c r="B25" i="5"/>
  <c r="F24" i="5"/>
  <c r="B24" i="5"/>
  <c r="F23" i="5"/>
  <c r="B23" i="5"/>
  <c r="F22" i="5"/>
  <c r="B22" i="5"/>
  <c r="F21" i="5"/>
  <c r="B21" i="5"/>
  <c r="F20" i="5"/>
  <c r="B20" i="5"/>
  <c r="F19" i="5"/>
  <c r="B19" i="5"/>
  <c r="F18" i="5"/>
  <c r="B18" i="5"/>
  <c r="F17" i="5"/>
  <c r="B17" i="5"/>
  <c r="F16" i="5"/>
  <c r="B16" i="5"/>
  <c r="F15" i="5"/>
  <c r="B15" i="5"/>
  <c r="F14" i="5"/>
  <c r="B14" i="5"/>
  <c r="F13" i="5"/>
  <c r="B13" i="5"/>
  <c r="F12" i="5"/>
  <c r="B12" i="5"/>
  <c r="F11" i="5"/>
  <c r="B11" i="5"/>
  <c r="F10" i="5"/>
  <c r="B10" i="5"/>
  <c r="F9" i="5"/>
  <c r="B9" i="5"/>
  <c r="F8" i="5"/>
  <c r="B8" i="5"/>
  <c r="F7" i="5"/>
  <c r="B7" i="5"/>
  <c r="F6" i="5"/>
  <c r="B6" i="5"/>
  <c r="F5" i="5"/>
  <c r="B5" i="5"/>
  <c r="F4" i="5"/>
  <c r="B4" i="5"/>
  <c r="F3" i="5"/>
  <c r="B3" i="5"/>
  <c r="F2" i="5"/>
  <c r="B2" i="5"/>
  <c r="L11" i="12" l="1"/>
  <c r="L10" i="12"/>
  <c r="L9" i="12"/>
  <c r="L8" i="12"/>
  <c r="O16" i="10"/>
  <c r="O20" i="10"/>
  <c r="O22" i="10"/>
  <c r="O24" i="10"/>
  <c r="O22" i="13"/>
  <c r="L13" i="12"/>
  <c r="O16" i="11"/>
  <c r="O28" i="11"/>
  <c r="L12" i="12"/>
  <c r="L7" i="12"/>
  <c r="O17" i="5"/>
  <c r="O25" i="5"/>
  <c r="O25" i="6"/>
  <c r="O3" i="7"/>
  <c r="O5" i="7"/>
  <c r="O3" i="8"/>
  <c r="O5" i="8"/>
  <c r="O23" i="8"/>
  <c r="O27" i="8"/>
  <c r="O29" i="8"/>
  <c r="O17" i="10"/>
  <c r="O19" i="10"/>
  <c r="O15" i="11"/>
  <c r="O21" i="11"/>
  <c r="O23" i="11"/>
  <c r="O25" i="11"/>
  <c r="O27" i="11"/>
  <c r="O8" i="6"/>
  <c r="O28" i="6"/>
  <c r="O31" i="11"/>
  <c r="O19" i="13"/>
  <c r="O8" i="9"/>
  <c r="O25" i="13"/>
  <c r="O27" i="13"/>
  <c r="O29" i="13"/>
  <c r="O31" i="13"/>
  <c r="O31" i="6"/>
  <c r="O8" i="10"/>
  <c r="O2" i="7"/>
  <c r="O6" i="7"/>
  <c r="O22" i="7"/>
  <c r="O26" i="7"/>
  <c r="O28" i="7"/>
  <c r="O30" i="7"/>
  <c r="O6" i="8"/>
  <c r="O8" i="8"/>
  <c r="O10" i="8"/>
  <c r="O14" i="8"/>
  <c r="O16" i="8"/>
  <c r="O18" i="8"/>
  <c r="O22" i="8"/>
  <c r="O24" i="8"/>
  <c r="O26" i="8"/>
  <c r="O30" i="8"/>
  <c r="O32" i="8"/>
  <c r="O4" i="9"/>
  <c r="O18" i="7"/>
  <c r="O10" i="11"/>
  <c r="O12" i="13"/>
  <c r="O7" i="5"/>
  <c r="O31" i="5"/>
  <c r="O3" i="6"/>
  <c r="O7" i="6"/>
  <c r="O31" i="8"/>
  <c r="O6" i="11"/>
  <c r="O8" i="13"/>
  <c r="O12" i="5"/>
  <c r="O16" i="5"/>
  <c r="O18" i="5"/>
  <c r="O20" i="5"/>
  <c r="O24" i="5"/>
  <c r="O26" i="5"/>
  <c r="O28" i="5"/>
  <c r="O12" i="6"/>
  <c r="O16" i="6"/>
  <c r="O18" i="6"/>
  <c r="O20" i="6"/>
  <c r="O13" i="7"/>
  <c r="O17" i="7"/>
  <c r="O7" i="8"/>
  <c r="O11" i="8"/>
  <c r="O13" i="8"/>
  <c r="O15" i="8"/>
  <c r="O19" i="8"/>
  <c r="O21" i="8"/>
  <c r="O12" i="9"/>
  <c r="O16" i="9"/>
  <c r="O18" i="9"/>
  <c r="O20" i="9"/>
  <c r="O22" i="9"/>
  <c r="O24" i="9"/>
  <c r="O28" i="9"/>
  <c r="O32" i="9"/>
  <c r="O4" i="10"/>
  <c r="O15" i="10"/>
  <c r="O31" i="10"/>
  <c r="O7" i="13"/>
  <c r="O9" i="5"/>
  <c r="O32" i="5"/>
  <c r="O4" i="6"/>
  <c r="O15" i="6"/>
  <c r="O19" i="6"/>
  <c r="O23" i="6"/>
  <c r="O10" i="7"/>
  <c r="O12" i="7"/>
  <c r="O14" i="7"/>
  <c r="O25" i="7"/>
  <c r="O29" i="7"/>
  <c r="O3" i="9"/>
  <c r="O7" i="9"/>
  <c r="O9" i="9"/>
  <c r="O31" i="9"/>
  <c r="O3" i="10"/>
  <c r="O7" i="10"/>
  <c r="O9" i="10"/>
  <c r="O11" i="10"/>
  <c r="O28" i="10"/>
  <c r="O30" i="10"/>
  <c r="O32" i="10"/>
  <c r="O12" i="11"/>
  <c r="O19" i="11"/>
  <c r="O9" i="13"/>
  <c r="O11" i="13"/>
  <c r="O13" i="13"/>
  <c r="O15" i="13"/>
  <c r="O24" i="13"/>
  <c r="O28" i="13"/>
  <c r="O4" i="5"/>
  <c r="O8" i="5"/>
  <c r="O10" i="5"/>
  <c r="O15" i="5"/>
  <c r="O23" i="5"/>
  <c r="O9" i="6"/>
  <c r="O24" i="6"/>
  <c r="O32" i="6"/>
  <c r="O19" i="7"/>
  <c r="O15" i="9"/>
  <c r="O19" i="9"/>
  <c r="O23" i="9"/>
  <c r="O25" i="9"/>
  <c r="O12" i="10"/>
  <c r="O14" i="10"/>
  <c r="O23" i="10"/>
  <c r="O25" i="10"/>
  <c r="O27" i="10"/>
  <c r="O3" i="11"/>
  <c r="O5" i="11"/>
  <c r="O7" i="11"/>
  <c r="O11" i="11"/>
  <c r="O22" i="11"/>
  <c r="O26" i="11"/>
  <c r="O32" i="11"/>
  <c r="O2" i="13"/>
  <c r="O6" i="13"/>
  <c r="O18" i="13"/>
  <c r="O23" i="13"/>
  <c r="O10" i="6"/>
  <c r="O17" i="6"/>
  <c r="O26" i="6"/>
  <c r="F33" i="7"/>
  <c r="F9" i="12" s="1"/>
  <c r="O4" i="7"/>
  <c r="O11" i="7"/>
  <c r="O20" i="7"/>
  <c r="O27" i="7"/>
  <c r="F33" i="8"/>
  <c r="F10" i="12" s="1"/>
  <c r="O4" i="8"/>
  <c r="O9" i="8"/>
  <c r="O12" i="8"/>
  <c r="O17" i="8"/>
  <c r="O20" i="8"/>
  <c r="O25" i="8"/>
  <c r="O28" i="8"/>
  <c r="O10" i="9"/>
  <c r="O17" i="9"/>
  <c r="O26" i="9"/>
  <c r="O10" i="10"/>
  <c r="O13" i="10"/>
  <c r="O18" i="10"/>
  <c r="O21" i="10"/>
  <c r="O26" i="10"/>
  <c r="O29" i="10"/>
  <c r="O8" i="11"/>
  <c r="O17" i="11"/>
  <c r="O24" i="11"/>
  <c r="O3" i="13"/>
  <c r="O5" i="13"/>
  <c r="O14" i="13"/>
  <c r="O21" i="13"/>
  <c r="O30" i="13"/>
  <c r="O3" i="5"/>
  <c r="O5" i="5"/>
  <c r="O14" i="5"/>
  <c r="O19" i="5"/>
  <c r="O21" i="5"/>
  <c r="O30" i="5"/>
  <c r="O5" i="6"/>
  <c r="O14" i="6"/>
  <c r="O21" i="6"/>
  <c r="O30" i="6"/>
  <c r="O8" i="7"/>
  <c r="O15" i="7"/>
  <c r="O24" i="7"/>
  <c r="O31" i="7"/>
  <c r="O5" i="9"/>
  <c r="O14" i="9"/>
  <c r="O21" i="9"/>
  <c r="O30" i="9"/>
  <c r="O5" i="10"/>
  <c r="O2" i="5"/>
  <c r="O2" i="6"/>
  <c r="B33" i="9"/>
  <c r="B11" i="12" s="1"/>
  <c r="B33" i="10"/>
  <c r="B12" i="12" s="1"/>
  <c r="O14" i="11"/>
  <c r="O30" i="11"/>
  <c r="O16" i="13"/>
  <c r="F33" i="5"/>
  <c r="F7" i="12" s="1"/>
  <c r="O6" i="5"/>
  <c r="O11" i="5"/>
  <c r="O13" i="5"/>
  <c r="O22" i="5"/>
  <c r="O27" i="5"/>
  <c r="O29" i="5"/>
  <c r="F33" i="6"/>
  <c r="F8" i="12" s="1"/>
  <c r="O6" i="6"/>
  <c r="O11" i="6"/>
  <c r="O13" i="6"/>
  <c r="O22" i="6"/>
  <c r="O27" i="6"/>
  <c r="O29" i="6"/>
  <c r="B33" i="7"/>
  <c r="B9" i="12" s="1"/>
  <c r="O7" i="7"/>
  <c r="O9" i="7"/>
  <c r="O16" i="7"/>
  <c r="O21" i="7"/>
  <c r="O23" i="7"/>
  <c r="O32" i="7"/>
  <c r="B33" i="8"/>
  <c r="B10" i="12" s="1"/>
  <c r="F33" i="9"/>
  <c r="F11" i="12" s="1"/>
  <c r="O6" i="9"/>
  <c r="O11" i="9"/>
  <c r="O13" i="9"/>
  <c r="O27" i="9"/>
  <c r="O29" i="9"/>
  <c r="F33" i="10"/>
  <c r="F12" i="12" s="1"/>
  <c r="O6" i="10"/>
  <c r="F33" i="11"/>
  <c r="F13" i="12" s="1"/>
  <c r="O4" i="11"/>
  <c r="O13" i="11"/>
  <c r="O18" i="11"/>
  <c r="O20" i="11"/>
  <c r="O29" i="11"/>
  <c r="O4" i="13"/>
  <c r="O10" i="13"/>
  <c r="O17" i="13"/>
  <c r="O20" i="13"/>
  <c r="O26" i="13"/>
  <c r="O9" i="11"/>
  <c r="O32" i="13"/>
  <c r="F33" i="13"/>
  <c r="F2" i="12" s="1"/>
  <c r="B2" i="12"/>
  <c r="B33" i="11"/>
  <c r="B13" i="12" s="1"/>
  <c r="O2" i="11"/>
  <c r="O2" i="10"/>
  <c r="O2" i="9"/>
  <c r="O2" i="8"/>
  <c r="B33" i="6"/>
  <c r="B8" i="12" s="1"/>
  <c r="B33" i="5"/>
  <c r="B7" i="12" s="1"/>
  <c r="I33" i="4"/>
  <c r="I6" i="12" s="1"/>
  <c r="H33" i="4"/>
  <c r="H6" i="12" s="1"/>
  <c r="G33" i="4"/>
  <c r="G6" i="12" s="1"/>
  <c r="E33" i="4"/>
  <c r="E6" i="12" s="1"/>
  <c r="D33" i="4"/>
  <c r="D6" i="12" s="1"/>
  <c r="C33" i="4"/>
  <c r="C6" i="12" s="1"/>
  <c r="F32" i="4"/>
  <c r="B32" i="4"/>
  <c r="F31" i="4"/>
  <c r="B31" i="4"/>
  <c r="F30" i="4"/>
  <c r="B30" i="4"/>
  <c r="F29" i="4"/>
  <c r="B29" i="4"/>
  <c r="F28" i="4"/>
  <c r="B28" i="4"/>
  <c r="F27" i="4"/>
  <c r="B27" i="4"/>
  <c r="F26" i="4"/>
  <c r="B26" i="4"/>
  <c r="F25" i="4"/>
  <c r="B25" i="4"/>
  <c r="F24" i="4"/>
  <c r="B24" i="4"/>
  <c r="F23" i="4"/>
  <c r="B23" i="4"/>
  <c r="F22" i="4"/>
  <c r="B22" i="4"/>
  <c r="F21" i="4"/>
  <c r="B21" i="4"/>
  <c r="F20" i="4"/>
  <c r="B20" i="4"/>
  <c r="F19" i="4"/>
  <c r="B19" i="4"/>
  <c r="F18" i="4"/>
  <c r="B18" i="4"/>
  <c r="F17" i="4"/>
  <c r="B17" i="4"/>
  <c r="F16" i="4"/>
  <c r="B16" i="4"/>
  <c r="F15" i="4"/>
  <c r="B15" i="4"/>
  <c r="F14" i="4"/>
  <c r="B14" i="4"/>
  <c r="F13" i="4"/>
  <c r="B13" i="4"/>
  <c r="F12" i="4"/>
  <c r="B12" i="4"/>
  <c r="F11" i="4"/>
  <c r="B11" i="4"/>
  <c r="F10" i="4"/>
  <c r="B10" i="4"/>
  <c r="F9" i="4"/>
  <c r="B9" i="4"/>
  <c r="F8" i="4"/>
  <c r="B8" i="4"/>
  <c r="F7" i="4"/>
  <c r="B7" i="4"/>
  <c r="F6" i="4"/>
  <c r="B6" i="4"/>
  <c r="F5" i="4"/>
  <c r="B5" i="4"/>
  <c r="F4" i="4"/>
  <c r="B4" i="4"/>
  <c r="F3" i="4"/>
  <c r="B3" i="4"/>
  <c r="F2" i="4"/>
  <c r="B2" i="4"/>
  <c r="I33" i="3"/>
  <c r="I5" i="12" s="1"/>
  <c r="H33" i="3"/>
  <c r="H5" i="12" s="1"/>
  <c r="G33" i="3"/>
  <c r="G5" i="12" s="1"/>
  <c r="E33" i="3"/>
  <c r="E5" i="12" s="1"/>
  <c r="D33" i="3"/>
  <c r="D5" i="12" s="1"/>
  <c r="C33" i="3"/>
  <c r="C5" i="12" s="1"/>
  <c r="F32" i="3"/>
  <c r="B32" i="3"/>
  <c r="F31" i="3"/>
  <c r="B31" i="3"/>
  <c r="F30" i="3"/>
  <c r="B30" i="3"/>
  <c r="F29" i="3"/>
  <c r="B29" i="3"/>
  <c r="F28" i="3"/>
  <c r="B28" i="3"/>
  <c r="F27" i="3"/>
  <c r="B27" i="3"/>
  <c r="F26" i="3"/>
  <c r="B26" i="3"/>
  <c r="F25" i="3"/>
  <c r="B25" i="3"/>
  <c r="F24" i="3"/>
  <c r="B24" i="3"/>
  <c r="F23" i="3"/>
  <c r="B23" i="3"/>
  <c r="F22" i="3"/>
  <c r="B22" i="3"/>
  <c r="F21" i="3"/>
  <c r="B21" i="3"/>
  <c r="F20" i="3"/>
  <c r="B20" i="3"/>
  <c r="F19" i="3"/>
  <c r="B19" i="3"/>
  <c r="F18" i="3"/>
  <c r="B18" i="3"/>
  <c r="F17" i="3"/>
  <c r="B17" i="3"/>
  <c r="F16" i="3"/>
  <c r="B16" i="3"/>
  <c r="F15" i="3"/>
  <c r="B15" i="3"/>
  <c r="F14" i="3"/>
  <c r="B14" i="3"/>
  <c r="F13" i="3"/>
  <c r="B13" i="3"/>
  <c r="F12" i="3"/>
  <c r="B12" i="3"/>
  <c r="F11" i="3"/>
  <c r="B11" i="3"/>
  <c r="F10" i="3"/>
  <c r="B10" i="3"/>
  <c r="F9" i="3"/>
  <c r="B9" i="3"/>
  <c r="F8" i="3"/>
  <c r="B8" i="3"/>
  <c r="F7" i="3"/>
  <c r="B7" i="3"/>
  <c r="F6" i="3"/>
  <c r="B6" i="3"/>
  <c r="F5" i="3"/>
  <c r="B5" i="3"/>
  <c r="F4" i="3"/>
  <c r="B4" i="3"/>
  <c r="F3" i="3"/>
  <c r="B3" i="3"/>
  <c r="F2" i="3"/>
  <c r="B2" i="3"/>
  <c r="G30" i="1"/>
  <c r="G3" i="12" s="1"/>
  <c r="H30" i="1"/>
  <c r="H3" i="12" s="1"/>
  <c r="I30" i="1"/>
  <c r="I3" i="12" s="1"/>
  <c r="C30" i="1"/>
  <c r="C3" i="12" s="1"/>
  <c r="D30" i="1"/>
  <c r="D3" i="12" s="1"/>
  <c r="E30" i="1"/>
  <c r="E3" i="12" s="1"/>
  <c r="G33" i="2"/>
  <c r="G4" i="12" s="1"/>
  <c r="H33" i="2"/>
  <c r="H4" i="12" s="1"/>
  <c r="I33" i="2"/>
  <c r="I4" i="12" s="1"/>
  <c r="C33" i="2"/>
  <c r="C4" i="12" s="1"/>
  <c r="D33" i="2"/>
  <c r="D4" i="12" s="1"/>
  <c r="E33" i="2"/>
  <c r="E4" i="12" s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2" i="2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2" i="1"/>
  <c r="B3" i="1"/>
  <c r="O3" i="1" s="1"/>
  <c r="B4" i="1"/>
  <c r="O4" i="1" s="1"/>
  <c r="B5" i="1"/>
  <c r="O5" i="1" s="1"/>
  <c r="B6" i="1"/>
  <c r="O6" i="1" s="1"/>
  <c r="B7" i="1"/>
  <c r="O7" i="1" s="1"/>
  <c r="B8" i="1"/>
  <c r="B9" i="1"/>
  <c r="B10" i="1"/>
  <c r="O10" i="1" s="1"/>
  <c r="B11" i="1"/>
  <c r="O11" i="1" s="1"/>
  <c r="B12" i="1"/>
  <c r="O12" i="1" s="1"/>
  <c r="B13" i="1"/>
  <c r="O13" i="1" s="1"/>
  <c r="B14" i="1"/>
  <c r="B15" i="1"/>
  <c r="B16" i="1"/>
  <c r="O16" i="1" s="1"/>
  <c r="B17" i="1"/>
  <c r="O17" i="1" s="1"/>
  <c r="B18" i="1"/>
  <c r="O18" i="1" s="1"/>
  <c r="B19" i="1"/>
  <c r="O19" i="1" s="1"/>
  <c r="B20" i="1"/>
  <c r="O20" i="1" s="1"/>
  <c r="B21" i="1"/>
  <c r="B22" i="1"/>
  <c r="O22" i="1" s="1"/>
  <c r="B23" i="1"/>
  <c r="O23" i="1" s="1"/>
  <c r="B24" i="1"/>
  <c r="O24" i="1" s="1"/>
  <c r="B25" i="1"/>
  <c r="B26" i="1"/>
  <c r="B27" i="1"/>
  <c r="O27" i="1" s="1"/>
  <c r="B28" i="1"/>
  <c r="O28" i="1" s="1"/>
  <c r="B29" i="1"/>
  <c r="B2" i="1"/>
  <c r="O9" i="1" l="1"/>
  <c r="L5" i="12"/>
  <c r="L6" i="12"/>
  <c r="L4" i="12"/>
  <c r="L3" i="12"/>
  <c r="K8" i="12"/>
  <c r="O23" i="3"/>
  <c r="O11" i="4"/>
  <c r="O33" i="6"/>
  <c r="O5" i="3"/>
  <c r="O7" i="3"/>
  <c r="O13" i="3"/>
  <c r="O15" i="3"/>
  <c r="O17" i="3"/>
  <c r="O19" i="3"/>
  <c r="O27" i="3"/>
  <c r="O21" i="3"/>
  <c r="O10" i="3"/>
  <c r="O18" i="3"/>
  <c r="O24" i="3"/>
  <c r="O28" i="3"/>
  <c r="O30" i="3"/>
  <c r="O6" i="4"/>
  <c r="O8" i="4"/>
  <c r="O10" i="4"/>
  <c r="O12" i="4"/>
  <c r="O14" i="4"/>
  <c r="O16" i="4"/>
  <c r="K9" i="12"/>
  <c r="O33" i="5"/>
  <c r="O2" i="3"/>
  <c r="O31" i="2"/>
  <c r="O32" i="2"/>
  <c r="O20" i="2"/>
  <c r="O12" i="2"/>
  <c r="F33" i="4"/>
  <c r="F6" i="12" s="1"/>
  <c r="O4" i="4"/>
  <c r="O33" i="8"/>
  <c r="O33" i="7"/>
  <c r="O4" i="3"/>
  <c r="O11" i="3"/>
  <c r="O29" i="3"/>
  <c r="O31" i="3"/>
  <c r="O5" i="4"/>
  <c r="O13" i="4"/>
  <c r="O33" i="9"/>
  <c r="O12" i="3"/>
  <c r="O20" i="3"/>
  <c r="O17" i="4"/>
  <c r="O21" i="4"/>
  <c r="O25" i="4"/>
  <c r="O27" i="4"/>
  <c r="O29" i="4"/>
  <c r="O31" i="4"/>
  <c r="O33" i="10"/>
  <c r="K10" i="12"/>
  <c r="O29" i="2"/>
  <c r="O27" i="2"/>
  <c r="O25" i="2"/>
  <c r="O24" i="2"/>
  <c r="O23" i="2"/>
  <c r="O21" i="2"/>
  <c r="O19" i="2"/>
  <c r="O16" i="2"/>
  <c r="I14" i="12"/>
  <c r="O2" i="1"/>
  <c r="O15" i="2"/>
  <c r="O11" i="2"/>
  <c r="B33" i="3"/>
  <c r="B5" i="12" s="1"/>
  <c r="O6" i="3"/>
  <c r="O8" i="3"/>
  <c r="O22" i="3"/>
  <c r="O15" i="4"/>
  <c r="K12" i="12"/>
  <c r="O26" i="3"/>
  <c r="O3" i="4"/>
  <c r="O19" i="4"/>
  <c r="O23" i="4"/>
  <c r="O30" i="2"/>
  <c r="O26" i="2"/>
  <c r="O22" i="2"/>
  <c r="O18" i="2"/>
  <c r="O14" i="2"/>
  <c r="O10" i="2"/>
  <c r="O6" i="2"/>
  <c r="O17" i="2"/>
  <c r="O13" i="2"/>
  <c r="O3" i="3"/>
  <c r="O9" i="3"/>
  <c r="O14" i="3"/>
  <c r="O16" i="3"/>
  <c r="O25" i="3"/>
  <c r="O32" i="3"/>
  <c r="B33" i="4"/>
  <c r="B6" i="12" s="1"/>
  <c r="O7" i="4"/>
  <c r="O9" i="4"/>
  <c r="O18" i="4"/>
  <c r="O20" i="4"/>
  <c r="O22" i="4"/>
  <c r="O24" i="4"/>
  <c r="O26" i="4"/>
  <c r="O28" i="4"/>
  <c r="O30" i="4"/>
  <c r="O32" i="4"/>
  <c r="K7" i="12"/>
  <c r="O33" i="11"/>
  <c r="O33" i="13"/>
  <c r="K11" i="12"/>
  <c r="O9" i="2"/>
  <c r="O8" i="2"/>
  <c r="O5" i="2"/>
  <c r="O4" i="2"/>
  <c r="H14" i="12"/>
  <c r="G14" i="12"/>
  <c r="D14" i="12"/>
  <c r="E14" i="12"/>
  <c r="O7" i="2"/>
  <c r="O3" i="2"/>
  <c r="C14" i="12"/>
  <c r="O8" i="1"/>
  <c r="O29" i="1"/>
  <c r="K2" i="12"/>
  <c r="K13" i="12"/>
  <c r="O2" i="2"/>
  <c r="O28" i="2"/>
  <c r="O25" i="1"/>
  <c r="O21" i="1"/>
  <c r="O15" i="1"/>
  <c r="O14" i="1"/>
  <c r="F30" i="1"/>
  <c r="F3" i="12" s="1"/>
  <c r="O2" i="4"/>
  <c r="F33" i="3"/>
  <c r="F5" i="12" s="1"/>
  <c r="F33" i="2"/>
  <c r="F4" i="12" s="1"/>
  <c r="B33" i="2"/>
  <c r="B4" i="12" s="1"/>
  <c r="O26" i="1"/>
  <c r="B30" i="1"/>
  <c r="B3" i="12" s="1"/>
  <c r="K6" i="12" l="1"/>
  <c r="O33" i="4"/>
  <c r="O33" i="3"/>
  <c r="L14" i="12"/>
  <c r="K5" i="12"/>
  <c r="K4" i="12"/>
  <c r="F14" i="12"/>
  <c r="O33" i="2"/>
  <c r="K3" i="12"/>
  <c r="B14" i="12"/>
  <c r="O30" i="1"/>
  <c r="K14" i="12" l="1"/>
  <c r="B3" i="15" l="1"/>
  <c r="O3" i="15" l="1"/>
  <c r="F5" i="15" l="1"/>
  <c r="B4" i="15"/>
  <c r="F4" i="15"/>
  <c r="B5" i="15"/>
  <c r="O5" i="15" l="1"/>
  <c r="F6" i="15"/>
  <c r="B6" i="15"/>
  <c r="O4" i="15"/>
  <c r="O6" i="15" l="1"/>
  <c r="B7" i="15"/>
  <c r="F7" i="15"/>
  <c r="B9" i="15" l="1"/>
  <c r="F9" i="15"/>
  <c r="O7" i="15"/>
  <c r="O9" i="15" l="1"/>
  <c r="B10" i="15"/>
  <c r="F10" i="15"/>
  <c r="B11" i="15" l="1"/>
  <c r="F11" i="15"/>
  <c r="O10" i="15"/>
  <c r="O11" i="15" l="1"/>
  <c r="B12" i="15"/>
  <c r="F12" i="15"/>
  <c r="O12" i="15" l="1"/>
  <c r="F13" i="15"/>
  <c r="B13" i="15"/>
  <c r="F14" i="15" l="1"/>
  <c r="B14" i="15"/>
  <c r="O13" i="15"/>
  <c r="O14" i="15" l="1"/>
  <c r="B16" i="15"/>
  <c r="F16" i="15"/>
  <c r="O16" i="15" l="1"/>
  <c r="F17" i="15"/>
  <c r="B17" i="15"/>
  <c r="B18" i="15" l="1"/>
  <c r="F18" i="15"/>
  <c r="O17" i="15"/>
  <c r="O18" i="15" l="1"/>
  <c r="F19" i="15" l="1"/>
  <c r="B19" i="15"/>
  <c r="G9" i="35"/>
  <c r="K8" i="36"/>
  <c r="G9" i="32"/>
  <c r="C30" i="37"/>
  <c r="E8" i="39"/>
  <c r="D29" i="33"/>
  <c r="L30" i="41"/>
  <c r="I16" i="36"/>
  <c r="E26" i="36"/>
  <c r="C5" i="41"/>
  <c r="K26" i="32"/>
  <c r="E29" i="40"/>
  <c r="E8" i="38"/>
  <c r="D4" i="39"/>
  <c r="C25" i="37"/>
  <c r="D11" i="41"/>
  <c r="C18" i="37"/>
  <c r="D8" i="42"/>
  <c r="I24" i="36"/>
  <c r="G15" i="39"/>
  <c r="J30" i="41"/>
  <c r="E2" i="40"/>
  <c r="C30" i="38"/>
  <c r="M4" i="36"/>
  <c r="J3" i="40"/>
  <c r="H23" i="32"/>
  <c r="C32" i="37"/>
  <c r="L3" i="40"/>
  <c r="M19" i="41"/>
  <c r="D11" i="37"/>
  <c r="I6" i="34"/>
  <c r="G21" i="42"/>
  <c r="I2" i="40"/>
  <c r="K25" i="39"/>
  <c r="K3" i="39"/>
  <c r="L23" i="33"/>
  <c r="J10" i="32"/>
  <c r="D6" i="33"/>
  <c r="L23" i="38"/>
  <c r="G32" i="42"/>
  <c r="J18" i="38"/>
  <c r="D21" i="39"/>
  <c r="D14" i="41"/>
  <c r="D21" i="40"/>
  <c r="I12" i="39"/>
  <c r="L28" i="36"/>
  <c r="C31" i="40"/>
  <c r="E26" i="32"/>
  <c r="G14" i="38"/>
  <c r="K28" i="36"/>
  <c r="J18" i="40"/>
  <c r="G27" i="35"/>
  <c r="C10" i="36"/>
  <c r="K5" i="34"/>
  <c r="C18" i="39"/>
  <c r="L6" i="42"/>
  <c r="H9" i="38"/>
  <c r="J17" i="41"/>
  <c r="K30" i="34"/>
  <c r="J26" i="42"/>
  <c r="I22" i="41"/>
  <c r="E4" i="34"/>
  <c r="D25" i="32"/>
  <c r="H14" i="35"/>
  <c r="E13" i="39"/>
  <c r="E4" i="38"/>
  <c r="C16" i="42"/>
  <c r="M21" i="42"/>
  <c r="L9" i="35"/>
  <c r="H2" i="38"/>
  <c r="D11" i="38"/>
  <c r="H25" i="39"/>
  <c r="J19" i="31"/>
  <c r="J26" i="39"/>
  <c r="C23" i="34"/>
  <c r="J4" i="36"/>
  <c r="J5" i="37"/>
  <c r="J23" i="42"/>
  <c r="L20" i="35"/>
  <c r="G19" i="42"/>
  <c r="G8" i="40"/>
  <c r="E7" i="41"/>
  <c r="E27" i="33"/>
  <c r="J26" i="33"/>
  <c r="H6" i="39"/>
  <c r="H3" i="35"/>
  <c r="H16" i="40"/>
  <c r="M11" i="33"/>
  <c r="J4" i="40"/>
  <c r="D30" i="34"/>
  <c r="I29" i="39"/>
  <c r="J21" i="34"/>
  <c r="M17" i="35"/>
  <c r="M4" i="34"/>
  <c r="D10" i="34"/>
  <c r="M11" i="39"/>
  <c r="K4" i="41"/>
  <c r="I27" i="32"/>
  <c r="E27" i="34"/>
  <c r="C22" i="38"/>
  <c r="K31" i="36"/>
  <c r="E15" i="39"/>
  <c r="D19" i="38"/>
  <c r="M6" i="41"/>
  <c r="D11" i="34"/>
  <c r="M6" i="40"/>
  <c r="C13" i="36"/>
  <c r="K10" i="41"/>
  <c r="M23" i="37"/>
  <c r="M9" i="31"/>
  <c r="M15" i="34"/>
  <c r="C18" i="36"/>
  <c r="C32" i="35"/>
  <c r="D28" i="39"/>
  <c r="D17" i="38"/>
  <c r="M15" i="36"/>
  <c r="K32" i="40"/>
  <c r="L20" i="37"/>
  <c r="J19" i="42"/>
  <c r="M30" i="42"/>
  <c r="L2" i="40"/>
  <c r="M29" i="38"/>
  <c r="D13" i="33"/>
  <c r="E20" i="35"/>
  <c r="D9" i="32"/>
  <c r="C6" i="42"/>
  <c r="D10" i="37"/>
  <c r="D25" i="41"/>
  <c r="M26" i="36"/>
  <c r="I20" i="38"/>
  <c r="H17" i="35"/>
  <c r="D13" i="40"/>
  <c r="C25" i="31"/>
  <c r="E5" i="33"/>
  <c r="C19" i="36"/>
  <c r="J11" i="33"/>
  <c r="C12" i="33"/>
  <c r="H5" i="40"/>
  <c r="J12" i="37"/>
  <c r="H23" i="41"/>
  <c r="C19" i="31"/>
  <c r="H17" i="33"/>
  <c r="H8" i="32"/>
  <c r="I15" i="35"/>
  <c r="L19" i="34"/>
  <c r="G21" i="31"/>
  <c r="L26" i="31"/>
  <c r="C11" i="35"/>
  <c r="G23" i="31"/>
  <c r="M5" i="34"/>
  <c r="M2" i="40"/>
  <c r="M8" i="40"/>
  <c r="H6" i="31"/>
  <c r="J12" i="31"/>
  <c r="H5" i="31"/>
  <c r="D10" i="42"/>
  <c r="I10" i="38"/>
  <c r="L12" i="38"/>
  <c r="D3" i="31"/>
  <c r="M20" i="36"/>
  <c r="L18" i="32"/>
  <c r="H13" i="32"/>
  <c r="H14" i="40"/>
  <c r="L7" i="33"/>
  <c r="C21" i="32"/>
  <c r="H9" i="41"/>
  <c r="H18" i="37"/>
  <c r="H26" i="34"/>
  <c r="G14" i="37"/>
  <c r="E9" i="38"/>
  <c r="J20" i="40"/>
  <c r="I5" i="39"/>
  <c r="I12" i="42"/>
  <c r="H15" i="41"/>
  <c r="G23" i="32"/>
  <c r="H19" i="36"/>
  <c r="C6" i="40"/>
  <c r="H9" i="34"/>
  <c r="L21" i="32"/>
  <c r="G21" i="33"/>
  <c r="E31" i="36"/>
  <c r="E2" i="38"/>
  <c r="D23" i="40"/>
  <c r="J9" i="37"/>
  <c r="M27" i="42"/>
  <c r="G21" i="41"/>
  <c r="D24" i="31"/>
  <c r="M18" i="39"/>
  <c r="I20" i="37"/>
  <c r="E29" i="32"/>
  <c r="L24" i="38"/>
  <c r="M28" i="37"/>
  <c r="H7" i="41"/>
  <c r="D14" i="38"/>
  <c r="C22" i="35"/>
  <c r="M12" i="40"/>
  <c r="H12" i="41"/>
  <c r="J23" i="39"/>
  <c r="L16" i="36"/>
  <c r="L26" i="41"/>
  <c r="C16" i="32"/>
  <c r="L21" i="38"/>
  <c r="D24" i="37"/>
  <c r="G25" i="40"/>
  <c r="H27" i="40"/>
  <c r="C18" i="31"/>
  <c r="E22" i="42"/>
  <c r="M5" i="35"/>
  <c r="K29" i="39"/>
  <c r="L6" i="40"/>
  <c r="G12" i="39"/>
  <c r="L3" i="34"/>
  <c r="E14" i="39"/>
  <c r="H6" i="35"/>
  <c r="C14" i="34"/>
  <c r="L12" i="40"/>
  <c r="M18" i="34"/>
  <c r="K31" i="41"/>
  <c r="H26" i="32"/>
  <c r="K26" i="36"/>
  <c r="J25" i="35"/>
  <c r="J11" i="39"/>
  <c r="K30" i="40"/>
  <c r="G22" i="34"/>
  <c r="M27" i="37"/>
  <c r="J6" i="37"/>
  <c r="L29" i="39"/>
  <c r="G14" i="42"/>
  <c r="L21" i="37"/>
  <c r="J29" i="32"/>
  <c r="H27" i="37"/>
  <c r="G8" i="38"/>
  <c r="E21" i="31"/>
  <c r="G21" i="36"/>
  <c r="I27" i="37"/>
  <c r="D2" i="32"/>
  <c r="C28" i="37"/>
  <c r="D28" i="31"/>
  <c r="H13" i="37"/>
  <c r="H30" i="35"/>
  <c r="H4" i="34"/>
  <c r="C13" i="35"/>
  <c r="K27" i="33"/>
  <c r="E22" i="35"/>
  <c r="L13" i="42"/>
  <c r="K32" i="38"/>
  <c r="M9" i="32"/>
  <c r="C21" i="34"/>
  <c r="C9" i="38"/>
  <c r="K31" i="34"/>
  <c r="E21" i="32"/>
  <c r="J29" i="40"/>
  <c r="L16" i="35"/>
  <c r="L25" i="37"/>
  <c r="K30" i="41"/>
  <c r="E27" i="36"/>
  <c r="G23" i="38"/>
  <c r="I19" i="31"/>
  <c r="E20" i="34"/>
  <c r="C19" i="42"/>
  <c r="M10" i="40"/>
  <c r="L3" i="32"/>
  <c r="L29" i="38"/>
  <c r="G16" i="39"/>
  <c r="J2" i="34"/>
  <c r="C25" i="32"/>
  <c r="G16" i="41"/>
  <c r="H26" i="33"/>
  <c r="G17" i="35"/>
  <c r="E21" i="42"/>
  <c r="L25" i="38"/>
  <c r="L13" i="39"/>
  <c r="M14" i="34"/>
  <c r="H30" i="34"/>
  <c r="K7" i="33"/>
  <c r="K29" i="40"/>
  <c r="K10" i="40"/>
  <c r="D20" i="39"/>
  <c r="C7" i="31"/>
  <c r="L14" i="38"/>
  <c r="L17" i="36"/>
  <c r="G13" i="38"/>
  <c r="K25" i="35"/>
  <c r="H4" i="36"/>
  <c r="K9" i="40"/>
  <c r="M22" i="37"/>
  <c r="L16" i="40"/>
  <c r="G9" i="33"/>
  <c r="K19" i="32"/>
  <c r="D28" i="42"/>
  <c r="I28" i="32"/>
  <c r="C14" i="38"/>
  <c r="C9" i="35"/>
  <c r="G6" i="32"/>
  <c r="K15" i="36"/>
  <c r="K22" i="41"/>
  <c r="I10" i="36"/>
  <c r="D10" i="31"/>
  <c r="K28" i="33"/>
  <c r="M11" i="31"/>
  <c r="E19" i="39"/>
  <c r="C12" i="40"/>
  <c r="J16" i="34"/>
  <c r="D27" i="41"/>
  <c r="G16" i="34"/>
  <c r="I23" i="33"/>
  <c r="K20" i="33"/>
  <c r="H25" i="34"/>
  <c r="M6" i="36"/>
  <c r="K24" i="32"/>
  <c r="I30" i="33"/>
  <c r="E12" i="42"/>
  <c r="I32" i="40"/>
  <c r="G21" i="40"/>
  <c r="G14" i="40"/>
  <c r="H21" i="41"/>
  <c r="L10" i="41"/>
  <c r="G15" i="34"/>
  <c r="J28" i="38"/>
  <c r="K2" i="35"/>
  <c r="M14" i="41"/>
  <c r="L18" i="36"/>
  <c r="H28" i="37"/>
  <c r="C5" i="36"/>
  <c r="L4" i="40"/>
  <c r="I31" i="33"/>
  <c r="C20" i="31"/>
  <c r="D9" i="37"/>
  <c r="J10" i="42"/>
  <c r="D16" i="39"/>
  <c r="I30" i="40"/>
  <c r="E21" i="41"/>
  <c r="E20" i="42"/>
  <c r="M9" i="36"/>
  <c r="J22" i="42"/>
  <c r="I9" i="39"/>
  <c r="K4" i="32"/>
  <c r="K23" i="41"/>
  <c r="C24" i="31"/>
  <c r="M21" i="37"/>
  <c r="E5" i="36"/>
  <c r="M14" i="38"/>
  <c r="L5" i="41"/>
  <c r="J2" i="41"/>
  <c r="D3" i="37"/>
  <c r="J5" i="42"/>
  <c r="K12" i="41"/>
  <c r="H11" i="34"/>
  <c r="K18" i="40"/>
  <c r="D7" i="39"/>
  <c r="I6" i="36"/>
  <c r="M4" i="41"/>
  <c r="H29" i="32"/>
  <c r="D7" i="35"/>
  <c r="L22" i="39"/>
  <c r="I7" i="41"/>
  <c r="C3" i="32"/>
  <c r="I26" i="36"/>
  <c r="C6" i="39"/>
  <c r="H8" i="40"/>
  <c r="C14" i="41"/>
  <c r="D12" i="32"/>
  <c r="M13" i="40"/>
  <c r="L7" i="41"/>
  <c r="K28" i="40"/>
  <c r="M9" i="41"/>
  <c r="I23" i="32"/>
  <c r="L11" i="36"/>
  <c r="C10" i="37"/>
  <c r="H27" i="35"/>
  <c r="J16" i="42"/>
  <c r="L26" i="39"/>
  <c r="G30" i="41"/>
  <c r="L17" i="39"/>
  <c r="D17" i="34"/>
  <c r="K14" i="36"/>
  <c r="C26" i="34"/>
  <c r="H11" i="41"/>
  <c r="E18" i="41"/>
  <c r="H3" i="41"/>
  <c r="I9" i="35"/>
  <c r="L23" i="32"/>
  <c r="E22" i="32"/>
  <c r="J24" i="39"/>
  <c r="M10" i="41"/>
  <c r="E11" i="35"/>
  <c r="E30" i="39"/>
  <c r="J10" i="39"/>
  <c r="D15" i="35"/>
  <c r="H10" i="39"/>
  <c r="G4" i="41"/>
  <c r="I6" i="32"/>
  <c r="H20" i="39"/>
  <c r="E16" i="31"/>
  <c r="M13" i="31"/>
  <c r="C28" i="42"/>
  <c r="K21" i="33"/>
  <c r="G22" i="32"/>
  <c r="D5" i="42"/>
  <c r="C19" i="38"/>
  <c r="H12" i="36"/>
  <c r="J9" i="31"/>
  <c r="H28" i="42"/>
  <c r="G11" i="39"/>
  <c r="I9" i="36"/>
  <c r="I15" i="42"/>
  <c r="E13" i="41"/>
  <c r="M18" i="40"/>
  <c r="I20" i="40"/>
  <c r="K13" i="32"/>
  <c r="I22" i="34"/>
  <c r="L17" i="34"/>
  <c r="L23" i="36"/>
  <c r="I21" i="42"/>
  <c r="I17" i="42"/>
  <c r="E31" i="39"/>
  <c r="L5" i="37"/>
  <c r="H3" i="38"/>
  <c r="L15" i="40"/>
  <c r="J4" i="31"/>
  <c r="H21" i="37"/>
  <c r="I17" i="40"/>
  <c r="K11" i="33"/>
  <c r="H10" i="36"/>
  <c r="L14" i="42"/>
  <c r="M30" i="37"/>
  <c r="J25" i="42"/>
  <c r="E10" i="41"/>
  <c r="K24" i="38"/>
  <c r="L27" i="41"/>
  <c r="M26" i="40"/>
  <c r="G17" i="40"/>
  <c r="G25" i="38"/>
  <c r="K26" i="33"/>
  <c r="C12" i="36"/>
  <c r="J27" i="41"/>
  <c r="E3" i="39"/>
  <c r="E11" i="32"/>
  <c r="C22" i="42"/>
  <c r="I19" i="38"/>
  <c r="C15" i="40"/>
  <c r="G5" i="40"/>
  <c r="D21" i="33"/>
  <c r="I18" i="35"/>
  <c r="I31" i="40"/>
  <c r="E5" i="34"/>
  <c r="H22" i="35"/>
  <c r="K6" i="32"/>
  <c r="C5" i="40"/>
  <c r="G14" i="35"/>
  <c r="D8" i="39"/>
  <c r="L25" i="35"/>
  <c r="J28" i="41"/>
  <c r="L16" i="38"/>
  <c r="L7" i="42"/>
  <c r="H14" i="38"/>
  <c r="K3" i="31"/>
  <c r="K7" i="31"/>
  <c r="H19" i="39"/>
  <c r="H32" i="35"/>
  <c r="H19" i="41"/>
  <c r="M9" i="39"/>
  <c r="M12" i="38"/>
  <c r="D30" i="37"/>
  <c r="J15" i="35"/>
  <c r="J19" i="35"/>
  <c r="E31" i="38"/>
  <c r="L6" i="41"/>
  <c r="L20" i="39"/>
  <c r="E18" i="42"/>
  <c r="K10" i="36"/>
  <c r="D18" i="40"/>
  <c r="D23" i="39"/>
  <c r="J27" i="40"/>
  <c r="M16" i="35"/>
  <c r="M5" i="37"/>
  <c r="C30" i="33"/>
  <c r="K13" i="33"/>
  <c r="J8" i="37"/>
  <c r="E29" i="37"/>
  <c r="E2" i="36"/>
  <c r="G27" i="40"/>
  <c r="K15" i="41"/>
  <c r="H4" i="38"/>
  <c r="E28" i="39"/>
  <c r="D9" i="42"/>
  <c r="D13" i="32"/>
  <c r="K25" i="40"/>
  <c r="J15" i="39"/>
  <c r="J16" i="37"/>
  <c r="M20" i="37"/>
  <c r="D30" i="35"/>
  <c r="C29" i="35"/>
  <c r="K28" i="39"/>
  <c r="I29" i="34"/>
  <c r="H24" i="40"/>
  <c r="I25" i="39"/>
  <c r="K13" i="37"/>
  <c r="C31" i="33"/>
  <c r="M27" i="35"/>
  <c r="H2" i="42"/>
  <c r="E25" i="40"/>
  <c r="G7" i="31"/>
  <c r="C30" i="34"/>
  <c r="L4" i="35"/>
  <c r="K9" i="33"/>
  <c r="C13" i="38"/>
  <c r="H6" i="37"/>
  <c r="K9" i="39"/>
  <c r="C6" i="38"/>
  <c r="K2" i="41"/>
  <c r="L17" i="32"/>
  <c r="D21" i="34"/>
  <c r="K29" i="31"/>
  <c r="M26" i="35"/>
  <c r="H26" i="40"/>
  <c r="G31" i="42"/>
  <c r="K8" i="31"/>
  <c r="E26" i="37"/>
  <c r="J22" i="31"/>
  <c r="E12" i="35"/>
  <c r="M9" i="33"/>
  <c r="H14" i="36"/>
  <c r="K24" i="42"/>
  <c r="J6" i="41"/>
  <c r="C10" i="31"/>
  <c r="M17" i="42"/>
  <c r="C6" i="36"/>
  <c r="D9" i="31"/>
  <c r="C29" i="33"/>
  <c r="M3" i="33"/>
  <c r="K9" i="37"/>
  <c r="K17" i="40"/>
  <c r="C23" i="33"/>
  <c r="I15" i="41"/>
  <c r="E2" i="41"/>
  <c r="M8" i="38"/>
  <c r="D32" i="37"/>
  <c r="H5" i="37"/>
  <c r="L22" i="42"/>
  <c r="G6" i="31"/>
  <c r="H17" i="39"/>
  <c r="H29" i="41"/>
  <c r="C4" i="42"/>
  <c r="D26" i="41"/>
  <c r="C17" i="33"/>
  <c r="H2" i="39"/>
  <c r="I25" i="42"/>
  <c r="K16" i="39"/>
  <c r="K27" i="39"/>
  <c r="H5" i="41"/>
  <c r="L12" i="42"/>
  <c r="I18" i="31"/>
  <c r="K21" i="36"/>
  <c r="C25" i="41"/>
  <c r="E24" i="42"/>
  <c r="H10" i="42"/>
  <c r="K20" i="39"/>
  <c r="C12" i="31"/>
  <c r="I14" i="32"/>
  <c r="J20" i="41"/>
  <c r="G24" i="41"/>
  <c r="D23" i="32"/>
  <c r="I5" i="33"/>
  <c r="H24" i="39"/>
  <c r="E17" i="42"/>
  <c r="D22" i="42"/>
  <c r="D19" i="36"/>
  <c r="D31" i="42"/>
  <c r="J23" i="40"/>
  <c r="J16" i="33"/>
  <c r="C31" i="42"/>
  <c r="E7" i="36"/>
  <c r="G19" i="36"/>
  <c r="K21" i="37"/>
  <c r="E28" i="33"/>
  <c r="C3" i="42"/>
  <c r="G16" i="40"/>
  <c r="L29" i="40"/>
  <c r="K3" i="35"/>
  <c r="L31" i="33"/>
  <c r="K10" i="39"/>
  <c r="M8" i="42"/>
  <c r="M30" i="40"/>
  <c r="M2" i="42"/>
  <c r="E10" i="33"/>
  <c r="K12" i="40"/>
  <c r="C2" i="36"/>
  <c r="G20" i="35"/>
  <c r="L30" i="35"/>
  <c r="M7" i="33"/>
  <c r="J2" i="40"/>
  <c r="C27" i="33"/>
  <c r="L7" i="39"/>
  <c r="L16" i="33"/>
  <c r="K25" i="37"/>
  <c r="H30" i="39"/>
  <c r="J21" i="38"/>
  <c r="L8" i="33"/>
  <c r="J9" i="42"/>
  <c r="H10" i="37"/>
  <c r="K2" i="31"/>
  <c r="K22" i="32"/>
  <c r="J7" i="31"/>
  <c r="H11" i="31"/>
  <c r="L3" i="38"/>
  <c r="J8" i="41"/>
  <c r="C14" i="39"/>
  <c r="J6" i="36"/>
  <c r="C4" i="34"/>
  <c r="H23" i="34"/>
  <c r="E29" i="35"/>
  <c r="H19" i="38"/>
  <c r="L30" i="40"/>
  <c r="D31" i="41"/>
  <c r="K3" i="33"/>
  <c r="E19" i="36"/>
  <c r="D7" i="40"/>
  <c r="C28" i="32"/>
  <c r="D22" i="41"/>
  <c r="J13" i="40"/>
  <c r="H11" i="42"/>
  <c r="D3" i="36"/>
  <c r="H9" i="40"/>
  <c r="H32" i="40"/>
  <c r="L5" i="31"/>
  <c r="C15" i="34"/>
  <c r="D11" i="32"/>
  <c r="C16" i="39"/>
  <c r="G23" i="35"/>
  <c r="I4" i="37"/>
  <c r="D13" i="42"/>
  <c r="K6" i="42"/>
  <c r="M31" i="38"/>
  <c r="L24" i="40"/>
  <c r="I4" i="34"/>
  <c r="L20" i="33"/>
  <c r="L19" i="40"/>
  <c r="G5" i="32"/>
  <c r="M28" i="41"/>
  <c r="G21" i="38"/>
  <c r="J19" i="40"/>
  <c r="J21" i="36"/>
  <c r="J26" i="32"/>
  <c r="H25" i="42"/>
  <c r="D18" i="42"/>
  <c r="M25" i="33"/>
  <c r="H14" i="39"/>
  <c r="K2" i="36"/>
  <c r="E9" i="42"/>
  <c r="G22" i="35"/>
  <c r="I3" i="32"/>
  <c r="E25" i="33"/>
  <c r="I12" i="34"/>
  <c r="G10" i="40"/>
  <c r="L20" i="41"/>
  <c r="H29" i="33"/>
  <c r="M17" i="38"/>
  <c r="E7" i="37"/>
  <c r="C6" i="33"/>
  <c r="K31" i="39"/>
  <c r="K13" i="31"/>
  <c r="K24" i="34"/>
  <c r="D3" i="38"/>
  <c r="E21" i="39"/>
  <c r="H8" i="42"/>
  <c r="E3" i="31"/>
  <c r="H16" i="32"/>
  <c r="G12" i="35"/>
  <c r="H20" i="37"/>
  <c r="M21" i="33"/>
  <c r="I10" i="32"/>
  <c r="E23" i="39"/>
  <c r="G2" i="39"/>
  <c r="M13" i="35"/>
  <c r="I25" i="36"/>
  <c r="L7" i="38"/>
  <c r="I6" i="38"/>
  <c r="L7" i="37"/>
  <c r="J17" i="36"/>
  <c r="J19" i="34"/>
  <c r="J18" i="32"/>
  <c r="J20" i="36"/>
  <c r="D6" i="37"/>
  <c r="K16" i="32"/>
  <c r="J11" i="41"/>
  <c r="I8" i="39"/>
  <c r="G29" i="33"/>
  <c r="C12" i="32"/>
  <c r="L8" i="34"/>
  <c r="I16" i="39"/>
  <c r="D32" i="40"/>
  <c r="K11" i="38"/>
  <c r="D19" i="37"/>
  <c r="E30" i="35"/>
  <c r="C3" i="41"/>
  <c r="K18" i="37"/>
  <c r="G28" i="31"/>
  <c r="D28" i="41"/>
  <c r="M21" i="34"/>
  <c r="L11" i="42"/>
  <c r="J8" i="40"/>
  <c r="I21" i="40"/>
  <c r="H20" i="38"/>
  <c r="J14" i="41"/>
  <c r="K8" i="42"/>
  <c r="H26" i="36"/>
  <c r="I22" i="32"/>
  <c r="C3" i="38"/>
  <c r="E8" i="34"/>
  <c r="D30" i="31"/>
  <c r="M32" i="38"/>
  <c r="L30" i="38"/>
  <c r="H2" i="31"/>
  <c r="C8" i="37"/>
  <c r="D19" i="39"/>
  <c r="L21" i="34"/>
  <c r="C23" i="41"/>
  <c r="D9" i="39"/>
  <c r="G25" i="35"/>
  <c r="E27" i="42"/>
  <c r="C22" i="36"/>
  <c r="J24" i="38"/>
  <c r="D27" i="34"/>
  <c r="K29" i="32"/>
  <c r="J27" i="33"/>
  <c r="D25" i="42"/>
  <c r="J29" i="35"/>
  <c r="H9" i="36"/>
  <c r="E3" i="35"/>
  <c r="L10" i="37"/>
  <c r="L24" i="31"/>
  <c r="G18" i="42"/>
  <c r="H31" i="40"/>
  <c r="H2" i="34"/>
  <c r="C28" i="35"/>
  <c r="C8" i="38"/>
  <c r="E19" i="34"/>
  <c r="D18" i="32"/>
  <c r="D24" i="34"/>
  <c r="D9" i="34"/>
  <c r="G14" i="39"/>
  <c r="H30" i="33"/>
  <c r="E3" i="34"/>
  <c r="C16" i="37"/>
  <c r="K14" i="33"/>
  <c r="J22" i="39"/>
  <c r="M26" i="32"/>
  <c r="H20" i="33"/>
  <c r="D2" i="35"/>
  <c r="E31" i="42"/>
  <c r="G16" i="33"/>
  <c r="H20" i="40"/>
  <c r="G18" i="39"/>
  <c r="E8" i="32"/>
  <c r="I28" i="41"/>
  <c r="K4" i="35"/>
  <c r="L5" i="39"/>
  <c r="J30" i="35"/>
  <c r="I10" i="42"/>
  <c r="D2" i="39"/>
  <c r="M20" i="41"/>
  <c r="I4" i="39"/>
  <c r="I3" i="36"/>
  <c r="J12" i="35"/>
  <c r="I15" i="31"/>
  <c r="J18" i="42"/>
  <c r="I13" i="34"/>
  <c r="G30" i="37"/>
  <c r="E2" i="42"/>
  <c r="H12" i="31"/>
  <c r="J27" i="32"/>
  <c r="K10" i="38"/>
  <c r="J14" i="37"/>
  <c r="K17" i="36"/>
  <c r="K11" i="40"/>
  <c r="K8" i="39"/>
  <c r="C24" i="40"/>
  <c r="D26" i="33"/>
  <c r="I27" i="34"/>
  <c r="K23" i="42"/>
  <c r="K6" i="34"/>
  <c r="K21" i="32"/>
  <c r="E12" i="40"/>
  <c r="I29" i="40"/>
  <c r="L27" i="42"/>
  <c r="J7" i="32"/>
  <c r="I2" i="32"/>
  <c r="G13" i="31"/>
  <c r="G24" i="38"/>
  <c r="E23" i="41"/>
  <c r="M12" i="37"/>
  <c r="H23" i="31"/>
  <c r="G13" i="40"/>
  <c r="M15" i="33"/>
  <c r="M25" i="37"/>
  <c r="H15" i="34"/>
  <c r="E2" i="33"/>
  <c r="H13" i="36"/>
  <c r="C15" i="35"/>
  <c r="I11" i="38"/>
  <c r="K18" i="39"/>
  <c r="L16" i="39"/>
  <c r="C19" i="32"/>
  <c r="J29" i="37"/>
  <c r="M4" i="38"/>
  <c r="C4" i="40"/>
  <c r="M27" i="41"/>
  <c r="E23" i="40"/>
  <c r="C23" i="38"/>
  <c r="D3" i="34"/>
  <c r="M5" i="36"/>
  <c r="J32" i="38"/>
  <c r="D20" i="38"/>
  <c r="J10" i="40"/>
  <c r="C2" i="34"/>
  <c r="G19" i="32"/>
  <c r="C20" i="35"/>
  <c r="G24" i="34"/>
  <c r="M10" i="42"/>
  <c r="I2" i="34"/>
  <c r="C31" i="35"/>
  <c r="E6" i="36"/>
  <c r="J8" i="36"/>
  <c r="G30" i="40"/>
  <c r="D3" i="42"/>
  <c r="D15" i="31"/>
  <c r="H18" i="31"/>
  <c r="K19" i="39"/>
  <c r="M5" i="31"/>
  <c r="L21" i="31"/>
  <c r="C19" i="39"/>
  <c r="M13" i="42"/>
  <c r="I10" i="41"/>
  <c r="G28" i="41"/>
  <c r="G10" i="31"/>
  <c r="G13" i="32"/>
  <c r="E24" i="33"/>
  <c r="G2" i="38"/>
  <c r="G9" i="41"/>
  <c r="D23" i="42"/>
  <c r="M4" i="31"/>
  <c r="I14" i="37"/>
  <c r="M10" i="34"/>
  <c r="E25" i="39"/>
  <c r="M21" i="40"/>
  <c r="J13" i="36"/>
  <c r="K25" i="31"/>
  <c r="C11" i="33"/>
  <c r="K11" i="35"/>
  <c r="E12" i="39"/>
  <c r="G11" i="34"/>
  <c r="J7" i="36"/>
  <c r="J4" i="37"/>
  <c r="H13" i="40"/>
  <c r="G11" i="37"/>
  <c r="L25" i="32"/>
  <c r="G10" i="42"/>
  <c r="L25" i="34"/>
  <c r="D25" i="37"/>
  <c r="L8" i="40"/>
  <c r="I28" i="34"/>
  <c r="H27" i="36"/>
  <c r="J10" i="33"/>
  <c r="G6" i="38"/>
  <c r="H29" i="42"/>
  <c r="D26" i="39"/>
  <c r="M23" i="40"/>
  <c r="L11" i="38"/>
  <c r="L4" i="41"/>
  <c r="I31" i="34"/>
  <c r="I29" i="42"/>
  <c r="J26" i="37"/>
  <c r="M13" i="41"/>
  <c r="J7" i="35"/>
  <c r="G22" i="40"/>
  <c r="H10" i="35"/>
  <c r="D4" i="36"/>
  <c r="K14" i="34"/>
  <c r="M12" i="31"/>
  <c r="C2" i="41"/>
  <c r="H29" i="35"/>
  <c r="K6" i="35"/>
  <c r="I15" i="39"/>
  <c r="K17" i="34"/>
  <c r="D20" i="34"/>
  <c r="H28" i="34"/>
  <c r="C10" i="42"/>
  <c r="M6" i="39"/>
  <c r="C7" i="42"/>
  <c r="L19" i="41"/>
  <c r="L15" i="41"/>
  <c r="H10" i="34"/>
  <c r="L21" i="39"/>
  <c r="L6" i="32"/>
  <c r="D5" i="41"/>
  <c r="H19" i="35"/>
  <c r="C5" i="38"/>
  <c r="K16" i="38"/>
  <c r="D6" i="34"/>
  <c r="L14" i="31"/>
  <c r="L10" i="42"/>
  <c r="M19" i="34"/>
  <c r="K18" i="38"/>
  <c r="I30" i="35"/>
  <c r="J31" i="36"/>
  <c r="L19" i="31"/>
  <c r="I17" i="36"/>
  <c r="H28" i="35"/>
  <c r="L9" i="42"/>
  <c r="C2" i="42"/>
  <c r="I29" i="36"/>
  <c r="C16" i="31"/>
  <c r="K26" i="39"/>
  <c r="H22" i="40"/>
  <c r="I25" i="38"/>
  <c r="D15" i="39"/>
  <c r="K21" i="41"/>
  <c r="L6" i="34"/>
  <c r="M2" i="39"/>
  <c r="C27" i="40"/>
  <c r="I10" i="37"/>
  <c r="M11" i="38"/>
  <c r="D21" i="42"/>
  <c r="K28" i="31"/>
  <c r="G25" i="36"/>
  <c r="C4" i="41"/>
  <c r="K21" i="31"/>
  <c r="G29" i="40"/>
  <c r="L31" i="31"/>
  <c r="C19" i="41"/>
  <c r="D14" i="42"/>
  <c r="I13" i="39"/>
  <c r="M16" i="37"/>
  <c r="M23" i="35"/>
  <c r="J11" i="37"/>
  <c r="L5" i="42"/>
  <c r="D27" i="36"/>
  <c r="J9" i="40"/>
  <c r="K13" i="39"/>
  <c r="L15" i="39"/>
  <c r="L32" i="40"/>
  <c r="C19" i="35"/>
  <c r="K16" i="41"/>
  <c r="L12" i="32"/>
  <c r="H31" i="41"/>
  <c r="D10" i="39"/>
  <c r="D12" i="37"/>
  <c r="G20" i="38"/>
  <c r="E7" i="34"/>
  <c r="I16" i="41"/>
  <c r="L7" i="40"/>
  <c r="G2" i="40"/>
  <c r="D8" i="37"/>
  <c r="H28" i="31"/>
  <c r="J11" i="40"/>
  <c r="J21" i="40"/>
  <c r="M31" i="40"/>
  <c r="J19" i="41"/>
  <c r="I20" i="36"/>
  <c r="K29" i="41"/>
  <c r="E17" i="39"/>
  <c r="J17" i="38"/>
  <c r="L18" i="41"/>
  <c r="M30" i="33"/>
  <c r="M20" i="32"/>
  <c r="M12" i="41"/>
  <c r="K22" i="40"/>
  <c r="K11" i="41"/>
  <c r="L10" i="31"/>
  <c r="L4" i="34"/>
  <c r="I8" i="40"/>
  <c r="L5" i="40"/>
  <c r="K30" i="38"/>
  <c r="G16" i="32"/>
  <c r="H29" i="34"/>
  <c r="I8" i="42"/>
  <c r="H5" i="38"/>
  <c r="G31" i="33"/>
  <c r="I28" i="33"/>
  <c r="C12" i="42"/>
  <c r="K10" i="42"/>
  <c r="L10" i="39"/>
  <c r="J20" i="33"/>
  <c r="E17" i="32"/>
  <c r="L8" i="35"/>
  <c r="E32" i="31"/>
  <c r="M13" i="33"/>
  <c r="D17" i="40"/>
  <c r="J2" i="42"/>
  <c r="L24" i="36"/>
  <c r="C13" i="37"/>
  <c r="G8" i="31"/>
  <c r="I27" i="42"/>
  <c r="G28" i="42"/>
  <c r="I21" i="33"/>
  <c r="L28" i="33"/>
  <c r="H5" i="42"/>
  <c r="G21" i="32"/>
  <c r="G19" i="39"/>
  <c r="K15" i="33"/>
  <c r="D4" i="37"/>
  <c r="J25" i="31"/>
  <c r="D11" i="33"/>
  <c r="C15" i="32"/>
  <c r="H7" i="42"/>
  <c r="J6" i="31"/>
  <c r="H30" i="38"/>
  <c r="K5" i="38"/>
  <c r="G21" i="37"/>
  <c r="K12" i="36"/>
  <c r="L10" i="40"/>
  <c r="G11" i="35"/>
  <c r="C21" i="39"/>
  <c r="E26" i="33"/>
  <c r="M25" i="42"/>
  <c r="J3" i="33"/>
  <c r="K31" i="38"/>
  <c r="C32" i="38"/>
  <c r="E19" i="42"/>
  <c r="M18" i="35"/>
  <c r="I12" i="41"/>
  <c r="D13" i="39"/>
  <c r="L27" i="37"/>
  <c r="K20" i="34"/>
  <c r="G27" i="31"/>
  <c r="E30" i="34"/>
  <c r="K25" i="33"/>
  <c r="M31" i="36"/>
  <c r="H11" i="33"/>
  <c r="E3" i="33"/>
  <c r="M12" i="34"/>
  <c r="D29" i="42"/>
  <c r="C3" i="34"/>
  <c r="D9" i="38"/>
  <c r="J8" i="31"/>
  <c r="J22" i="36"/>
  <c r="E14" i="42"/>
  <c r="I3" i="39"/>
  <c r="J23" i="35"/>
  <c r="M17" i="41"/>
  <c r="D22" i="38"/>
  <c r="J3" i="42"/>
  <c r="G3" i="34"/>
  <c r="J23" i="36"/>
  <c r="D21" i="36"/>
  <c r="I23" i="41"/>
  <c r="M12" i="35"/>
  <c r="K4" i="39"/>
  <c r="D4" i="41"/>
  <c r="M20" i="42"/>
  <c r="K20" i="31"/>
  <c r="M7" i="37"/>
  <c r="J5" i="32"/>
  <c r="H27" i="41"/>
  <c r="H7" i="31"/>
  <c r="M10" i="37"/>
  <c r="D26" i="34"/>
  <c r="G28" i="40"/>
  <c r="E25" i="42"/>
  <c r="I23" i="40"/>
  <c r="I15" i="33"/>
  <c r="K15" i="40"/>
  <c r="L2" i="31"/>
  <c r="G10" i="36"/>
  <c r="E26" i="34"/>
  <c r="J24" i="40"/>
  <c r="K6" i="40"/>
  <c r="G27" i="36"/>
  <c r="D18" i="31"/>
  <c r="K23" i="33"/>
  <c r="E27" i="38"/>
  <c r="L32" i="35"/>
  <c r="C14" i="42"/>
  <c r="L19" i="42"/>
  <c r="K8" i="34"/>
  <c r="L4" i="36"/>
  <c r="J7" i="38"/>
  <c r="I17" i="39"/>
  <c r="H23" i="36"/>
  <c r="K11" i="37"/>
  <c r="H21" i="42"/>
  <c r="D6" i="38"/>
  <c r="D15" i="41"/>
  <c r="L2" i="39"/>
  <c r="I6" i="33"/>
  <c r="H13" i="34"/>
  <c r="M23" i="39"/>
  <c r="K26" i="40"/>
  <c r="C22" i="33"/>
  <c r="L25" i="42"/>
  <c r="G18" i="38"/>
  <c r="M12" i="32"/>
  <c r="L22" i="36"/>
  <c r="G12" i="31"/>
  <c r="E15" i="42"/>
  <c r="K7" i="42"/>
  <c r="G20" i="34"/>
  <c r="G27" i="42"/>
  <c r="C8" i="33"/>
  <c r="J31" i="42"/>
  <c r="C11" i="42"/>
  <c r="J14" i="38"/>
  <c r="D14" i="37"/>
  <c r="D25" i="33"/>
  <c r="D17" i="39"/>
  <c r="L28" i="35"/>
  <c r="K12" i="34"/>
  <c r="C4" i="35"/>
  <c r="H30" i="40"/>
  <c r="L5" i="38"/>
  <c r="G26" i="40"/>
  <c r="D12" i="36"/>
  <c r="L27" i="33"/>
  <c r="K14" i="31"/>
  <c r="J27" i="42"/>
  <c r="I9" i="32"/>
  <c r="J17" i="35"/>
  <c r="G11" i="32"/>
  <c r="I22" i="33"/>
  <c r="C26" i="37"/>
  <c r="G23" i="42"/>
  <c r="C16" i="34"/>
  <c r="G7" i="39"/>
  <c r="I24" i="31"/>
  <c r="K19" i="42"/>
  <c r="J26" i="36"/>
  <c r="J2" i="36"/>
  <c r="M31" i="42"/>
  <c r="I27" i="33"/>
  <c r="K23" i="39"/>
  <c r="I18" i="41"/>
  <c r="L25" i="33"/>
  <c r="H14" i="33"/>
  <c r="K17" i="42"/>
  <c r="M18" i="42"/>
  <c r="M10" i="38"/>
  <c r="C15" i="39"/>
  <c r="E2" i="32"/>
  <c r="G22" i="37"/>
  <c r="D26" i="35"/>
  <c r="M18" i="41"/>
  <c r="I30" i="39"/>
  <c r="D5" i="38"/>
  <c r="D21" i="41"/>
  <c r="L5" i="35"/>
  <c r="I6" i="31"/>
  <c r="J24" i="36"/>
  <c r="J18" i="39"/>
  <c r="J9" i="36"/>
  <c r="G28" i="32"/>
  <c r="H13" i="42"/>
  <c r="M24" i="36"/>
  <c r="D10" i="38"/>
  <c r="G2" i="41"/>
  <c r="M25" i="39"/>
  <c r="C21" i="40"/>
  <c r="K4" i="36"/>
  <c r="C8" i="35"/>
  <c r="J9" i="35"/>
  <c r="C30" i="35"/>
  <c r="I31" i="35"/>
  <c r="E19" i="37"/>
  <c r="K31" i="33"/>
  <c r="E23" i="35"/>
  <c r="L29" i="37"/>
  <c r="M28" i="34"/>
  <c r="C6" i="32"/>
  <c r="L25" i="40"/>
  <c r="L32" i="33"/>
  <c r="D22" i="37"/>
  <c r="G4" i="32"/>
  <c r="K2" i="34"/>
  <c r="D11" i="36"/>
  <c r="E4" i="32"/>
  <c r="I30" i="37"/>
  <c r="E27" i="31"/>
  <c r="K13" i="34"/>
  <c r="I14" i="41"/>
  <c r="E29" i="41"/>
  <c r="G17" i="41"/>
  <c r="H19" i="34"/>
  <c r="J9" i="34"/>
  <c r="G3" i="41"/>
  <c r="K21" i="34"/>
  <c r="C21" i="31"/>
  <c r="E20" i="36"/>
  <c r="H11" i="35"/>
  <c r="E27" i="40"/>
  <c r="C9" i="41"/>
  <c r="M26" i="33"/>
  <c r="J24" i="41"/>
  <c r="E22" i="34"/>
  <c r="G26" i="35"/>
  <c r="I24" i="38"/>
  <c r="G18" i="41"/>
  <c r="J29" i="38"/>
  <c r="C9" i="31"/>
  <c r="K15" i="31"/>
  <c r="G17" i="39"/>
  <c r="M22" i="41"/>
  <c r="K2" i="38"/>
  <c r="E14" i="41"/>
  <c r="M6" i="34"/>
  <c r="H24" i="33"/>
  <c r="G10" i="37"/>
  <c r="K17" i="35"/>
  <c r="M23" i="33"/>
  <c r="J23" i="38"/>
  <c r="E30" i="41"/>
  <c r="M16" i="36"/>
  <c r="C10" i="33"/>
  <c r="E4" i="41"/>
  <c r="M22" i="36"/>
  <c r="K21" i="39"/>
  <c r="G2" i="35"/>
  <c r="E31" i="35"/>
  <c r="K18" i="42"/>
  <c r="G16" i="38"/>
  <c r="M22" i="40"/>
  <c r="L3" i="35"/>
  <c r="I27" i="35"/>
  <c r="G20" i="31"/>
  <c r="G6" i="42"/>
  <c r="M22" i="42"/>
  <c r="I17" i="35"/>
  <c r="J20" i="38"/>
  <c r="C2" i="31"/>
  <c r="M26" i="34"/>
  <c r="E24" i="31"/>
  <c r="E16" i="38"/>
  <c r="D4" i="38"/>
  <c r="I26" i="40"/>
  <c r="K4" i="42"/>
  <c r="L13" i="36"/>
  <c r="I7" i="32"/>
  <c r="K7" i="32"/>
  <c r="K22" i="36"/>
  <c r="K2" i="37"/>
  <c r="D6" i="40"/>
  <c r="M17" i="40"/>
  <c r="E16" i="34"/>
  <c r="H9" i="42"/>
  <c r="C24" i="42"/>
  <c r="L14" i="35"/>
  <c r="G24" i="37"/>
  <c r="M7" i="39"/>
  <c r="C23" i="31"/>
  <c r="M29" i="41"/>
  <c r="I31" i="37"/>
  <c r="C7" i="35"/>
  <c r="M14" i="32"/>
  <c r="K28" i="42"/>
  <c r="I27" i="40"/>
  <c r="H25" i="32"/>
  <c r="K14" i="40"/>
  <c r="H17" i="36"/>
  <c r="J16" i="40"/>
  <c r="M29" i="39"/>
  <c r="I12" i="31"/>
  <c r="D25" i="39"/>
  <c r="K27" i="41"/>
  <c r="E10" i="32"/>
  <c r="E21" i="40"/>
  <c r="D5" i="36"/>
  <c r="I30" i="42"/>
  <c r="E29" i="34"/>
  <c r="E18" i="40"/>
  <c r="E25" i="41"/>
  <c r="D28" i="38"/>
  <c r="K13" i="42"/>
  <c r="C16" i="33"/>
  <c r="K14" i="38"/>
  <c r="C30" i="42"/>
  <c r="I3" i="34"/>
  <c r="D16" i="32"/>
  <c r="H6" i="38"/>
  <c r="C19" i="40"/>
  <c r="G25" i="34"/>
  <c r="G30" i="31"/>
  <c r="D12" i="40"/>
  <c r="K10" i="34"/>
  <c r="J15" i="41"/>
  <c r="E16" i="42"/>
  <c r="G17" i="34"/>
  <c r="I22" i="38"/>
  <c r="G29" i="31"/>
  <c r="M26" i="31"/>
  <c r="G8" i="35"/>
  <c r="C19" i="33"/>
  <c r="H4" i="42"/>
  <c r="D8" i="31"/>
  <c r="M3" i="42"/>
  <c r="M25" i="38"/>
  <c r="C8" i="40"/>
  <c r="H10" i="31"/>
  <c r="I2" i="39"/>
  <c r="K16" i="31"/>
  <c r="I21" i="38"/>
  <c r="L24" i="32"/>
  <c r="L18" i="37"/>
  <c r="D2" i="41"/>
  <c r="D20" i="33"/>
  <c r="I12" i="32"/>
  <c r="H12" i="42"/>
  <c r="M19" i="39"/>
  <c r="I18" i="40"/>
  <c r="C7" i="34"/>
  <c r="E32" i="40"/>
  <c r="J10" i="35"/>
  <c r="I7" i="42"/>
  <c r="I7" i="37"/>
  <c r="H4" i="32"/>
  <c r="I15" i="37"/>
  <c r="I27" i="36"/>
  <c r="J16" i="39"/>
  <c r="C4" i="36"/>
  <c r="J18" i="31"/>
  <c r="E23" i="37"/>
  <c r="E26" i="39"/>
  <c r="G10" i="38"/>
  <c r="L16" i="31"/>
  <c r="L20" i="40"/>
  <c r="K31" i="35"/>
  <c r="J4" i="35"/>
  <c r="M18" i="33"/>
  <c r="L29" i="31"/>
  <c r="K11" i="34"/>
  <c r="C7" i="37"/>
  <c r="H28" i="38"/>
  <c r="G26" i="36"/>
  <c r="D3" i="41"/>
  <c r="J15" i="34"/>
  <c r="C22" i="41"/>
  <c r="E25" i="37"/>
  <c r="I11" i="42"/>
  <c r="E6" i="33"/>
  <c r="G24" i="31"/>
  <c r="G15" i="41"/>
  <c r="G15" i="35"/>
  <c r="L13" i="35"/>
  <c r="D20" i="42"/>
  <c r="J28" i="39"/>
  <c r="J18" i="34"/>
  <c r="K28" i="38"/>
  <c r="K26" i="38"/>
  <c r="I22" i="40"/>
  <c r="J28" i="31"/>
  <c r="C15" i="37"/>
  <c r="I2" i="31"/>
  <c r="M29" i="40"/>
  <c r="E4" i="42"/>
  <c r="M2" i="35"/>
  <c r="D6" i="41"/>
  <c r="D31" i="37"/>
  <c r="E31" i="41"/>
  <c r="D28" i="35"/>
  <c r="H18" i="36"/>
  <c r="D17" i="37"/>
  <c r="K27" i="31"/>
  <c r="L2" i="37"/>
  <c r="J25" i="32"/>
  <c r="L24" i="35"/>
  <c r="K26" i="34"/>
  <c r="I3" i="33"/>
  <c r="K19" i="34"/>
  <c r="C7" i="41"/>
  <c r="H21" i="32"/>
  <c r="I3" i="38"/>
  <c r="H7" i="32"/>
  <c r="G17" i="33"/>
  <c r="L21" i="42"/>
  <c r="D13" i="38"/>
  <c r="M18" i="36"/>
  <c r="D28" i="34"/>
  <c r="G3" i="33"/>
  <c r="L8" i="37"/>
  <c r="K19" i="41"/>
  <c r="H10" i="33"/>
  <c r="C9" i="42"/>
  <c r="M28" i="32"/>
  <c r="M3" i="37"/>
  <c r="C28" i="34"/>
  <c r="E16" i="32"/>
  <c r="M22" i="38"/>
  <c r="G28" i="36"/>
  <c r="E20" i="38"/>
  <c r="M18" i="32"/>
  <c r="M20" i="38"/>
  <c r="K32" i="42"/>
  <c r="C17" i="41"/>
  <c r="G12" i="37"/>
  <c r="D10" i="41"/>
  <c r="I11" i="37"/>
  <c r="K4" i="33"/>
  <c r="I30" i="31"/>
  <c r="G7" i="38"/>
  <c r="J24" i="37"/>
  <c r="J5" i="36"/>
  <c r="E22" i="33"/>
  <c r="G7" i="34"/>
  <c r="D32" i="38"/>
  <c r="I25" i="34"/>
  <c r="I16" i="42"/>
  <c r="H10" i="41"/>
  <c r="H27" i="34"/>
  <c r="M24" i="41"/>
  <c r="E4" i="33"/>
  <c r="K4" i="40"/>
  <c r="L23" i="31"/>
  <c r="H8" i="34"/>
  <c r="I12" i="33"/>
  <c r="I25" i="40"/>
  <c r="M28" i="39"/>
  <c r="L22" i="35"/>
  <c r="G31" i="36"/>
  <c r="M14" i="39"/>
  <c r="C21" i="41"/>
  <c r="M27" i="34"/>
  <c r="D19" i="42"/>
  <c r="J4" i="33"/>
  <c r="G12" i="36"/>
  <c r="G14" i="41"/>
  <c r="D2" i="40"/>
  <c r="C17" i="34"/>
  <c r="H12" i="39"/>
  <c r="K17" i="37"/>
  <c r="H32" i="31"/>
  <c r="G4" i="33"/>
  <c r="H4" i="33"/>
  <c r="H6" i="32"/>
  <c r="I5" i="32"/>
  <c r="E19" i="31"/>
  <c r="H28" i="32"/>
  <c r="M8" i="33"/>
  <c r="M4" i="42"/>
  <c r="H24" i="34"/>
  <c r="M27" i="33"/>
  <c r="E18" i="31"/>
  <c r="I15" i="38"/>
  <c r="G8" i="33"/>
  <c r="K17" i="38"/>
  <c r="M16" i="40"/>
  <c r="G11" i="42"/>
  <c r="H29" i="39"/>
  <c r="M20" i="31"/>
  <c r="C7" i="39"/>
  <c r="M26" i="38"/>
  <c r="C9" i="36"/>
  <c r="L10" i="33"/>
  <c r="J30" i="40"/>
  <c r="M28" i="33"/>
  <c r="C15" i="38"/>
  <c r="K4" i="34"/>
  <c r="K23" i="40"/>
  <c r="C11" i="34"/>
  <c r="H23" i="42"/>
  <c r="I8" i="38"/>
  <c r="L17" i="35"/>
  <c r="J12" i="42"/>
  <c r="C20" i="38"/>
  <c r="I12" i="35"/>
  <c r="M13" i="37"/>
  <c r="M7" i="34"/>
  <c r="C25" i="33"/>
  <c r="M31" i="35"/>
  <c r="G11" i="40"/>
  <c r="H4" i="35"/>
  <c r="E29" i="31"/>
  <c r="J29" i="36"/>
  <c r="G27" i="32"/>
  <c r="M25" i="40"/>
  <c r="E4" i="39"/>
  <c r="C11" i="32"/>
  <c r="K22" i="33"/>
  <c r="J24" i="31"/>
  <c r="C29" i="41"/>
  <c r="J13" i="31"/>
  <c r="J25" i="33"/>
  <c r="G14" i="33"/>
  <c r="J14" i="31"/>
  <c r="L31" i="42"/>
  <c r="M28" i="36"/>
  <c r="H7" i="37"/>
  <c r="K23" i="32"/>
  <c r="H18" i="32"/>
  <c r="M24" i="38"/>
  <c r="K22" i="42"/>
  <c r="G6" i="36"/>
  <c r="M29" i="42"/>
  <c r="M29" i="35"/>
  <c r="L22" i="40"/>
  <c r="L26" i="42"/>
  <c r="H2" i="35"/>
  <c r="M25" i="36"/>
  <c r="M11" i="32"/>
  <c r="K14" i="41"/>
  <c r="L29" i="35"/>
  <c r="G6" i="35"/>
  <c r="I21" i="32"/>
  <c r="K8" i="37"/>
  <c r="H22" i="31"/>
  <c r="C18" i="35"/>
  <c r="G19" i="40"/>
  <c r="E22" i="31"/>
  <c r="C2" i="37"/>
  <c r="M32" i="37"/>
  <c r="K9" i="42"/>
  <c r="K6" i="31"/>
  <c r="H9" i="37"/>
  <c r="J8" i="42"/>
  <c r="K22" i="31"/>
  <c r="C16" i="41"/>
  <c r="G31" i="35"/>
  <c r="G7" i="32"/>
  <c r="C31" i="39"/>
  <c r="C12" i="41"/>
  <c r="C19" i="37"/>
  <c r="G24" i="42"/>
  <c r="C30" i="36"/>
  <c r="G22" i="39"/>
  <c r="J5" i="38"/>
  <c r="I4" i="40"/>
  <c r="G21" i="35"/>
  <c r="I4" i="35"/>
  <c r="J13" i="38"/>
  <c r="I29" i="38"/>
  <c r="L19" i="39"/>
  <c r="C20" i="34"/>
  <c r="J24" i="33"/>
  <c r="L9" i="37"/>
  <c r="E26" i="41"/>
  <c r="G29" i="36"/>
  <c r="M12" i="42"/>
  <c r="G20" i="40"/>
  <c r="H24" i="42"/>
  <c r="K11" i="36"/>
  <c r="L26" i="32"/>
  <c r="C13" i="32"/>
  <c r="L32" i="37"/>
  <c r="J28" i="40"/>
  <c r="K16" i="33"/>
  <c r="C6" i="37"/>
  <c r="G24" i="33"/>
  <c r="M31" i="31"/>
  <c r="E23" i="34"/>
  <c r="K22" i="35"/>
  <c r="G17" i="38"/>
  <c r="H14" i="32"/>
  <c r="M4" i="37"/>
  <c r="K3" i="42"/>
  <c r="D15" i="42"/>
  <c r="D5" i="32"/>
  <c r="L28" i="31"/>
  <c r="L15" i="31"/>
  <c r="D7" i="33"/>
  <c r="J2" i="31"/>
  <c r="I28" i="31"/>
  <c r="L19" i="38"/>
  <c r="E21" i="38"/>
  <c r="G16" i="36"/>
  <c r="J5" i="33"/>
  <c r="E11" i="34"/>
  <c r="H17" i="32"/>
  <c r="L8" i="38"/>
  <c r="M32" i="35"/>
  <c r="K18" i="41"/>
  <c r="G25" i="37"/>
  <c r="M14" i="40"/>
  <c r="I4" i="42"/>
  <c r="J2" i="37"/>
  <c r="K2" i="42"/>
  <c r="I25" i="35"/>
  <c r="C22" i="31"/>
  <c r="L23" i="41"/>
  <c r="D27" i="37"/>
  <c r="G9" i="39"/>
  <c r="I10" i="40"/>
  <c r="K13" i="38"/>
  <c r="L29" i="42"/>
  <c r="I9" i="41"/>
  <c r="J25" i="41"/>
  <c r="M2" i="32"/>
  <c r="I2" i="33"/>
  <c r="G32" i="40"/>
  <c r="E29" i="39"/>
  <c r="G26" i="33"/>
  <c r="G5" i="37"/>
  <c r="I21" i="39"/>
  <c r="C2" i="32"/>
  <c r="L31" i="37"/>
  <c r="D13" i="35"/>
  <c r="H22" i="41"/>
  <c r="I8" i="34"/>
  <c r="E30" i="40"/>
  <c r="D7" i="38"/>
  <c r="G20" i="41"/>
  <c r="G29" i="41"/>
  <c r="K12" i="35"/>
  <c r="J29" i="34"/>
  <c r="G3" i="38"/>
  <c r="I19" i="42"/>
  <c r="E9" i="32"/>
  <c r="K11" i="32"/>
  <c r="C20" i="32"/>
  <c r="C3" i="39"/>
  <c r="E22" i="40"/>
  <c r="H11" i="38"/>
  <c r="D29" i="34"/>
  <c r="D19" i="32"/>
  <c r="M29" i="36"/>
  <c r="J17" i="40"/>
  <c r="E7" i="35"/>
  <c r="D10" i="40"/>
  <c r="G2" i="31"/>
  <c r="D2" i="42"/>
  <c r="H3" i="31"/>
  <c r="E9" i="41"/>
  <c r="K20" i="38"/>
  <c r="I16" i="33"/>
  <c r="K2" i="40"/>
  <c r="I13" i="37"/>
  <c r="G12" i="42"/>
  <c r="J20" i="35"/>
  <c r="K29" i="34"/>
  <c r="L13" i="31"/>
  <c r="G6" i="34"/>
  <c r="J17" i="33"/>
  <c r="G31" i="31"/>
  <c r="H16" i="41"/>
  <c r="K15" i="42"/>
  <c r="I13" i="40"/>
  <c r="H14" i="37"/>
  <c r="E18" i="39"/>
  <c r="J8" i="34"/>
  <c r="H25" i="41"/>
  <c r="M21" i="31"/>
  <c r="M7" i="42"/>
  <c r="L7" i="36"/>
  <c r="H8" i="39"/>
  <c r="J6" i="32"/>
  <c r="J17" i="34"/>
  <c r="E28" i="41"/>
  <c r="L4" i="39"/>
  <c r="M24" i="35"/>
  <c r="H15" i="31"/>
  <c r="E20" i="39"/>
  <c r="E26" i="38"/>
  <c r="J26" i="38"/>
  <c r="K25" i="41"/>
  <c r="H28" i="40"/>
  <c r="L16" i="34"/>
  <c r="J15" i="40"/>
  <c r="J25" i="36"/>
  <c r="M31" i="37"/>
  <c r="K31" i="37"/>
  <c r="J5" i="35"/>
  <c r="L6" i="31"/>
  <c r="I31" i="42"/>
  <c r="I4" i="41"/>
  <c r="C26" i="41"/>
  <c r="K5" i="35"/>
  <c r="C13" i="31"/>
  <c r="E24" i="40"/>
  <c r="K28" i="32"/>
  <c r="L7" i="34"/>
  <c r="H23" i="38"/>
  <c r="I22" i="37"/>
  <c r="C18" i="40"/>
  <c r="M28" i="31"/>
  <c r="D22" i="39"/>
  <c r="G32" i="35"/>
  <c r="L15" i="42"/>
  <c r="H25" i="31"/>
  <c r="H15" i="35"/>
  <c r="M16" i="33"/>
  <c r="D27" i="39"/>
  <c r="I3" i="40"/>
  <c r="H21" i="35"/>
  <c r="E5" i="40"/>
  <c r="D31" i="35"/>
  <c r="L6" i="33"/>
  <c r="K19" i="33"/>
  <c r="H27" i="39"/>
  <c r="M2" i="36"/>
  <c r="J11" i="36"/>
  <c r="E15" i="40"/>
  <c r="H31" i="31"/>
  <c r="M14" i="33"/>
  <c r="J5" i="40"/>
  <c r="I5" i="38"/>
  <c r="H23" i="39"/>
  <c r="I8" i="37"/>
  <c r="G16" i="31"/>
  <c r="J18" i="37"/>
  <c r="G29" i="39"/>
  <c r="L19" i="35"/>
  <c r="J23" i="41"/>
  <c r="L26" i="40"/>
  <c r="D28" i="37"/>
  <c r="H29" i="40"/>
  <c r="H11" i="39"/>
  <c r="G2" i="36"/>
  <c r="G14" i="32"/>
  <c r="J31" i="39"/>
  <c r="H3" i="36"/>
  <c r="I24" i="34"/>
  <c r="J15" i="31"/>
  <c r="G3" i="36"/>
  <c r="I24" i="37"/>
  <c r="L18" i="31"/>
  <c r="M25" i="31"/>
  <c r="D32" i="31"/>
  <c r="M17" i="37"/>
  <c r="D9" i="41"/>
  <c r="H8" i="31"/>
  <c r="M8" i="39"/>
  <c r="J26" i="31"/>
  <c r="L14" i="41"/>
  <c r="M18" i="31"/>
  <c r="E11" i="42"/>
  <c r="E7" i="38"/>
  <c r="J16" i="38"/>
  <c r="M15" i="31"/>
  <c r="M21" i="36"/>
  <c r="M9" i="34"/>
  <c r="I9" i="40"/>
  <c r="I23" i="36"/>
  <c r="H8" i="37"/>
  <c r="J18" i="33"/>
  <c r="H26" i="37"/>
  <c r="M16" i="32"/>
  <c r="D8" i="41"/>
  <c r="E17" i="35"/>
  <c r="L22" i="41"/>
  <c r="I20" i="35"/>
  <c r="K12" i="39"/>
  <c r="I5" i="42"/>
  <c r="C14" i="36"/>
  <c r="L8" i="36"/>
  <c r="J25" i="40"/>
  <c r="J31" i="33"/>
  <c r="J16" i="41"/>
  <c r="I18" i="36"/>
  <c r="E6" i="42"/>
  <c r="L27" i="36"/>
  <c r="L28" i="41"/>
  <c r="L17" i="38"/>
  <c r="K10" i="37"/>
  <c r="E7" i="31"/>
  <c r="M17" i="36"/>
  <c r="G13" i="39"/>
  <c r="H16" i="38"/>
  <c r="E14" i="40"/>
  <c r="H16" i="34"/>
  <c r="E9" i="36"/>
  <c r="D27" i="35"/>
  <c r="D18" i="35"/>
  <c r="C16" i="38"/>
  <c r="M24" i="40"/>
  <c r="L8" i="39"/>
  <c r="H22" i="42"/>
  <c r="G30" i="35"/>
  <c r="J26" i="34"/>
  <c r="H27" i="32"/>
  <c r="D28" i="33"/>
  <c r="D24" i="42"/>
  <c r="E17" i="38"/>
  <c r="E23" i="33"/>
  <c r="C31" i="38"/>
  <c r="E14" i="32"/>
  <c r="K17" i="39"/>
  <c r="H5" i="36"/>
  <c r="L14" i="37"/>
  <c r="L12" i="35"/>
  <c r="I25" i="32"/>
  <c r="I13" i="32"/>
  <c r="L31" i="38"/>
  <c r="K6" i="37"/>
  <c r="E8" i="31"/>
  <c r="D3" i="40"/>
  <c r="H21" i="38"/>
  <c r="E12" i="38"/>
  <c r="E15" i="32"/>
  <c r="M32" i="42"/>
  <c r="J30" i="36"/>
  <c r="E28" i="40"/>
  <c r="E14" i="34"/>
  <c r="M14" i="42"/>
  <c r="J30" i="42"/>
  <c r="E31" i="33"/>
  <c r="D31" i="31"/>
  <c r="H31" i="37"/>
  <c r="C13" i="34"/>
  <c r="M19" i="35"/>
  <c r="H22" i="32"/>
  <c r="E28" i="37"/>
  <c r="D10" i="32"/>
  <c r="C17" i="42"/>
  <c r="H24" i="32"/>
  <c r="D29" i="38"/>
  <c r="I22" i="31"/>
  <c r="L27" i="31"/>
  <c r="L9" i="38"/>
  <c r="G13" i="41"/>
  <c r="G23" i="33"/>
  <c r="L11" i="40"/>
  <c r="E13" i="35"/>
  <c r="L28" i="34"/>
  <c r="E32" i="38"/>
  <c r="D2" i="37"/>
  <c r="E7" i="33"/>
  <c r="G26" i="41"/>
  <c r="M3" i="36"/>
  <c r="D23" i="35"/>
  <c r="I7" i="33"/>
  <c r="G5" i="36"/>
  <c r="M11" i="36"/>
  <c r="M8" i="37"/>
  <c r="G19" i="41"/>
  <c r="J9" i="32"/>
  <c r="D27" i="38"/>
  <c r="E2" i="35"/>
  <c r="G16" i="37"/>
  <c r="I19" i="36"/>
  <c r="L12" i="36"/>
  <c r="E11" i="41"/>
  <c r="J27" i="39"/>
  <c r="L21" i="33"/>
  <c r="J17" i="42"/>
  <c r="E10" i="38"/>
  <c r="I4" i="38"/>
  <c r="C9" i="33"/>
  <c r="J28" i="33"/>
  <c r="J14" i="32"/>
  <c r="L23" i="35"/>
  <c r="I26" i="31"/>
  <c r="E17" i="41"/>
  <c r="L8" i="42"/>
  <c r="M8" i="32"/>
  <c r="C4" i="37"/>
  <c r="I5" i="37"/>
  <c r="G18" i="35"/>
  <c r="K19" i="38"/>
  <c r="D26" i="38"/>
  <c r="G7" i="36"/>
  <c r="D30" i="41"/>
  <c r="C7" i="36"/>
  <c r="J10" i="41"/>
  <c r="M25" i="32"/>
  <c r="E30" i="38"/>
  <c r="J22" i="32"/>
  <c r="H21" i="39"/>
  <c r="M16" i="39"/>
  <c r="J17" i="32"/>
  <c r="M20" i="35"/>
  <c r="H16" i="35"/>
  <c r="H3" i="34"/>
  <c r="J19" i="32"/>
  <c r="G22" i="41"/>
  <c r="H24" i="37"/>
  <c r="K8" i="38"/>
  <c r="I16" i="31"/>
  <c r="E20" i="41"/>
  <c r="D6" i="36"/>
  <c r="I5" i="36"/>
  <c r="M23" i="41"/>
  <c r="K21" i="40"/>
  <c r="K9" i="31"/>
  <c r="D27" i="33"/>
  <c r="H17" i="37"/>
  <c r="G6" i="39"/>
  <c r="I23" i="42"/>
  <c r="K16" i="36"/>
  <c r="D32" i="35"/>
  <c r="L17" i="33"/>
  <c r="M8" i="31"/>
  <c r="M14" i="36"/>
  <c r="I24" i="42"/>
  <c r="L9" i="32"/>
  <c r="D6" i="42"/>
  <c r="C26" i="36"/>
  <c r="D2" i="31"/>
  <c r="I11" i="36"/>
  <c r="J22" i="41"/>
  <c r="J22" i="40"/>
  <c r="D13" i="37"/>
  <c r="C11" i="40"/>
  <c r="M10" i="35"/>
  <c r="M12" i="33"/>
  <c r="H27" i="42"/>
  <c r="G11" i="36"/>
  <c r="G30" i="42"/>
  <c r="K6" i="33"/>
  <c r="M23" i="31"/>
  <c r="J13" i="34"/>
  <c r="J2" i="32"/>
  <c r="M9" i="35"/>
  <c r="D26" i="37"/>
  <c r="M6" i="31"/>
  <c r="L17" i="42"/>
  <c r="H32" i="42"/>
  <c r="L29" i="36"/>
  <c r="C11" i="38"/>
  <c r="D30" i="38"/>
  <c r="L31" i="41"/>
  <c r="L26" i="37"/>
  <c r="C22" i="34"/>
  <c r="D31" i="39"/>
  <c r="H17" i="31"/>
  <c r="M15" i="40"/>
  <c r="I13" i="41"/>
  <c r="G23" i="37"/>
  <c r="H19" i="40"/>
  <c r="L18" i="39"/>
  <c r="D23" i="33"/>
  <c r="L18" i="40"/>
  <c r="M10" i="36"/>
  <c r="D19" i="33"/>
  <c r="H8" i="36"/>
  <c r="H16" i="37"/>
  <c r="L13" i="33"/>
  <c r="I17" i="37"/>
  <c r="E10" i="36"/>
  <c r="H30" i="42"/>
  <c r="E7" i="40"/>
  <c r="E4" i="37"/>
  <c r="C22" i="40"/>
  <c r="K20" i="36"/>
  <c r="M6" i="38"/>
  <c r="G10" i="35"/>
  <c r="H15" i="36"/>
  <c r="C21" i="33"/>
  <c r="G32" i="31"/>
  <c r="J3" i="32"/>
  <c r="L15" i="35"/>
  <c r="K12" i="31"/>
  <c r="L20" i="34"/>
  <c r="J12" i="33"/>
  <c r="C28" i="41"/>
  <c r="J29" i="31"/>
  <c r="G26" i="34"/>
  <c r="G8" i="32"/>
  <c r="D16" i="33"/>
  <c r="G23" i="36"/>
  <c r="G31" i="41"/>
  <c r="L26" i="36"/>
  <c r="L29" i="33"/>
  <c r="G9" i="36"/>
  <c r="E28" i="35"/>
  <c r="H2" i="41"/>
  <c r="K27" i="40"/>
  <c r="L13" i="37"/>
  <c r="H19" i="37"/>
  <c r="G12" i="33"/>
  <c r="E13" i="37"/>
  <c r="L16" i="42"/>
  <c r="L27" i="39"/>
  <c r="E18" i="36"/>
  <c r="G27" i="41"/>
  <c r="E24" i="41"/>
  <c r="J15" i="36"/>
  <c r="I28" i="42"/>
  <c r="C7" i="33"/>
  <c r="M31" i="33"/>
  <c r="J32" i="37"/>
  <c r="G13" i="36"/>
  <c r="C18" i="38"/>
  <c r="C8" i="41"/>
  <c r="H2" i="33"/>
  <c r="D16" i="42"/>
  <c r="G28" i="34"/>
  <c r="I3" i="41"/>
  <c r="E18" i="34"/>
  <c r="E5" i="37"/>
  <c r="K9" i="32"/>
  <c r="G20" i="37"/>
  <c r="M23" i="32"/>
  <c r="L15" i="36"/>
  <c r="E26" i="35"/>
  <c r="J5" i="31"/>
  <c r="L11" i="33"/>
  <c r="K24" i="35"/>
  <c r="K24" i="37"/>
  <c r="E28" i="38"/>
  <c r="C30" i="39"/>
  <c r="C14" i="32"/>
  <c r="D6" i="35"/>
  <c r="L22" i="34"/>
  <c r="G10" i="41"/>
  <c r="C24" i="39"/>
  <c r="C8" i="32"/>
  <c r="I25" i="37"/>
  <c r="G15" i="42"/>
  <c r="H23" i="40"/>
  <c r="L3" i="31"/>
  <c r="E21" i="37"/>
  <c r="I2" i="36"/>
  <c r="L32" i="38"/>
  <c r="L23" i="42"/>
  <c r="D24" i="40"/>
  <c r="C17" i="36"/>
  <c r="C16" i="35"/>
  <c r="E17" i="31"/>
  <c r="J31" i="31"/>
  <c r="L3" i="36"/>
  <c r="C9" i="40"/>
  <c r="C30" i="40"/>
  <c r="E20" i="31"/>
  <c r="H20" i="32"/>
  <c r="J4" i="39"/>
  <c r="I32" i="42"/>
  <c r="I12" i="36"/>
  <c r="L29" i="41"/>
  <c r="D24" i="33"/>
  <c r="E32" i="33"/>
  <c r="D9" i="35"/>
  <c r="I27" i="31"/>
  <c r="K25" i="42"/>
  <c r="G11" i="38"/>
  <c r="H28" i="41"/>
  <c r="G4" i="42"/>
  <c r="I18" i="42"/>
  <c r="M19" i="36"/>
  <c r="L25" i="36"/>
  <c r="E2" i="39"/>
  <c r="M12" i="36"/>
  <c r="K27" i="32"/>
  <c r="E19" i="41"/>
  <c r="G17" i="36"/>
  <c r="G23" i="40"/>
  <c r="E11" i="36"/>
  <c r="D3" i="39"/>
  <c r="E28" i="36"/>
  <c r="C16" i="36"/>
  <c r="K25" i="32"/>
  <c r="M31" i="41"/>
  <c r="H25" i="36"/>
  <c r="E11" i="31"/>
  <c r="D8" i="34"/>
  <c r="L31" i="39"/>
  <c r="E28" i="42"/>
  <c r="E15" i="37"/>
  <c r="E19" i="33"/>
  <c r="I13" i="36"/>
  <c r="L7" i="35"/>
  <c r="J16" i="35"/>
  <c r="D8" i="33"/>
  <c r="I19" i="40"/>
  <c r="K9" i="34"/>
  <c r="I8" i="41"/>
  <c r="D12" i="39"/>
  <c r="G17" i="37"/>
  <c r="K14" i="39"/>
  <c r="I5" i="34"/>
  <c r="J6" i="34"/>
  <c r="K4" i="31"/>
  <c r="M22" i="31"/>
  <c r="K29" i="37"/>
  <c r="C32" i="40"/>
  <c r="D29" i="39"/>
  <c r="M15" i="38"/>
  <c r="M4" i="33"/>
  <c r="C8" i="39"/>
  <c r="M24" i="37"/>
  <c r="J31" i="40"/>
  <c r="C24" i="34"/>
  <c r="K3" i="34"/>
  <c r="G12" i="34"/>
  <c r="I22" i="36"/>
  <c r="I6" i="41"/>
  <c r="H13" i="38"/>
  <c r="J14" i="33"/>
  <c r="L21" i="40"/>
  <c r="D4" i="33"/>
  <c r="E14" i="36"/>
  <c r="D30" i="39"/>
  <c r="J13" i="37"/>
  <c r="I21" i="35"/>
  <c r="J2" i="33"/>
  <c r="D21" i="32"/>
  <c r="L8" i="31"/>
  <c r="L5" i="32"/>
  <c r="I16" i="32"/>
  <c r="J6" i="38"/>
  <c r="H9" i="39"/>
  <c r="I8" i="32"/>
  <c r="C13" i="42"/>
  <c r="M13" i="38"/>
  <c r="L4" i="42"/>
  <c r="H16" i="42"/>
  <c r="G27" i="39"/>
  <c r="J28" i="42"/>
  <c r="K16" i="40"/>
  <c r="C29" i="38"/>
  <c r="E9" i="31"/>
  <c r="M17" i="33"/>
  <c r="L9" i="33"/>
  <c r="K24" i="40"/>
  <c r="M32" i="31"/>
  <c r="K14" i="37"/>
  <c r="J15" i="32"/>
  <c r="L27" i="40"/>
  <c r="I31" i="41"/>
  <c r="M11" i="37"/>
  <c r="J30" i="33"/>
  <c r="M4" i="35"/>
  <c r="E16" i="39"/>
  <c r="M10" i="31"/>
  <c r="K30" i="36"/>
  <c r="C21" i="36"/>
  <c r="J26" i="41"/>
  <c r="E10" i="34"/>
  <c r="E6" i="41"/>
  <c r="I6" i="42"/>
  <c r="D11" i="35"/>
  <c r="I12" i="38"/>
  <c r="L6" i="37"/>
  <c r="M5" i="41"/>
  <c r="E10" i="42"/>
  <c r="K5" i="42"/>
  <c r="C14" i="33"/>
  <c r="G32" i="38"/>
  <c r="D24" i="32"/>
  <c r="G13" i="35"/>
  <c r="M15" i="32"/>
  <c r="M19" i="33"/>
  <c r="K32" i="35"/>
  <c r="D7" i="41"/>
  <c r="M23" i="36"/>
  <c r="D8" i="38"/>
  <c r="K27" i="35"/>
  <c r="G27" i="34"/>
  <c r="I5" i="35"/>
  <c r="M21" i="39"/>
  <c r="C20" i="36"/>
  <c r="J5" i="39"/>
  <c r="C24" i="32"/>
  <c r="E24" i="34"/>
  <c r="K5" i="41"/>
  <c r="J11" i="35"/>
  <c r="K6" i="39"/>
  <c r="J10" i="38"/>
  <c r="C24" i="37"/>
  <c r="M7" i="36"/>
  <c r="G7" i="41"/>
  <c r="C20" i="33"/>
  <c r="I32" i="37"/>
  <c r="H12" i="38"/>
  <c r="G3" i="40"/>
  <c r="E6" i="37"/>
  <c r="G29" i="32"/>
  <c r="G31" i="34"/>
  <c r="C29" i="37"/>
  <c r="G20" i="42"/>
  <c r="J9" i="39"/>
  <c r="D15" i="33"/>
  <c r="E19" i="35"/>
  <c r="H21" i="33"/>
  <c r="K26" i="35"/>
  <c r="G26" i="37"/>
  <c r="L28" i="32"/>
  <c r="J24" i="32"/>
  <c r="L11" i="37"/>
  <c r="G26" i="42"/>
  <c r="E11" i="33"/>
  <c r="J4" i="32"/>
  <c r="G6" i="40"/>
  <c r="K20" i="40"/>
  <c r="J3" i="34"/>
  <c r="H17" i="40"/>
  <c r="H28" i="39"/>
  <c r="G5" i="33"/>
  <c r="D22" i="36"/>
  <c r="H27" i="38"/>
  <c r="I16" i="40"/>
  <c r="E24" i="38"/>
  <c r="E3" i="42"/>
  <c r="C20" i="39"/>
  <c r="E20" i="32"/>
  <c r="I19" i="32"/>
  <c r="C23" i="42"/>
  <c r="J14" i="42"/>
  <c r="G18" i="34"/>
  <c r="D12" i="34"/>
  <c r="J14" i="34"/>
  <c r="L28" i="37"/>
  <c r="G8" i="42"/>
  <c r="K30" i="35"/>
  <c r="I19" i="34"/>
  <c r="L14" i="34"/>
  <c r="M4" i="32"/>
  <c r="C25" i="34"/>
  <c r="I9" i="38"/>
  <c r="L8" i="41"/>
  <c r="G4" i="36"/>
  <c r="K28" i="35"/>
  <c r="G5" i="39"/>
  <c r="M31" i="39"/>
  <c r="J8" i="39"/>
  <c r="G8" i="39"/>
  <c r="I8" i="33"/>
  <c r="J31" i="38"/>
  <c r="C28" i="39"/>
  <c r="E15" i="38"/>
  <c r="L24" i="41"/>
  <c r="M3" i="40"/>
  <c r="M29" i="32"/>
  <c r="G22" i="33"/>
  <c r="G31" i="40"/>
  <c r="E24" i="37"/>
  <c r="C21" i="42"/>
  <c r="L15" i="33"/>
  <c r="G15" i="40"/>
  <c r="E18" i="33"/>
  <c r="H15" i="42"/>
  <c r="M2" i="38"/>
  <c r="D4" i="31"/>
  <c r="I20" i="31"/>
  <c r="M11" i="42"/>
  <c r="H13" i="39"/>
  <c r="J3" i="37"/>
  <c r="C31" i="41"/>
  <c r="K28" i="41"/>
  <c r="K4" i="37"/>
  <c r="J13" i="39"/>
  <c r="K8" i="35"/>
  <c r="L4" i="33"/>
  <c r="H5" i="35"/>
  <c r="G5" i="35"/>
  <c r="G16" i="42"/>
  <c r="K12" i="38"/>
  <c r="L20" i="42"/>
  <c r="C11" i="37"/>
  <c r="D22" i="32"/>
  <c r="C31" i="31"/>
  <c r="K20" i="32"/>
  <c r="G7" i="33"/>
  <c r="K14" i="42"/>
  <c r="H18" i="38"/>
  <c r="G7" i="37"/>
  <c r="L26" i="35"/>
  <c r="H9" i="35"/>
  <c r="G9" i="34"/>
  <c r="E13" i="34"/>
  <c r="E12" i="41"/>
  <c r="L30" i="34"/>
  <c r="D10" i="36"/>
  <c r="G11" i="31"/>
  <c r="H32" i="37"/>
  <c r="D20" i="35"/>
  <c r="J20" i="32"/>
  <c r="M16" i="38"/>
  <c r="D25" i="38"/>
  <c r="D23" i="41"/>
  <c r="E12" i="36"/>
  <c r="J22" i="38"/>
  <c r="E19" i="38"/>
  <c r="C20" i="41"/>
  <c r="I25" i="33"/>
  <c r="E12" i="33"/>
  <c r="K15" i="38"/>
  <c r="C7" i="32"/>
  <c r="E23" i="42"/>
  <c r="E12" i="32"/>
  <c r="M16" i="34"/>
  <c r="L30" i="31"/>
  <c r="H6" i="41"/>
  <c r="J13" i="32"/>
  <c r="H18" i="34"/>
  <c r="J24" i="42"/>
  <c r="H16" i="36"/>
  <c r="L16" i="41"/>
  <c r="K21" i="42"/>
  <c r="C15" i="41"/>
  <c r="E3" i="40"/>
  <c r="G18" i="31"/>
  <c r="C23" i="32"/>
  <c r="H29" i="36"/>
  <c r="D12" i="35"/>
  <c r="M17" i="32"/>
  <c r="L29" i="32"/>
  <c r="K8" i="33"/>
  <c r="I13" i="33"/>
  <c r="J18" i="36"/>
  <c r="L32" i="42"/>
  <c r="J12" i="41"/>
  <c r="E27" i="35"/>
  <c r="E21" i="33"/>
  <c r="M27" i="31"/>
  <c r="D23" i="36"/>
  <c r="G21" i="39"/>
  <c r="M22" i="34"/>
  <c r="J13" i="35"/>
  <c r="L9" i="41"/>
  <c r="C23" i="37"/>
  <c r="J6" i="35"/>
  <c r="G19" i="34"/>
  <c r="I17" i="31"/>
  <c r="H6" i="42"/>
  <c r="K13" i="40"/>
  <c r="I9" i="33"/>
  <c r="E12" i="34"/>
  <c r="D25" i="31"/>
  <c r="I30" i="41"/>
  <c r="H24" i="31"/>
  <c r="G22" i="31"/>
  <c r="K13" i="36"/>
  <c r="D12" i="33"/>
  <c r="G13" i="37"/>
  <c r="I14" i="42"/>
  <c r="G15" i="33"/>
  <c r="C25" i="35"/>
  <c r="K16" i="37"/>
  <c r="G29" i="37"/>
  <c r="C31" i="37"/>
  <c r="M10" i="32"/>
  <c r="J7" i="33"/>
  <c r="I7" i="36"/>
  <c r="H9" i="31"/>
  <c r="I6" i="35"/>
  <c r="M28" i="40"/>
  <c r="G10" i="34"/>
  <c r="G15" i="38"/>
  <c r="M15" i="37"/>
  <c r="G25" i="33"/>
  <c r="M3" i="38"/>
  <c r="D19" i="34"/>
  <c r="L14" i="36"/>
  <c r="L16" i="37"/>
  <c r="H22" i="34"/>
  <c r="G5" i="31"/>
  <c r="H11" i="32"/>
  <c r="D16" i="31"/>
  <c r="L22" i="37"/>
  <c r="I7" i="40"/>
  <c r="I27" i="38"/>
  <c r="I23" i="39"/>
  <c r="G12" i="38"/>
  <c r="D23" i="34"/>
  <c r="E28" i="34"/>
  <c r="E2" i="31"/>
  <c r="D11" i="42"/>
  <c r="M27" i="40"/>
  <c r="K5" i="33"/>
  <c r="K7" i="41"/>
  <c r="K17" i="31"/>
  <c r="L24" i="34"/>
  <c r="D21" i="35"/>
  <c r="J11" i="32"/>
  <c r="I26" i="42"/>
  <c r="L12" i="39"/>
  <c r="M23" i="38"/>
  <c r="C32" i="42"/>
  <c r="H28" i="36"/>
  <c r="I7" i="34"/>
  <c r="K6" i="41"/>
  <c r="L18" i="42"/>
  <c r="H15" i="39"/>
  <c r="K32" i="33"/>
  <c r="M21" i="41"/>
  <c r="I8" i="35"/>
  <c r="L15" i="34"/>
  <c r="D25" i="40"/>
  <c r="D15" i="38"/>
  <c r="K28" i="37"/>
  <c r="D5" i="34"/>
  <c r="I4" i="32"/>
  <c r="J6" i="42"/>
  <c r="M24" i="34"/>
  <c r="L19" i="33"/>
  <c r="I30" i="34"/>
  <c r="I17" i="33"/>
  <c r="L24" i="39"/>
  <c r="K10" i="32"/>
  <c r="G20" i="36"/>
  <c r="J3" i="41"/>
  <c r="L3" i="39"/>
  <c r="G4" i="38"/>
  <c r="K5" i="40"/>
  <c r="C30" i="41"/>
  <c r="K31" i="42"/>
  <c r="E10" i="40"/>
  <c r="E9" i="33"/>
  <c r="D29" i="35"/>
  <c r="M14" i="31"/>
  <c r="I4" i="33"/>
  <c r="M16" i="42"/>
  <c r="D4" i="34"/>
  <c r="J2" i="35"/>
  <c r="G2" i="37"/>
  <c r="M5" i="42"/>
  <c r="I21" i="37"/>
  <c r="I11" i="39"/>
  <c r="C28" i="31"/>
  <c r="I32" i="38"/>
  <c r="M30" i="39"/>
  <c r="L25" i="41"/>
  <c r="I18" i="38"/>
  <c r="M7" i="40"/>
  <c r="D28" i="40"/>
  <c r="H31" i="39"/>
  <c r="C6" i="31"/>
  <c r="C29" i="36"/>
  <c r="M8" i="35"/>
  <c r="E25" i="34"/>
  <c r="M2" i="41"/>
  <c r="K5" i="36"/>
  <c r="H20" i="41"/>
  <c r="J4" i="34"/>
  <c r="D26" i="36"/>
  <c r="H8" i="35"/>
  <c r="H29" i="37"/>
  <c r="J23" i="31"/>
  <c r="I30" i="36"/>
  <c r="E20" i="33"/>
  <c r="K18" i="36"/>
  <c r="K23" i="31"/>
  <c r="H8" i="33"/>
  <c r="I14" i="40"/>
  <c r="I31" i="36"/>
  <c r="I12" i="37"/>
  <c r="D12" i="31"/>
  <c r="D18" i="39"/>
  <c r="K15" i="39"/>
  <c r="L3" i="42"/>
  <c r="H7" i="35"/>
  <c r="I28" i="37"/>
  <c r="M27" i="38"/>
  <c r="I26" i="33"/>
  <c r="G9" i="31"/>
  <c r="H7" i="34"/>
  <c r="C10" i="41"/>
  <c r="K2" i="39"/>
  <c r="K20" i="41"/>
  <c r="C25" i="36"/>
  <c r="K26" i="41"/>
  <c r="E26" i="31"/>
  <c r="M27" i="32"/>
  <c r="D14" i="36"/>
  <c r="D7" i="34"/>
  <c r="D20" i="37"/>
  <c r="E24" i="35"/>
  <c r="H19" i="32"/>
  <c r="H12" i="34"/>
  <c r="D16" i="40"/>
  <c r="K22" i="38"/>
  <c r="J18" i="41"/>
  <c r="M25" i="41"/>
  <c r="D5" i="39"/>
  <c r="I26" i="32"/>
  <c r="G4" i="39"/>
  <c r="I15" i="32"/>
  <c r="H16" i="39"/>
  <c r="G5" i="38"/>
  <c r="J25" i="37"/>
  <c r="M29" i="31"/>
  <c r="L30" i="37"/>
  <c r="K20" i="37"/>
  <c r="D5" i="35"/>
  <c r="H5" i="32"/>
  <c r="C8" i="34"/>
  <c r="G16" i="35"/>
  <c r="D20" i="31"/>
  <c r="K30" i="42"/>
  <c r="C9" i="32"/>
  <c r="I3" i="31"/>
  <c r="G9" i="37"/>
  <c r="L6" i="36"/>
  <c r="L23" i="34"/>
  <c r="L16" i="32"/>
  <c r="L10" i="38"/>
  <c r="M2" i="31"/>
  <c r="H32" i="33"/>
  <c r="I18" i="39"/>
  <c r="I25" i="31"/>
  <c r="K17" i="41"/>
  <c r="M19" i="37"/>
  <c r="D6" i="31"/>
  <c r="J3" i="39"/>
  <c r="I11" i="33"/>
  <c r="D25" i="35"/>
  <c r="D14" i="40"/>
  <c r="G24" i="40"/>
  <c r="L18" i="35"/>
  <c r="H21" i="34"/>
  <c r="J21" i="32"/>
  <c r="J5" i="34"/>
  <c r="L15" i="32"/>
  <c r="L12" i="41"/>
  <c r="I14" i="33"/>
  <c r="C10" i="35"/>
  <c r="J29" i="33"/>
  <c r="H22" i="36"/>
  <c r="K7" i="37"/>
  <c r="G14" i="34"/>
  <c r="L13" i="38"/>
  <c r="C8" i="42"/>
  <c r="H19" i="33"/>
  <c r="J20" i="37"/>
  <c r="D27" i="31"/>
  <c r="D17" i="33"/>
  <c r="M3" i="34"/>
  <c r="D19" i="41"/>
  <c r="I21" i="34"/>
  <c r="M27" i="36"/>
  <c r="M4" i="40"/>
  <c r="L30" i="33"/>
  <c r="C5" i="35"/>
  <c r="G4" i="35"/>
  <c r="D18" i="36"/>
  <c r="M11" i="41"/>
  <c r="M2" i="37"/>
  <c r="D2" i="36"/>
  <c r="M3" i="39"/>
  <c r="C5" i="31"/>
  <c r="M9" i="37"/>
  <c r="E30" i="42"/>
  <c r="H5" i="39"/>
  <c r="J10" i="37"/>
  <c r="I12" i="40"/>
  <c r="C5" i="34"/>
  <c r="M6" i="37"/>
  <c r="L17" i="37"/>
  <c r="H2" i="36"/>
  <c r="J32" i="40"/>
  <c r="C4" i="32"/>
  <c r="L13" i="32"/>
  <c r="H31" i="42"/>
  <c r="K24" i="31"/>
  <c r="L10" i="34"/>
  <c r="C3" i="33"/>
  <c r="I14" i="39"/>
  <c r="L21" i="36"/>
  <c r="M13" i="32"/>
  <c r="I11" i="31"/>
  <c r="H17" i="34"/>
  <c r="M22" i="39"/>
  <c r="H31" i="34"/>
  <c r="L14" i="40"/>
  <c r="G30" i="39"/>
  <c r="M20" i="39"/>
  <c r="M9" i="38"/>
  <c r="G14" i="31"/>
  <c r="J30" i="39"/>
  <c r="G7" i="42"/>
  <c r="I21" i="36"/>
  <c r="M18" i="37"/>
  <c r="C24" i="38"/>
  <c r="G31" i="39"/>
  <c r="G18" i="32"/>
  <c r="G22" i="36"/>
  <c r="L7" i="31"/>
  <c r="E17" i="37"/>
  <c r="E22" i="36"/>
  <c r="K26" i="42"/>
  <c r="J4" i="42"/>
  <c r="G20" i="33"/>
  <c r="L28" i="40"/>
  <c r="J9" i="41"/>
  <c r="C3" i="37"/>
  <c r="D28" i="36"/>
  <c r="D31" i="40"/>
  <c r="I24" i="35"/>
  <c r="I7" i="39"/>
  <c r="D24" i="36"/>
  <c r="I26" i="35"/>
  <c r="E13" i="38"/>
  <c r="I4" i="36"/>
  <c r="M28" i="42"/>
  <c r="G32" i="33"/>
  <c r="C14" i="35"/>
  <c r="M22" i="33"/>
  <c r="I32" i="35"/>
  <c r="D28" i="32"/>
  <c r="E24" i="32"/>
  <c r="D29" i="31"/>
  <c r="I13" i="42"/>
  <c r="H6" i="40"/>
  <c r="K15" i="34"/>
  <c r="L2" i="35"/>
  <c r="K26" i="37"/>
  <c r="M19" i="31"/>
  <c r="E8" i="42"/>
  <c r="D4" i="32"/>
  <c r="M30" i="41"/>
  <c r="J25" i="38"/>
  <c r="E13" i="32"/>
  <c r="H12" i="35"/>
  <c r="I23" i="34"/>
  <c r="M19" i="38"/>
  <c r="E3" i="38"/>
  <c r="E13" i="33"/>
  <c r="H10" i="40"/>
  <c r="E29" i="42"/>
  <c r="G24" i="35"/>
  <c r="D16" i="34"/>
  <c r="I27" i="39"/>
  <c r="E18" i="35"/>
  <c r="J3" i="38"/>
  <c r="E12" i="37"/>
  <c r="J14" i="40"/>
  <c r="K27" i="34"/>
  <c r="I9" i="31"/>
  <c r="K10" i="31"/>
  <c r="C5" i="33"/>
  <c r="E8" i="35"/>
  <c r="K30" i="37"/>
  <c r="I16" i="38"/>
  <c r="I29" i="33"/>
  <c r="J32" i="33"/>
  <c r="K7" i="34"/>
  <c r="J2" i="38"/>
  <c r="C18" i="41"/>
  <c r="L23" i="37"/>
  <c r="G5" i="42"/>
  <c r="K5" i="32"/>
  <c r="M28" i="38"/>
  <c r="L17" i="41"/>
  <c r="C23" i="39"/>
  <c r="L25" i="39"/>
  <c r="D20" i="36"/>
  <c r="J11" i="31"/>
  <c r="G3" i="42"/>
  <c r="H15" i="38"/>
  <c r="M11" i="40"/>
  <c r="K24" i="41"/>
  <c r="J6" i="39"/>
  <c r="C17" i="37"/>
  <c r="D17" i="41"/>
  <c r="J21" i="39"/>
  <c r="K3" i="41"/>
  <c r="D11" i="40"/>
  <c r="I18" i="33"/>
  <c r="L13" i="40"/>
  <c r="L11" i="32"/>
  <c r="C26" i="38"/>
  <c r="D14" i="34"/>
  <c r="K28" i="34"/>
  <c r="D32" i="33"/>
  <c r="L24" i="33"/>
  <c r="K5" i="31"/>
  <c r="I19" i="41"/>
  <c r="L6" i="38"/>
  <c r="J19" i="36"/>
  <c r="J19" i="33"/>
  <c r="D31" i="33"/>
  <c r="E8" i="40"/>
  <c r="G18" i="40"/>
  <c r="E17" i="40"/>
  <c r="K10" i="33"/>
  <c r="K19" i="40"/>
  <c r="I19" i="37"/>
  <c r="G11" i="41"/>
  <c r="L27" i="34"/>
  <c r="J27" i="38"/>
  <c r="C26" i="42"/>
  <c r="H4" i="40"/>
  <c r="D14" i="33"/>
  <c r="D13" i="31"/>
  <c r="M10" i="33"/>
  <c r="M15" i="41"/>
  <c r="H32" i="38"/>
  <c r="H21" i="40"/>
  <c r="C29" i="42"/>
  <c r="C26" i="35"/>
  <c r="D7" i="31"/>
  <c r="E14" i="31"/>
  <c r="L5" i="33"/>
  <c r="G28" i="38"/>
  <c r="H8" i="38"/>
  <c r="M8" i="41"/>
  <c r="I28" i="39"/>
  <c r="D23" i="31"/>
  <c r="C2" i="33"/>
  <c r="M11" i="35"/>
  <c r="C17" i="38"/>
  <c r="E16" i="40"/>
  <c r="D16" i="37"/>
  <c r="J22" i="37"/>
  <c r="D4" i="40"/>
  <c r="G12" i="41"/>
  <c r="E32" i="42"/>
  <c r="G25" i="32"/>
  <c r="M11" i="34"/>
  <c r="D22" i="35"/>
  <c r="D24" i="39"/>
  <c r="D12" i="42"/>
  <c r="G10" i="39"/>
  <c r="L26" i="33"/>
  <c r="H7" i="39"/>
  <c r="I11" i="41"/>
  <c r="C12" i="38"/>
  <c r="J24" i="35"/>
  <c r="D17" i="42"/>
  <c r="I15" i="34"/>
  <c r="I11" i="40"/>
  <c r="E31" i="40"/>
  <c r="G9" i="38"/>
  <c r="C28" i="38"/>
  <c r="L11" i="41"/>
  <c r="I15" i="36"/>
  <c r="E8" i="37"/>
  <c r="H11" i="40"/>
  <c r="I13" i="38"/>
  <c r="K29" i="42"/>
  <c r="L9" i="39"/>
  <c r="C26" i="32"/>
  <c r="H25" i="40"/>
  <c r="H3" i="33"/>
  <c r="L6" i="35"/>
  <c r="J3" i="31"/>
  <c r="H26" i="39"/>
  <c r="I20" i="32"/>
  <c r="J18" i="35"/>
  <c r="M16" i="41"/>
  <c r="I24" i="40"/>
  <c r="H18" i="39"/>
  <c r="G10" i="33"/>
  <c r="C4" i="31"/>
  <c r="E6" i="40"/>
  <c r="M20" i="34"/>
  <c r="L18" i="38"/>
  <c r="D14" i="32"/>
  <c r="C25" i="42"/>
  <c r="C12" i="35"/>
  <c r="H24" i="41"/>
  <c r="E29" i="36"/>
  <c r="K24" i="36"/>
  <c r="I14" i="35"/>
  <c r="K17" i="32"/>
  <c r="M3" i="41"/>
  <c r="H21" i="31"/>
  <c r="G28" i="37"/>
  <c r="J12" i="40"/>
  <c r="D13" i="41"/>
  <c r="K2" i="32"/>
  <c r="E11" i="37"/>
  <c r="J8" i="35"/>
  <c r="I8" i="36"/>
  <c r="E4" i="40"/>
  <c r="D25" i="34"/>
  <c r="H15" i="40"/>
  <c r="C20" i="40"/>
  <c r="J12" i="36"/>
  <c r="L22" i="31"/>
  <c r="L27" i="32"/>
  <c r="D17" i="35"/>
  <c r="J13" i="33"/>
  <c r="G4" i="31"/>
  <c r="K30" i="31"/>
  <c r="H20" i="31"/>
  <c r="E31" i="31"/>
  <c r="E22" i="38"/>
  <c r="G13" i="33"/>
  <c r="E6" i="31"/>
  <c r="E32" i="35"/>
  <c r="E3" i="32"/>
  <c r="L5" i="36"/>
  <c r="G2" i="32"/>
  <c r="L22" i="33"/>
  <c r="E11" i="38"/>
  <c r="E29" i="38"/>
  <c r="C2" i="39"/>
  <c r="C10" i="32"/>
  <c r="C4" i="38"/>
  <c r="H14" i="42"/>
  <c r="I19" i="35"/>
  <c r="E2" i="37"/>
  <c r="H29" i="38"/>
  <c r="I28" i="35"/>
  <c r="K3" i="40"/>
  <c r="K31" i="31"/>
  <c r="M10" i="39"/>
  <c r="E17" i="33"/>
  <c r="M27" i="39"/>
  <c r="E11" i="39"/>
  <c r="H30" i="41"/>
  <c r="E6" i="35"/>
  <c r="J31" i="34"/>
  <c r="I14" i="31"/>
  <c r="H26" i="41"/>
  <c r="L9" i="40"/>
  <c r="I21" i="41"/>
  <c r="G25" i="41"/>
  <c r="D24" i="38"/>
  <c r="G6" i="41"/>
  <c r="I24" i="33"/>
  <c r="G17" i="32"/>
  <c r="E16" i="37"/>
  <c r="K24" i="33"/>
  <c r="K32" i="37"/>
  <c r="L9" i="31"/>
  <c r="D31" i="38"/>
  <c r="G5" i="34"/>
  <c r="I22" i="39"/>
  <c r="D29" i="40"/>
  <c r="D32" i="42"/>
  <c r="C16" i="40"/>
  <c r="C13" i="40"/>
  <c r="I23" i="31"/>
  <c r="E5" i="42"/>
  <c r="G20" i="32"/>
  <c r="M24" i="39"/>
  <c r="C27" i="32"/>
  <c r="K22" i="37"/>
  <c r="L4" i="37"/>
  <c r="E16" i="35"/>
  <c r="H3" i="40"/>
  <c r="I6" i="39"/>
  <c r="G7" i="35"/>
  <c r="I29" i="41"/>
  <c r="I13" i="31"/>
  <c r="K18" i="34"/>
  <c r="K11" i="31"/>
  <c r="E3" i="37"/>
  <c r="J7" i="40"/>
  <c r="M17" i="34"/>
  <c r="H10" i="32"/>
  <c r="D4" i="42"/>
  <c r="K30" i="33"/>
  <c r="J8" i="32"/>
  <c r="L11" i="35"/>
  <c r="L27" i="38"/>
  <c r="H13" i="35"/>
  <c r="G30" i="33"/>
  <c r="J3" i="35"/>
  <c r="J9" i="38"/>
  <c r="J32" i="31"/>
  <c r="I17" i="34"/>
  <c r="H30" i="31"/>
  <c r="M8" i="34"/>
  <c r="C23" i="36"/>
  <c r="K26" i="31"/>
  <c r="D11" i="31"/>
  <c r="J27" i="37"/>
  <c r="E13" i="36"/>
  <c r="C27" i="36"/>
  <c r="E15" i="36"/>
  <c r="E14" i="37"/>
  <c r="D30" i="42"/>
  <c r="E22" i="39"/>
  <c r="M29" i="34"/>
  <c r="M3" i="35"/>
  <c r="K21" i="35"/>
  <c r="H23" i="35"/>
  <c r="H10" i="38"/>
  <c r="D12" i="38"/>
  <c r="G18" i="37"/>
  <c r="J27" i="36"/>
  <c r="H6" i="36"/>
  <c r="L13" i="34"/>
  <c r="C17" i="35"/>
  <c r="H19" i="31"/>
  <c r="H4" i="37"/>
  <c r="C8" i="36"/>
  <c r="H9" i="32"/>
  <c r="C26" i="39"/>
  <c r="I10" i="39"/>
  <c r="E11" i="40"/>
  <c r="I29" i="32"/>
  <c r="M14" i="37"/>
  <c r="L19" i="37"/>
  <c r="G12" i="40"/>
  <c r="M29" i="33"/>
  <c r="I26" i="37"/>
  <c r="J19" i="37"/>
  <c r="H20" i="34"/>
  <c r="L25" i="31"/>
  <c r="D8" i="32"/>
  <c r="K9" i="36"/>
  <c r="I3" i="35"/>
  <c r="H3" i="42"/>
  <c r="C26" i="33"/>
  <c r="C25" i="40"/>
  <c r="M7" i="35"/>
  <c r="D26" i="31"/>
  <c r="C21" i="38"/>
  <c r="K12" i="33"/>
  <c r="K8" i="40"/>
  <c r="L4" i="31"/>
  <c r="J11" i="38"/>
  <c r="I10" i="34"/>
  <c r="H4" i="41"/>
  <c r="M7" i="38"/>
  <c r="I17" i="32"/>
  <c r="I28" i="36"/>
  <c r="K18" i="33"/>
  <c r="H28" i="33"/>
  <c r="D8" i="35"/>
  <c r="K27" i="38"/>
  <c r="H3" i="37"/>
  <c r="C27" i="37"/>
  <c r="C11" i="36"/>
  <c r="G15" i="37"/>
  <c r="M5" i="39"/>
  <c r="J24" i="34"/>
  <c r="J28" i="35"/>
  <c r="J22" i="35"/>
  <c r="K23" i="34"/>
  <c r="J23" i="32"/>
  <c r="H5" i="34"/>
  <c r="M14" i="35"/>
  <c r="L3" i="37"/>
  <c r="I15" i="40"/>
  <c r="E24" i="39"/>
  <c r="E5" i="41"/>
  <c r="I24" i="41"/>
  <c r="G7" i="40"/>
  <c r="G8" i="41"/>
  <c r="C19" i="34"/>
  <c r="G14" i="36"/>
  <c r="H18" i="41"/>
  <c r="K6" i="36"/>
  <c r="I29" i="31"/>
  <c r="M6" i="42"/>
  <c r="M24" i="32"/>
  <c r="D24" i="35"/>
  <c r="E5" i="39"/>
  <c r="E19" i="32"/>
  <c r="D9" i="36"/>
  <c r="H16" i="31"/>
  <c r="G20" i="39"/>
  <c r="D10" i="33"/>
  <c r="H7" i="33"/>
  <c r="D18" i="38"/>
  <c r="L17" i="31"/>
  <c r="C25" i="39"/>
  <c r="K10" i="35"/>
  <c r="K15" i="37"/>
  <c r="J30" i="38"/>
  <c r="M28" i="35"/>
  <c r="D5" i="40"/>
  <c r="G2" i="42"/>
  <c r="J25" i="39"/>
  <c r="M21" i="35"/>
  <c r="J27" i="31"/>
  <c r="L7" i="32"/>
  <c r="K31" i="40"/>
  <c r="K19" i="36"/>
  <c r="M6" i="32"/>
  <c r="I9" i="37"/>
  <c r="G12" i="32"/>
  <c r="M30" i="35"/>
  <c r="K19" i="31"/>
  <c r="K2" i="33"/>
  <c r="D5" i="33"/>
  <c r="H20" i="35"/>
  <c r="K7" i="40"/>
  <c r="H25" i="37"/>
  <c r="H19" i="42"/>
  <c r="D14" i="35"/>
  <c r="M9" i="42"/>
  <c r="G31" i="38"/>
  <c r="J10" i="36"/>
  <c r="C28" i="36"/>
  <c r="H3" i="39"/>
  <c r="C12" i="39"/>
  <c r="L12" i="34"/>
  <c r="L20" i="38"/>
  <c r="L10" i="35"/>
  <c r="E6" i="39"/>
  <c r="L2" i="36"/>
  <c r="J28" i="36"/>
  <c r="K16" i="35"/>
  <c r="D6" i="32"/>
  <c r="C28" i="40"/>
  <c r="M6" i="35"/>
  <c r="M17" i="31"/>
  <c r="I20" i="34"/>
  <c r="H17" i="42"/>
  <c r="L21" i="41"/>
  <c r="I5" i="41"/>
  <c r="G4" i="37"/>
  <c r="M3" i="32"/>
  <c r="D27" i="32"/>
  <c r="K13" i="35"/>
  <c r="J13" i="41"/>
  <c r="C17" i="32"/>
  <c r="L14" i="32"/>
  <c r="E17" i="34"/>
  <c r="J21" i="33"/>
  <c r="H22" i="39"/>
  <c r="E16" i="33"/>
  <c r="M7" i="41"/>
  <c r="C9" i="39"/>
  <c r="I11" i="35"/>
  <c r="E5" i="31"/>
  <c r="E18" i="37"/>
  <c r="E15" i="33"/>
  <c r="M15" i="35"/>
  <c r="H12" i="33"/>
  <c r="E23" i="32"/>
  <c r="H4" i="39"/>
  <c r="G28" i="33"/>
  <c r="I5" i="31"/>
  <c r="M32" i="33"/>
  <c r="E10" i="37"/>
  <c r="L2" i="33"/>
  <c r="C10" i="40"/>
  <c r="D29" i="37"/>
  <c r="E7" i="39"/>
  <c r="G26" i="38"/>
  <c r="I30" i="38"/>
  <c r="E13" i="40"/>
  <c r="D7" i="42"/>
  <c r="L10" i="36"/>
  <c r="J29" i="41"/>
  <c r="K9" i="41"/>
  <c r="D23" i="38"/>
  <c r="M26" i="41"/>
  <c r="K23" i="37"/>
  <c r="E27" i="41"/>
  <c r="I29" i="37"/>
  <c r="C5" i="39"/>
  <c r="D29" i="36"/>
  <c r="I22" i="42"/>
  <c r="G19" i="33"/>
  <c r="C17" i="39"/>
  <c r="L13" i="41"/>
  <c r="G11" i="33"/>
  <c r="C24" i="36"/>
  <c r="G22" i="38"/>
  <c r="K19" i="37"/>
  <c r="J16" i="32"/>
  <c r="H18" i="33"/>
  <c r="L28" i="42"/>
  <c r="E20" i="37"/>
  <c r="M24" i="33"/>
  <c r="L3" i="41"/>
  <c r="K5" i="37"/>
  <c r="C13" i="39"/>
  <c r="J20" i="31"/>
  <c r="E21" i="36"/>
  <c r="I16" i="35"/>
  <c r="J19" i="38"/>
  <c r="K3" i="37"/>
  <c r="I32" i="33"/>
  <c r="E27" i="39"/>
  <c r="E9" i="34"/>
  <c r="H26" i="42"/>
  <c r="H11" i="36"/>
  <c r="D15" i="37"/>
  <c r="M25" i="34"/>
  <c r="D30" i="33"/>
  <c r="E30" i="36"/>
  <c r="K3" i="32"/>
  <c r="J22" i="34"/>
  <c r="C29" i="34"/>
  <c r="D4" i="35"/>
  <c r="E5" i="32"/>
  <c r="H7" i="40"/>
  <c r="M2" i="33"/>
  <c r="I14" i="34"/>
  <c r="L12" i="33"/>
  <c r="J8" i="33"/>
  <c r="J8" i="38"/>
  <c r="M26" i="42"/>
  <c r="G24" i="39"/>
  <c r="M22" i="35"/>
  <c r="E3" i="36"/>
  <c r="C20" i="42"/>
  <c r="L31" i="35"/>
  <c r="L23" i="40"/>
  <c r="H27" i="33"/>
  <c r="M31" i="34"/>
  <c r="E4" i="31"/>
  <c r="L4" i="32"/>
  <c r="C7" i="38"/>
  <c r="D5" i="37"/>
  <c r="I26" i="38"/>
  <c r="I17" i="41"/>
  <c r="H9" i="33"/>
  <c r="J15" i="42"/>
  <c r="K23" i="38"/>
  <c r="D31" i="34"/>
  <c r="C2" i="38"/>
  <c r="J22" i="33"/>
  <c r="G24" i="32"/>
  <c r="I6" i="40"/>
  <c r="G4" i="34"/>
  <c r="K17" i="33"/>
  <c r="E29" i="33"/>
  <c r="I21" i="31"/>
  <c r="E7" i="42"/>
  <c r="I4" i="31"/>
  <c r="H21" i="36"/>
  <c r="M8" i="36"/>
  <c r="C24" i="35"/>
  <c r="L3" i="33"/>
  <c r="C14" i="31"/>
  <c r="I20" i="39"/>
  <c r="L9" i="36"/>
  <c r="C25" i="38"/>
  <c r="C11" i="39"/>
  <c r="K3" i="36"/>
  <c r="K12" i="42"/>
  <c r="I9" i="42"/>
  <c r="C13" i="41"/>
  <c r="J20" i="42"/>
  <c r="D15" i="34"/>
  <c r="C17" i="31"/>
  <c r="G5" i="41"/>
  <c r="L2" i="32"/>
  <c r="J19" i="39"/>
  <c r="C10" i="39"/>
  <c r="C31" i="34"/>
  <c r="E15" i="34"/>
  <c r="M29" i="37"/>
  <c r="J20" i="34"/>
  <c r="K29" i="33"/>
  <c r="J6" i="33"/>
  <c r="D18" i="34"/>
  <c r="E3" i="41"/>
  <c r="E26" i="40"/>
  <c r="J30" i="34"/>
  <c r="L32" i="31"/>
  <c r="M24" i="42"/>
  <c r="I5" i="40"/>
  <c r="K18" i="31"/>
  <c r="M3" i="31"/>
  <c r="J10" i="34"/>
  <c r="L24" i="42"/>
  <c r="H22" i="37"/>
  <c r="M21" i="38"/>
  <c r="H15" i="33"/>
  <c r="C27" i="38"/>
  <c r="L31" i="36"/>
  <c r="G30" i="36"/>
  <c r="C4" i="33"/>
  <c r="M32" i="40"/>
  <c r="J31" i="41"/>
  <c r="C6" i="34"/>
  <c r="K29" i="36"/>
  <c r="D25" i="36"/>
  <c r="K16" i="42"/>
  <c r="H25" i="35"/>
  <c r="G26" i="31"/>
  <c r="C27" i="39"/>
  <c r="M24" i="31"/>
  <c r="E6" i="38"/>
  <c r="M20" i="33"/>
  <c r="H18" i="35"/>
  <c r="J28" i="37"/>
  <c r="M25" i="35"/>
  <c r="E13" i="42"/>
  <c r="G32" i="37"/>
  <c r="C12" i="37"/>
  <c r="I19" i="39"/>
  <c r="C3" i="40"/>
  <c r="D17" i="36"/>
  <c r="L9" i="34"/>
  <c r="D16" i="35"/>
  <c r="J21" i="35"/>
  <c r="C11" i="31"/>
  <c r="G26" i="39"/>
  <c r="M26" i="39"/>
  <c r="G13" i="34"/>
  <c r="J14" i="35"/>
  <c r="I7" i="31"/>
  <c r="I31" i="31"/>
  <c r="K8" i="41"/>
  <c r="M6" i="33"/>
  <c r="C22" i="39"/>
  <c r="I31" i="39"/>
  <c r="C8" i="31"/>
  <c r="E18" i="38"/>
  <c r="C29" i="40"/>
  <c r="J12" i="32"/>
  <c r="E9" i="35"/>
  <c r="D2" i="33"/>
  <c r="E15" i="41"/>
  <c r="H22" i="33"/>
  <c r="G25" i="31"/>
  <c r="G29" i="38"/>
  <c r="E23" i="31"/>
  <c r="H26" i="31"/>
  <c r="D14" i="31"/>
  <c r="I14" i="36"/>
  <c r="I10" i="31"/>
  <c r="G19" i="35"/>
  <c r="M18" i="38"/>
  <c r="C6" i="35"/>
  <c r="L14" i="33"/>
  <c r="C22" i="37"/>
  <c r="G17" i="31"/>
  <c r="K18" i="32"/>
  <c r="J32" i="35"/>
  <c r="L2" i="41"/>
  <c r="K15" i="32"/>
  <c r="J27" i="35"/>
  <c r="K22" i="34"/>
  <c r="M13" i="36"/>
  <c r="D15" i="40"/>
  <c r="J11" i="42"/>
  <c r="G8" i="37"/>
  <c r="I28" i="40"/>
  <c r="J16" i="36"/>
  <c r="C5" i="37"/>
  <c r="D5" i="31"/>
  <c r="H16" i="33"/>
  <c r="C6" i="41"/>
  <c r="D21" i="31"/>
  <c r="E5" i="35"/>
  <c r="D11" i="39"/>
  <c r="H15" i="32"/>
  <c r="L31" i="40"/>
  <c r="H2" i="32"/>
  <c r="M5" i="38"/>
  <c r="H5" i="33"/>
  <c r="J5" i="41"/>
  <c r="G15" i="31"/>
  <c r="H20" i="36"/>
  <c r="M2" i="34"/>
  <c r="M19" i="32"/>
  <c r="C15" i="42"/>
  <c r="E4" i="35"/>
  <c r="H8" i="41"/>
  <c r="D22" i="33"/>
  <c r="D8" i="36"/>
  <c r="E7" i="32"/>
  <c r="C10" i="38"/>
  <c r="H3" i="32"/>
  <c r="H20" i="42"/>
  <c r="M30" i="36"/>
  <c r="J29" i="42"/>
  <c r="K7" i="39"/>
  <c r="C26" i="31"/>
  <c r="J10" i="31"/>
  <c r="C29" i="32"/>
  <c r="L18" i="34"/>
  <c r="E21" i="35"/>
  <c r="G27" i="37"/>
  <c r="L20" i="31"/>
  <c r="C3" i="36"/>
  <c r="G9" i="42"/>
  <c r="L12" i="31"/>
  <c r="H12" i="32"/>
  <c r="I29" i="35"/>
  <c r="L29" i="34"/>
  <c r="I20" i="42"/>
  <c r="E15" i="35"/>
  <c r="K12" i="37"/>
  <c r="G3" i="39"/>
  <c r="C2" i="40"/>
  <c r="G19" i="37"/>
  <c r="J11" i="34"/>
  <c r="E18" i="32"/>
  <c r="G3" i="31"/>
  <c r="G22" i="42"/>
  <c r="I2" i="41"/>
  <c r="K27" i="42"/>
  <c r="D3" i="35"/>
  <c r="D13" i="34"/>
  <c r="I25" i="41"/>
  <c r="C24" i="41"/>
  <c r="K6" i="38"/>
  <c r="D14" i="39"/>
  <c r="H12" i="37"/>
  <c r="E13" i="31"/>
  <c r="M26" i="37"/>
  <c r="E8" i="41"/>
  <c r="H18" i="40"/>
  <c r="H4" i="31"/>
  <c r="G30" i="34"/>
  <c r="J27" i="34"/>
  <c r="K29" i="35"/>
  <c r="H7" i="36"/>
  <c r="E22" i="37"/>
  <c r="E25" i="32"/>
  <c r="I11" i="32"/>
  <c r="E25" i="36"/>
  <c r="K19" i="35"/>
  <c r="K16" i="34"/>
  <c r="D6" i="39"/>
  <c r="G15" i="32"/>
  <c r="C18" i="33"/>
  <c r="J23" i="37"/>
  <c r="C15" i="31"/>
  <c r="I24" i="32"/>
  <c r="G4" i="40"/>
  <c r="D18" i="33"/>
  <c r="M20" i="40"/>
  <c r="J31" i="37"/>
  <c r="L4" i="38"/>
  <c r="D18" i="37"/>
  <c r="E4" i="36"/>
  <c r="M15" i="42"/>
  <c r="J21" i="42"/>
  <c r="G15" i="36"/>
  <c r="K3" i="38"/>
  <c r="J25" i="34"/>
  <c r="H26" i="35"/>
  <c r="L15" i="38"/>
  <c r="J17" i="39"/>
  <c r="L2" i="34"/>
  <c r="D22" i="40"/>
  <c r="M30" i="31"/>
  <c r="J15" i="37"/>
  <c r="J9" i="33"/>
  <c r="C2" i="35"/>
  <c r="I23" i="38"/>
  <c r="J7" i="41"/>
  <c r="L22" i="38"/>
  <c r="D2" i="34"/>
  <c r="C13" i="33"/>
  <c r="I23" i="37"/>
  <c r="J17" i="31"/>
  <c r="E19" i="40"/>
  <c r="E21" i="34"/>
  <c r="J26" i="35"/>
  <c r="J30" i="31"/>
  <c r="C27" i="35"/>
  <c r="C27" i="34"/>
  <c r="C10" i="34"/>
  <c r="G28" i="35"/>
  <c r="L6" i="39"/>
  <c r="J31" i="35"/>
  <c r="H31" i="33"/>
  <c r="K8" i="32"/>
  <c r="H7" i="38"/>
  <c r="M15" i="39"/>
  <c r="G3" i="35"/>
  <c r="I26" i="34"/>
  <c r="I14" i="38"/>
  <c r="C9" i="37"/>
  <c r="I27" i="41"/>
  <c r="E10" i="39"/>
  <c r="M5" i="40"/>
  <c r="E30" i="37"/>
  <c r="D26" i="42"/>
  <c r="E8" i="36"/>
  <c r="D29" i="41"/>
  <c r="L26" i="38"/>
  <c r="E27" i="32"/>
  <c r="K7" i="38"/>
  <c r="I13" i="35"/>
  <c r="I16" i="37"/>
  <c r="G23" i="41"/>
  <c r="I28" i="38"/>
  <c r="E15" i="31"/>
  <c r="G3" i="32"/>
  <c r="K11" i="42"/>
  <c r="C27" i="31"/>
  <c r="E28" i="32"/>
  <c r="C3" i="31"/>
  <c r="J20" i="39"/>
  <c r="C20" i="37"/>
  <c r="J15" i="38"/>
  <c r="K23" i="35"/>
  <c r="E28" i="31"/>
  <c r="D7" i="37"/>
  <c r="J21" i="37"/>
  <c r="D24" i="41"/>
  <c r="K20" i="42"/>
  <c r="K24" i="39"/>
  <c r="D16" i="38"/>
  <c r="J28" i="32"/>
  <c r="H25" i="38"/>
  <c r="M5" i="32"/>
  <c r="D18" i="41"/>
  <c r="D30" i="36"/>
  <c r="K13" i="41"/>
  <c r="I18" i="34"/>
  <c r="G19" i="38"/>
  <c r="C12" i="34"/>
  <c r="M21" i="32"/>
  <c r="L17" i="40"/>
  <c r="D17" i="32"/>
  <c r="H30" i="36"/>
  <c r="E24" i="36"/>
  <c r="J29" i="39"/>
  <c r="I8" i="31"/>
  <c r="H2" i="37"/>
  <c r="J4" i="41"/>
  <c r="L10" i="32"/>
  <c r="C15" i="33"/>
  <c r="L21" i="35"/>
  <c r="K12" i="32"/>
  <c r="D10" i="35"/>
  <c r="H13" i="33"/>
  <c r="I19" i="33"/>
  <c r="I2" i="35"/>
  <c r="E5" i="38"/>
  <c r="I18" i="32"/>
  <c r="G23" i="39"/>
  <c r="G25" i="42"/>
  <c r="C31" i="36"/>
  <c r="K27" i="36"/>
  <c r="I7" i="35"/>
  <c r="E14" i="35"/>
  <c r="C24" i="33"/>
  <c r="K18" i="35"/>
  <c r="D22" i="31"/>
  <c r="G18" i="33"/>
  <c r="D19" i="35"/>
  <c r="L12" i="37"/>
  <c r="I16" i="34"/>
  <c r="H24" i="35"/>
  <c r="L31" i="34"/>
  <c r="C9" i="34"/>
  <c r="L20" i="36"/>
  <c r="H23" i="33"/>
  <c r="L24" i="37"/>
  <c r="I10" i="33"/>
  <c r="J12" i="38"/>
  <c r="H6" i="33"/>
  <c r="J7" i="42"/>
  <c r="M23" i="42"/>
  <c r="M5" i="33"/>
  <c r="M17" i="39"/>
  <c r="D27" i="40"/>
  <c r="L2" i="38"/>
  <c r="M30" i="34"/>
  <c r="M13" i="39"/>
  <c r="E23" i="38"/>
  <c r="L19" i="32"/>
  <c r="D9" i="40"/>
  <c r="L8" i="32"/>
  <c r="H15" i="37"/>
  <c r="I2" i="37"/>
  <c r="L30" i="42"/>
  <c r="K25" i="34"/>
  <c r="E10" i="31"/>
  <c r="G29" i="34"/>
  <c r="E31" i="34"/>
  <c r="J16" i="31"/>
  <c r="C28" i="33"/>
  <c r="K25" i="36"/>
  <c r="H23" i="37"/>
  <c r="C14" i="37"/>
  <c r="D8" i="40"/>
  <c r="J7" i="39"/>
  <c r="E17" i="36"/>
  <c r="E12" i="31"/>
  <c r="E22" i="41"/>
  <c r="J7" i="34"/>
  <c r="D16" i="36"/>
  <c r="G19" i="31"/>
  <c r="C29" i="31"/>
  <c r="J13" i="42"/>
  <c r="J12" i="34"/>
  <c r="I6" i="37"/>
  <c r="M16" i="31"/>
  <c r="J2" i="39"/>
  <c r="G9" i="40"/>
  <c r="G23" i="34"/>
  <c r="D20" i="32"/>
  <c r="E25" i="35"/>
  <c r="C18" i="34"/>
  <c r="G17" i="42"/>
  <c r="K30" i="39"/>
  <c r="J23" i="34"/>
  <c r="D17" i="31"/>
  <c r="K9" i="38"/>
  <c r="C18" i="32"/>
  <c r="D7" i="32"/>
  <c r="K32" i="31"/>
  <c r="G24" i="36"/>
  <c r="C30" i="31"/>
  <c r="E14" i="38"/>
  <c r="L26" i="34"/>
  <c r="H2" i="40"/>
  <c r="E25" i="38"/>
  <c r="I3" i="37"/>
  <c r="H26" i="38"/>
  <c r="I26" i="41"/>
  <c r="J21" i="41"/>
  <c r="E8" i="33"/>
  <c r="I22" i="35"/>
  <c r="E20" i="40"/>
  <c r="C32" i="31"/>
  <c r="C29" i="39"/>
  <c r="J30" i="37"/>
  <c r="M23" i="34"/>
  <c r="G8" i="36"/>
  <c r="L18" i="33"/>
  <c r="K25" i="38"/>
  <c r="H27" i="31"/>
  <c r="C14" i="40"/>
  <c r="C23" i="40"/>
  <c r="M19" i="42"/>
  <c r="M9" i="40"/>
  <c r="G27" i="33"/>
  <c r="L11" i="31"/>
  <c r="H25" i="33"/>
  <c r="L5" i="34"/>
  <c r="E30" i="33"/>
  <c r="C27" i="42"/>
  <c r="C5" i="32"/>
  <c r="D26" i="40"/>
  <c r="C21" i="37"/>
  <c r="J3" i="36"/>
  <c r="I10" i="35"/>
  <c r="K5" i="39"/>
  <c r="I26" i="39"/>
  <c r="D15" i="32"/>
  <c r="L28" i="39"/>
  <c r="L30" i="39"/>
  <c r="D15" i="36"/>
  <c r="J6" i="40"/>
  <c r="K11" i="39"/>
  <c r="G6" i="37"/>
  <c r="J21" i="31"/>
  <c r="K21" i="38"/>
  <c r="I32" i="31"/>
  <c r="I18" i="37"/>
  <c r="I3" i="42"/>
  <c r="D26" i="32"/>
  <c r="E9" i="40"/>
  <c r="G25" i="39"/>
  <c r="E25" i="31"/>
  <c r="M13" i="34"/>
  <c r="D2" i="38"/>
  <c r="I20" i="33"/>
  <c r="G31" i="37"/>
  <c r="H22" i="38"/>
  <c r="G18" i="36"/>
  <c r="L27" i="35"/>
  <c r="E9" i="39"/>
  <c r="K15" i="35"/>
  <c r="H11" i="37"/>
  <c r="K14" i="32"/>
  <c r="E6" i="32"/>
  <c r="E16" i="41"/>
  <c r="K20" i="35"/>
  <c r="C22" i="32"/>
  <c r="K27" i="37"/>
  <c r="D29" i="32"/>
  <c r="C15" i="36"/>
  <c r="H14" i="34"/>
  <c r="J23" i="33"/>
  <c r="H31" i="36"/>
  <c r="D7" i="36"/>
  <c r="I20" i="41"/>
  <c r="D3" i="33"/>
  <c r="H17" i="41"/>
  <c r="M7" i="32"/>
  <c r="G21" i="34"/>
  <c r="J4" i="38"/>
  <c r="H29" i="31"/>
  <c r="C3" i="35"/>
  <c r="G13" i="42"/>
  <c r="I2" i="38"/>
  <c r="K9" i="35"/>
  <c r="G3" i="37"/>
  <c r="C7" i="40"/>
  <c r="G2" i="34"/>
  <c r="E27" i="37"/>
  <c r="K22" i="39"/>
  <c r="C17" i="40"/>
  <c r="E14" i="33"/>
  <c r="J14" i="39"/>
  <c r="I31" i="38"/>
  <c r="C32" i="33"/>
  <c r="J14" i="36"/>
  <c r="E23" i="36"/>
  <c r="C5" i="42"/>
  <c r="G2" i="33"/>
  <c r="C4" i="39"/>
  <c r="G26" i="32"/>
  <c r="K23" i="36"/>
  <c r="E32" i="37"/>
  <c r="K4" i="38"/>
  <c r="K14" i="35"/>
  <c r="K7" i="36"/>
  <c r="L11" i="34"/>
  <c r="D21" i="37"/>
  <c r="G29" i="35"/>
  <c r="H6" i="34"/>
  <c r="J7" i="37"/>
  <c r="I24" i="39"/>
  <c r="M30" i="38"/>
  <c r="L19" i="36"/>
  <c r="D21" i="38"/>
  <c r="D30" i="40"/>
  <c r="E9" i="37"/>
  <c r="L2" i="42"/>
  <c r="H13" i="41"/>
  <c r="C18" i="42"/>
  <c r="G10" i="32"/>
  <c r="H24" i="36"/>
  <c r="L30" i="36"/>
  <c r="E6" i="34"/>
  <c r="J15" i="33"/>
  <c r="D13" i="36"/>
  <c r="M4" i="39"/>
  <c r="H31" i="35"/>
  <c r="M22" i="32"/>
  <c r="I7" i="38"/>
  <c r="L15" i="37"/>
  <c r="H31" i="38"/>
  <c r="M7" i="31"/>
  <c r="D16" i="41"/>
  <c r="D19" i="40"/>
  <c r="I2" i="42"/>
  <c r="D27" i="42"/>
  <c r="L22" i="32"/>
  <c r="G8" i="34"/>
  <c r="L14" i="39"/>
  <c r="G28" i="39"/>
  <c r="E10" i="35"/>
  <c r="D23" i="37"/>
  <c r="G29" i="42"/>
  <c r="H24" i="38"/>
  <c r="I23" i="35"/>
  <c r="D20" i="41"/>
  <c r="L20" i="32"/>
  <c r="D31" i="36"/>
  <c r="D12" i="41"/>
  <c r="H30" i="37"/>
  <c r="M19" i="40"/>
  <c r="D19" i="31"/>
  <c r="H17" i="38"/>
  <c r="D20" i="40"/>
  <c r="E31" i="37"/>
  <c r="H18" i="42"/>
  <c r="J32" i="42"/>
  <c r="G27" i="38"/>
  <c r="L28" i="38"/>
  <c r="E2" i="34"/>
  <c r="H14" i="41"/>
  <c r="I17" i="38"/>
  <c r="E16" i="36"/>
  <c r="D9" i="33"/>
  <c r="E30" i="31"/>
  <c r="G30" i="38"/>
  <c r="I11" i="34"/>
  <c r="C11" i="41"/>
  <c r="L11" i="39"/>
  <c r="E26" i="42"/>
  <c r="K29" i="38"/>
  <c r="C26" i="40"/>
  <c r="J17" i="37"/>
  <c r="H12" i="40"/>
  <c r="H13" i="31"/>
  <c r="I9" i="34"/>
  <c r="C27" i="41"/>
  <c r="H14" i="31"/>
  <c r="M12" i="39"/>
  <c r="J26" i="40"/>
  <c r="D3" i="32"/>
  <c r="D22" i="34"/>
  <c r="G6" i="33"/>
  <c r="J28" i="34"/>
  <c r="L23" i="39"/>
  <c r="K7" i="35"/>
  <c r="C23" i="35"/>
  <c r="J12" i="39"/>
  <c r="C21" i="35"/>
  <c r="B21" i="35" l="1"/>
  <c r="B23" i="35"/>
  <c r="F6" i="33"/>
  <c r="B27" i="41"/>
  <c r="B26" i="40"/>
  <c r="B11" i="41"/>
  <c r="F30" i="38"/>
  <c r="E32" i="34"/>
  <c r="E5" i="43" s="1"/>
  <c r="F27" i="38"/>
  <c r="F29" i="42"/>
  <c r="F28" i="39"/>
  <c r="F8" i="34"/>
  <c r="I33" i="42"/>
  <c r="I13" i="43" s="1"/>
  <c r="F10" i="32"/>
  <c r="B18" i="42"/>
  <c r="L33" i="42"/>
  <c r="F29" i="35"/>
  <c r="F26" i="32"/>
  <c r="B4" i="39"/>
  <c r="G33" i="33"/>
  <c r="G4" i="43" s="1"/>
  <c r="F2" i="33"/>
  <c r="B5" i="42"/>
  <c r="B32" i="33"/>
  <c r="B17" i="40"/>
  <c r="G32" i="34"/>
  <c r="G5" i="43" s="1"/>
  <c r="F2" i="34"/>
  <c r="B7" i="40"/>
  <c r="F3" i="37"/>
  <c r="I33" i="38"/>
  <c r="I9" i="43" s="1"/>
  <c r="F13" i="42"/>
  <c r="B3" i="35"/>
  <c r="F21" i="34"/>
  <c r="B15" i="36"/>
  <c r="B22" i="32"/>
  <c r="F18" i="36"/>
  <c r="F31" i="37"/>
  <c r="D33" i="38"/>
  <c r="D9" i="43" s="1"/>
  <c r="F25" i="39"/>
  <c r="F6" i="37"/>
  <c r="B21" i="37"/>
  <c r="B5" i="32"/>
  <c r="B27" i="42"/>
  <c r="F27" i="33"/>
  <c r="B23" i="40"/>
  <c r="B14" i="40"/>
  <c r="F8" i="36"/>
  <c r="B29" i="39"/>
  <c r="B32" i="31"/>
  <c r="H33" i="40"/>
  <c r="H11" i="43" s="1"/>
  <c r="B30" i="31"/>
  <c r="F24" i="36"/>
  <c r="B18" i="32"/>
  <c r="F17" i="42"/>
  <c r="B18" i="34"/>
  <c r="F23" i="34"/>
  <c r="F9" i="40"/>
  <c r="J32" i="39"/>
  <c r="B29" i="31"/>
  <c r="F19" i="31"/>
  <c r="B14" i="37"/>
  <c r="B28" i="33"/>
  <c r="F29" i="34"/>
  <c r="I33" i="37"/>
  <c r="I8" i="43" s="1"/>
  <c r="L33" i="38"/>
  <c r="B9" i="34"/>
  <c r="F18" i="33"/>
  <c r="B24" i="33"/>
  <c r="B31" i="36"/>
  <c r="F25" i="42"/>
  <c r="F23" i="39"/>
  <c r="I33" i="35"/>
  <c r="I6" i="43" s="1"/>
  <c r="B15" i="33"/>
  <c r="H33" i="37"/>
  <c r="H8" i="43" s="1"/>
  <c r="B12" i="34"/>
  <c r="F19" i="38"/>
  <c r="B20" i="37"/>
  <c r="B3" i="31"/>
  <c r="B27" i="31"/>
  <c r="F3" i="32"/>
  <c r="F23" i="41"/>
  <c r="B9" i="37"/>
  <c r="F3" i="35"/>
  <c r="F28" i="35"/>
  <c r="B10" i="34"/>
  <c r="B27" i="34"/>
  <c r="B27" i="35"/>
  <c r="B13" i="33"/>
  <c r="D32" i="34"/>
  <c r="D5" i="43" s="1"/>
  <c r="B2" i="35"/>
  <c r="C33" i="35"/>
  <c r="C6" i="43" s="1"/>
  <c r="L32" i="34"/>
  <c r="F15" i="36"/>
  <c r="F4" i="40"/>
  <c r="B15" i="31"/>
  <c r="B18" i="33"/>
  <c r="F15" i="32"/>
  <c r="F30" i="34"/>
  <c r="B24" i="41"/>
  <c r="I32" i="41"/>
  <c r="I12" i="43" s="1"/>
  <c r="F22" i="42"/>
  <c r="F3" i="31"/>
  <c r="O3" i="31" s="1"/>
  <c r="F19" i="37"/>
  <c r="C33" i="40"/>
  <c r="C11" i="43" s="1"/>
  <c r="B2" i="40"/>
  <c r="F3" i="39"/>
  <c r="F9" i="42"/>
  <c r="B3" i="36"/>
  <c r="F27" i="37"/>
  <c r="B29" i="32"/>
  <c r="B26" i="31"/>
  <c r="B10" i="38"/>
  <c r="B15" i="42"/>
  <c r="M32" i="34"/>
  <c r="F15" i="31"/>
  <c r="O15" i="31" s="1"/>
  <c r="H30" i="32"/>
  <c r="H3" i="43" s="1"/>
  <c r="B6" i="41"/>
  <c r="B5" i="37"/>
  <c r="F8" i="37"/>
  <c r="L32" i="41"/>
  <c r="F17" i="31"/>
  <c r="B22" i="37"/>
  <c r="B6" i="35"/>
  <c r="F19" i="35"/>
  <c r="F29" i="38"/>
  <c r="F25" i="31"/>
  <c r="D33" i="33"/>
  <c r="D4" i="43" s="1"/>
  <c r="B29" i="40"/>
  <c r="B8" i="31"/>
  <c r="B22" i="39"/>
  <c r="F13" i="34"/>
  <c r="F26" i="39"/>
  <c r="B11" i="31"/>
  <c r="B3" i="40"/>
  <c r="B12" i="37"/>
  <c r="F32" i="37"/>
  <c r="B27" i="39"/>
  <c r="F26" i="31"/>
  <c r="B6" i="34"/>
  <c r="B4" i="33"/>
  <c r="F30" i="36"/>
  <c r="B27" i="38"/>
  <c r="O27" i="38" s="1"/>
  <c r="B31" i="34"/>
  <c r="B10" i="39"/>
  <c r="L30" i="32"/>
  <c r="F5" i="41"/>
  <c r="B17" i="31"/>
  <c r="B13" i="41"/>
  <c r="B11" i="39"/>
  <c r="B25" i="38"/>
  <c r="B14" i="31"/>
  <c r="B24" i="35"/>
  <c r="F4" i="34"/>
  <c r="F24" i="32"/>
  <c r="C33" i="38"/>
  <c r="C9" i="43" s="1"/>
  <c r="B2" i="38"/>
  <c r="B7" i="38"/>
  <c r="B20" i="42"/>
  <c r="F24" i="39"/>
  <c r="M33" i="33"/>
  <c r="B29" i="34"/>
  <c r="B13" i="39"/>
  <c r="F22" i="38"/>
  <c r="B24" i="36"/>
  <c r="F11" i="33"/>
  <c r="B17" i="39"/>
  <c r="F19" i="33"/>
  <c r="B5" i="39"/>
  <c r="F26" i="38"/>
  <c r="B10" i="40"/>
  <c r="L33" i="33"/>
  <c r="F28" i="33"/>
  <c r="B9" i="39"/>
  <c r="B17" i="32"/>
  <c r="F4" i="37"/>
  <c r="B28" i="40"/>
  <c r="L32" i="36"/>
  <c r="B12" i="39"/>
  <c r="B28" i="36"/>
  <c r="F31" i="38"/>
  <c r="K33" i="33"/>
  <c r="F12" i="32"/>
  <c r="G33" i="42"/>
  <c r="G13" i="43" s="1"/>
  <c r="F2" i="42"/>
  <c r="B25" i="39"/>
  <c r="F20" i="39"/>
  <c r="F14" i="36"/>
  <c r="B19" i="34"/>
  <c r="F8" i="41"/>
  <c r="F7" i="40"/>
  <c r="F15" i="37"/>
  <c r="B11" i="36"/>
  <c r="B27" i="37"/>
  <c r="B21" i="38"/>
  <c r="B25" i="40"/>
  <c r="B26" i="33"/>
  <c r="F12" i="40"/>
  <c r="B26" i="39"/>
  <c r="B8" i="36"/>
  <c r="O8" i="36" s="1"/>
  <c r="B17" i="35"/>
  <c r="F18" i="37"/>
  <c r="B27" i="36"/>
  <c r="B23" i="36"/>
  <c r="F30" i="33"/>
  <c r="F7" i="35"/>
  <c r="B27" i="32"/>
  <c r="F20" i="32"/>
  <c r="B13" i="40"/>
  <c r="B16" i="40"/>
  <c r="F5" i="34"/>
  <c r="F17" i="32"/>
  <c r="F6" i="41"/>
  <c r="F25" i="41"/>
  <c r="E33" i="37"/>
  <c r="E8" i="43" s="1"/>
  <c r="B4" i="38"/>
  <c r="B10" i="32"/>
  <c r="B2" i="39"/>
  <c r="C32" i="39"/>
  <c r="C10" i="43" s="1"/>
  <c r="G30" i="32"/>
  <c r="G3" i="43" s="1"/>
  <c r="F2" i="32"/>
  <c r="F13" i="33"/>
  <c r="O13" i="33" s="1"/>
  <c r="F4" i="31"/>
  <c r="B20" i="40"/>
  <c r="K30" i="32"/>
  <c r="F28" i="37"/>
  <c r="B12" i="35"/>
  <c r="B25" i="42"/>
  <c r="B4" i="31"/>
  <c r="F10" i="33"/>
  <c r="B26" i="32"/>
  <c r="B28" i="38"/>
  <c r="O28" i="38" s="1"/>
  <c r="F9" i="38"/>
  <c r="B12" i="38"/>
  <c r="F10" i="39"/>
  <c r="F25" i="32"/>
  <c r="F12" i="41"/>
  <c r="B17" i="38"/>
  <c r="B2" i="33"/>
  <c r="O2" i="33" s="1"/>
  <c r="C33" i="33"/>
  <c r="C4" i="43" s="1"/>
  <c r="F28" i="38"/>
  <c r="B26" i="35"/>
  <c r="B29" i="42"/>
  <c r="B26" i="42"/>
  <c r="F11" i="41"/>
  <c r="F18" i="40"/>
  <c r="B26" i="38"/>
  <c r="B17" i="37"/>
  <c r="F3" i="42"/>
  <c r="B23" i="39"/>
  <c r="F5" i="42"/>
  <c r="B18" i="41"/>
  <c r="J33" i="38"/>
  <c r="B5" i="33"/>
  <c r="F24" i="35"/>
  <c r="L33" i="35"/>
  <c r="B14" i="35"/>
  <c r="F32" i="33"/>
  <c r="O32" i="33" s="1"/>
  <c r="B3" i="37"/>
  <c r="F20" i="33"/>
  <c r="F22" i="36"/>
  <c r="F18" i="32"/>
  <c r="O18" i="32" s="1"/>
  <c r="F31" i="39"/>
  <c r="B24" i="38"/>
  <c r="F7" i="42"/>
  <c r="F14" i="31"/>
  <c r="F30" i="39"/>
  <c r="B3" i="33"/>
  <c r="B4" i="32"/>
  <c r="H32" i="36"/>
  <c r="H7" i="43" s="1"/>
  <c r="B5" i="34"/>
  <c r="O5" i="34" s="1"/>
  <c r="B5" i="31"/>
  <c r="D32" i="36"/>
  <c r="D7" i="43" s="1"/>
  <c r="M33" i="37"/>
  <c r="F4" i="35"/>
  <c r="B5" i="35"/>
  <c r="B8" i="42"/>
  <c r="F14" i="34"/>
  <c r="B10" i="35"/>
  <c r="F24" i="40"/>
  <c r="M33" i="31"/>
  <c r="F9" i="37"/>
  <c r="B9" i="32"/>
  <c r="F16" i="35"/>
  <c r="B8" i="34"/>
  <c r="F5" i="38"/>
  <c r="F4" i="39"/>
  <c r="B25" i="36"/>
  <c r="K32" i="39"/>
  <c r="B10" i="41"/>
  <c r="F9" i="31"/>
  <c r="M32" i="41"/>
  <c r="B29" i="36"/>
  <c r="B6" i="31"/>
  <c r="B28" i="31"/>
  <c r="G33" i="37"/>
  <c r="G8" i="43" s="1"/>
  <c r="F2" i="37"/>
  <c r="J33" i="35"/>
  <c r="B30" i="41"/>
  <c r="F4" i="38"/>
  <c r="F20" i="36"/>
  <c r="B32" i="42"/>
  <c r="E33" i="31"/>
  <c r="E2" i="43" s="1"/>
  <c r="F12" i="38"/>
  <c r="F5" i="31"/>
  <c r="F25" i="33"/>
  <c r="F15" i="38"/>
  <c r="F10" i="34"/>
  <c r="B31" i="37"/>
  <c r="F29" i="37"/>
  <c r="B25" i="35"/>
  <c r="F15" i="33"/>
  <c r="F13" i="37"/>
  <c r="F22" i="31"/>
  <c r="F19" i="34"/>
  <c r="B23" i="37"/>
  <c r="F21" i="39"/>
  <c r="B23" i="32"/>
  <c r="F18" i="31"/>
  <c r="B15" i="41"/>
  <c r="B7" i="32"/>
  <c r="B20" i="41"/>
  <c r="F11" i="31"/>
  <c r="F9" i="34"/>
  <c r="F7" i="37"/>
  <c r="F7" i="33"/>
  <c r="B31" i="31"/>
  <c r="B11" i="37"/>
  <c r="F16" i="42"/>
  <c r="F5" i="35"/>
  <c r="B31" i="41"/>
  <c r="M33" i="38"/>
  <c r="F15" i="40"/>
  <c r="B21" i="42"/>
  <c r="F31" i="40"/>
  <c r="F22" i="33"/>
  <c r="B28" i="39"/>
  <c r="F8" i="39"/>
  <c r="F5" i="39"/>
  <c r="F4" i="36"/>
  <c r="B25" i="34"/>
  <c r="F8" i="42"/>
  <c r="F18" i="34"/>
  <c r="B23" i="42"/>
  <c r="B20" i="39"/>
  <c r="F5" i="33"/>
  <c r="F6" i="40"/>
  <c r="F26" i="42"/>
  <c r="F26" i="37"/>
  <c r="F20" i="42"/>
  <c r="B29" i="37"/>
  <c r="F31" i="34"/>
  <c r="F29" i="32"/>
  <c r="F3" i="40"/>
  <c r="B20" i="33"/>
  <c r="F7" i="41"/>
  <c r="B24" i="37"/>
  <c r="B24" i="32"/>
  <c r="B20" i="36"/>
  <c r="F27" i="34"/>
  <c r="F13" i="35"/>
  <c r="F32" i="38"/>
  <c r="B14" i="33"/>
  <c r="B21" i="36"/>
  <c r="B29" i="38"/>
  <c r="F27" i="39"/>
  <c r="B13" i="42"/>
  <c r="J33" i="33"/>
  <c r="F12" i="34"/>
  <c r="B24" i="34"/>
  <c r="B8" i="39"/>
  <c r="B32" i="40"/>
  <c r="F17" i="37"/>
  <c r="B16" i="36"/>
  <c r="F23" i="40"/>
  <c r="F17" i="36"/>
  <c r="E32" i="39"/>
  <c r="E10" i="43" s="1"/>
  <c r="F4" i="42"/>
  <c r="F11" i="38"/>
  <c r="B30" i="40"/>
  <c r="B9" i="40"/>
  <c r="B16" i="35"/>
  <c r="B17" i="36"/>
  <c r="I32" i="36"/>
  <c r="I7" i="43" s="1"/>
  <c r="F15" i="42"/>
  <c r="B8" i="32"/>
  <c r="B24" i="39"/>
  <c r="F10" i="41"/>
  <c r="B14" i="32"/>
  <c r="B30" i="39"/>
  <c r="F20" i="37"/>
  <c r="F28" i="34"/>
  <c r="H33" i="33"/>
  <c r="H4" i="43" s="1"/>
  <c r="B8" i="41"/>
  <c r="O8" i="41" s="1"/>
  <c r="B18" i="38"/>
  <c r="F13" i="36"/>
  <c r="B7" i="33"/>
  <c r="F27" i="41"/>
  <c r="F12" i="33"/>
  <c r="H32" i="41"/>
  <c r="H12" i="43" s="1"/>
  <c r="F9" i="36"/>
  <c r="F31" i="41"/>
  <c r="F23" i="36"/>
  <c r="F8" i="32"/>
  <c r="F26" i="34"/>
  <c r="B28" i="41"/>
  <c r="F32" i="31"/>
  <c r="B21" i="33"/>
  <c r="F10" i="35"/>
  <c r="B22" i="40"/>
  <c r="F23" i="37"/>
  <c r="B22" i="34"/>
  <c r="B11" i="38"/>
  <c r="J30" i="32"/>
  <c r="F30" i="42"/>
  <c r="F11" i="36"/>
  <c r="B11" i="40"/>
  <c r="D33" i="31"/>
  <c r="D2" i="43" s="1"/>
  <c r="B26" i="36"/>
  <c r="F6" i="39"/>
  <c r="F22" i="41"/>
  <c r="B7" i="36"/>
  <c r="F7" i="36"/>
  <c r="F18" i="35"/>
  <c r="B4" i="37"/>
  <c r="B9" i="33"/>
  <c r="F16" i="37"/>
  <c r="E33" i="35"/>
  <c r="E6" i="43" s="1"/>
  <c r="F19" i="41"/>
  <c r="F5" i="36"/>
  <c r="F26" i="41"/>
  <c r="D33" i="37"/>
  <c r="D8" i="43" s="1"/>
  <c r="F23" i="33"/>
  <c r="F13" i="41"/>
  <c r="B17" i="42"/>
  <c r="O17" i="42" s="1"/>
  <c r="B13" i="34"/>
  <c r="O13" i="34" s="1"/>
  <c r="B31" i="38"/>
  <c r="O31" i="38" s="1"/>
  <c r="F30" i="35"/>
  <c r="B16" i="38"/>
  <c r="F13" i="39"/>
  <c r="B14" i="36"/>
  <c r="F3" i="36"/>
  <c r="O3" i="36" s="1"/>
  <c r="F14" i="32"/>
  <c r="F2" i="36"/>
  <c r="G32" i="36"/>
  <c r="G7" i="43" s="1"/>
  <c r="F29" i="39"/>
  <c r="O29" i="39" s="1"/>
  <c r="F16" i="31"/>
  <c r="M32" i="36"/>
  <c r="F32" i="35"/>
  <c r="B18" i="40"/>
  <c r="O18" i="40" s="1"/>
  <c r="B13" i="31"/>
  <c r="B26" i="41"/>
  <c r="F31" i="31"/>
  <c r="F6" i="34"/>
  <c r="F12" i="42"/>
  <c r="K33" i="40"/>
  <c r="D33" i="42"/>
  <c r="D13" i="43" s="1"/>
  <c r="G33" i="31"/>
  <c r="G2" i="43" s="1"/>
  <c r="F2" i="31"/>
  <c r="B3" i="39"/>
  <c r="B20" i="32"/>
  <c r="F3" i="38"/>
  <c r="F29" i="41"/>
  <c r="F20" i="41"/>
  <c r="C30" i="32"/>
  <c r="C3" i="43" s="1"/>
  <c r="B2" i="32"/>
  <c r="F5" i="37"/>
  <c r="F26" i="33"/>
  <c r="F32" i="40"/>
  <c r="I33" i="33"/>
  <c r="I4" i="43" s="1"/>
  <c r="M30" i="32"/>
  <c r="F9" i="39"/>
  <c r="B22" i="31"/>
  <c r="K33" i="42"/>
  <c r="J33" i="37"/>
  <c r="F25" i="37"/>
  <c r="F16" i="36"/>
  <c r="J33" i="31"/>
  <c r="F17" i="38"/>
  <c r="F24" i="33"/>
  <c r="B6" i="37"/>
  <c r="O6" i="37" s="1"/>
  <c r="B13" i="32"/>
  <c r="F20" i="40"/>
  <c r="F29" i="36"/>
  <c r="B20" i="34"/>
  <c r="F21" i="35"/>
  <c r="F22" i="39"/>
  <c r="B30" i="36"/>
  <c r="F24" i="42"/>
  <c r="B19" i="37"/>
  <c r="B12" i="41"/>
  <c r="B31" i="39"/>
  <c r="F7" i="32"/>
  <c r="F31" i="35"/>
  <c r="B16" i="41"/>
  <c r="C33" i="37"/>
  <c r="C8" i="43" s="1"/>
  <c r="B2" i="37"/>
  <c r="O2" i="37" s="1"/>
  <c r="F19" i="40"/>
  <c r="B18" i="35"/>
  <c r="F6" i="35"/>
  <c r="O6" i="35" s="1"/>
  <c r="H33" i="35"/>
  <c r="H6" i="43" s="1"/>
  <c r="F6" i="36"/>
  <c r="F14" i="33"/>
  <c r="O14" i="33" s="1"/>
  <c r="B29" i="41"/>
  <c r="B11" i="32"/>
  <c r="F27" i="32"/>
  <c r="F11" i="40"/>
  <c r="B25" i="33"/>
  <c r="B20" i="38"/>
  <c r="B11" i="34"/>
  <c r="B15" i="38"/>
  <c r="B9" i="36"/>
  <c r="B7" i="39"/>
  <c r="F11" i="42"/>
  <c r="F8" i="33"/>
  <c r="F4" i="33"/>
  <c r="B17" i="34"/>
  <c r="D33" i="40"/>
  <c r="D11" i="43" s="1"/>
  <c r="F14" i="41"/>
  <c r="F12" i="36"/>
  <c r="B21" i="41"/>
  <c r="F31" i="36"/>
  <c r="O31" i="36" s="1"/>
  <c r="F7" i="34"/>
  <c r="F7" i="38"/>
  <c r="F12" i="37"/>
  <c r="B17" i="41"/>
  <c r="F28" i="36"/>
  <c r="B28" i="34"/>
  <c r="O28" i="34" s="1"/>
  <c r="B9" i="42"/>
  <c r="F3" i="33"/>
  <c r="F17" i="33"/>
  <c r="B7" i="41"/>
  <c r="O7" i="41" s="1"/>
  <c r="L33" i="37"/>
  <c r="M33" i="35"/>
  <c r="I33" i="31"/>
  <c r="I2" i="43" s="1"/>
  <c r="B15" i="37"/>
  <c r="O15" i="37" s="1"/>
  <c r="F15" i="35"/>
  <c r="F15" i="41"/>
  <c r="F24" i="31"/>
  <c r="B22" i="41"/>
  <c r="F26" i="36"/>
  <c r="B7" i="37"/>
  <c r="O7" i="37" s="1"/>
  <c r="F10" i="38"/>
  <c r="B4" i="36"/>
  <c r="O4" i="36" s="1"/>
  <c r="B7" i="34"/>
  <c r="D32" i="41"/>
  <c r="D12" i="43" s="1"/>
  <c r="I32" i="39"/>
  <c r="I10" i="43" s="1"/>
  <c r="B8" i="40"/>
  <c r="B19" i="33"/>
  <c r="F8" i="35"/>
  <c r="F29" i="31"/>
  <c r="F17" i="34"/>
  <c r="F30" i="31"/>
  <c r="F25" i="34"/>
  <c r="O25" i="34" s="1"/>
  <c r="B19" i="40"/>
  <c r="B30" i="42"/>
  <c r="B16" i="33"/>
  <c r="B7" i="35"/>
  <c r="B23" i="31"/>
  <c r="F24" i="37"/>
  <c r="B24" i="42"/>
  <c r="O24" i="42" s="1"/>
  <c r="K33" i="37"/>
  <c r="B2" i="31"/>
  <c r="O2" i="31" s="1"/>
  <c r="C33" i="31"/>
  <c r="C2" i="43" s="1"/>
  <c r="F6" i="42"/>
  <c r="F20" i="31"/>
  <c r="F16" i="38"/>
  <c r="O16" i="38" s="1"/>
  <c r="F2" i="35"/>
  <c r="G33" i="35"/>
  <c r="G6" i="43" s="1"/>
  <c r="B10" i="33"/>
  <c r="O10" i="33" s="1"/>
  <c r="F10" i="37"/>
  <c r="K33" i="38"/>
  <c r="F17" i="39"/>
  <c r="B9" i="31"/>
  <c r="F18" i="41"/>
  <c r="F26" i="35"/>
  <c r="B9" i="41"/>
  <c r="B21" i="31"/>
  <c r="F3" i="41"/>
  <c r="F17" i="41"/>
  <c r="K32" i="34"/>
  <c r="F4" i="32"/>
  <c r="B6" i="32"/>
  <c r="B30" i="35"/>
  <c r="B8" i="35"/>
  <c r="B21" i="40"/>
  <c r="F2" i="41"/>
  <c r="G32" i="41"/>
  <c r="G12" i="43" s="1"/>
  <c r="F28" i="32"/>
  <c r="F22" i="37"/>
  <c r="E30" i="32"/>
  <c r="E3" i="43" s="1"/>
  <c r="B15" i="39"/>
  <c r="J32" i="36"/>
  <c r="F7" i="39"/>
  <c r="B16" i="34"/>
  <c r="O16" i="34" s="1"/>
  <c r="F23" i="42"/>
  <c r="O23" i="42" s="1"/>
  <c r="B26" i="37"/>
  <c r="O26" i="37" s="1"/>
  <c r="F11" i="32"/>
  <c r="F26" i="40"/>
  <c r="O26" i="40" s="1"/>
  <c r="B4" i="35"/>
  <c r="B11" i="42"/>
  <c r="B8" i="33"/>
  <c r="F27" i="42"/>
  <c r="F20" i="34"/>
  <c r="F12" i="31"/>
  <c r="F18" i="38"/>
  <c r="B22" i="33"/>
  <c r="L32" i="39"/>
  <c r="B14" i="42"/>
  <c r="F27" i="36"/>
  <c r="F10" i="36"/>
  <c r="L33" i="31"/>
  <c r="F28" i="40"/>
  <c r="F3" i="34"/>
  <c r="B3" i="34"/>
  <c r="F27" i="31"/>
  <c r="B32" i="38"/>
  <c r="B21" i="39"/>
  <c r="F11" i="35"/>
  <c r="F21" i="37"/>
  <c r="B15" i="32"/>
  <c r="F19" i="39"/>
  <c r="F21" i="32"/>
  <c r="F28" i="42"/>
  <c r="F8" i="31"/>
  <c r="B13" i="37"/>
  <c r="O13" i="37" s="1"/>
  <c r="J33" i="42"/>
  <c r="B12" i="42"/>
  <c r="F31" i="33"/>
  <c r="F16" i="32"/>
  <c r="F2" i="40"/>
  <c r="G33" i="40"/>
  <c r="G11" i="43" s="1"/>
  <c r="F20" i="38"/>
  <c r="B19" i="35"/>
  <c r="O19" i="35" s="1"/>
  <c r="B19" i="41"/>
  <c r="F29" i="40"/>
  <c r="B4" i="41"/>
  <c r="F25" i="36"/>
  <c r="B27" i="40"/>
  <c r="M32" i="39"/>
  <c r="B16" i="31"/>
  <c r="B2" i="42"/>
  <c r="O2" i="42" s="1"/>
  <c r="C33" i="42"/>
  <c r="B5" i="38"/>
  <c r="B7" i="42"/>
  <c r="B10" i="42"/>
  <c r="B2" i="41"/>
  <c r="O2" i="41" s="1"/>
  <c r="C32" i="41"/>
  <c r="C12" i="43" s="1"/>
  <c r="F22" i="40"/>
  <c r="F6" i="38"/>
  <c r="F10" i="42"/>
  <c r="F11" i="37"/>
  <c r="F11" i="34"/>
  <c r="B11" i="33"/>
  <c r="O11" i="33" s="1"/>
  <c r="F9" i="41"/>
  <c r="G33" i="38"/>
  <c r="G9" i="43" s="1"/>
  <c r="F2" i="38"/>
  <c r="O2" i="38" s="1"/>
  <c r="F13" i="32"/>
  <c r="F10" i="31"/>
  <c r="F28" i="41"/>
  <c r="B19" i="39"/>
  <c r="F30" i="40"/>
  <c r="B31" i="35"/>
  <c r="I32" i="34"/>
  <c r="I5" i="43" s="1"/>
  <c r="F24" i="34"/>
  <c r="B20" i="35"/>
  <c r="F19" i="32"/>
  <c r="B2" i="34"/>
  <c r="C32" i="34"/>
  <c r="C5" i="43" s="1"/>
  <c r="B23" i="38"/>
  <c r="B4" i="40"/>
  <c r="O4" i="40" s="1"/>
  <c r="B19" i="32"/>
  <c r="B15" i="35"/>
  <c r="O15" i="35" s="1"/>
  <c r="E33" i="33"/>
  <c r="E4" i="43" s="1"/>
  <c r="F13" i="40"/>
  <c r="O13" i="40" s="1"/>
  <c r="F24" i="38"/>
  <c r="F13" i="31"/>
  <c r="I30" i="32"/>
  <c r="I3" i="43" s="1"/>
  <c r="B24" i="40"/>
  <c r="E33" i="42"/>
  <c r="E13" i="43" s="1"/>
  <c r="F30" i="37"/>
  <c r="D32" i="39"/>
  <c r="D10" i="43" s="1"/>
  <c r="F18" i="39"/>
  <c r="F16" i="33"/>
  <c r="D33" i="35"/>
  <c r="D6" i="43" s="1"/>
  <c r="B16" i="37"/>
  <c r="F14" i="39"/>
  <c r="B8" i="38"/>
  <c r="B28" i="35"/>
  <c r="O28" i="35" s="1"/>
  <c r="H32" i="34"/>
  <c r="H5" i="43" s="1"/>
  <c r="F18" i="42"/>
  <c r="O18" i="42" s="1"/>
  <c r="B22" i="36"/>
  <c r="F25" i="35"/>
  <c r="B23" i="41"/>
  <c r="O23" i="41" s="1"/>
  <c r="B8" i="37"/>
  <c r="H33" i="31"/>
  <c r="H2" i="43" s="1"/>
  <c r="B3" i="38"/>
  <c r="F28" i="31"/>
  <c r="B3" i="41"/>
  <c r="O3" i="41" s="1"/>
  <c r="B12" i="32"/>
  <c r="F29" i="33"/>
  <c r="F2" i="39"/>
  <c r="G32" i="39"/>
  <c r="G10" i="43" s="1"/>
  <c r="F12" i="35"/>
  <c r="B6" i="33"/>
  <c r="F10" i="40"/>
  <c r="F22" i="35"/>
  <c r="K32" i="36"/>
  <c r="F21" i="38"/>
  <c r="F5" i="32"/>
  <c r="F23" i="35"/>
  <c r="B16" i="39"/>
  <c r="B15" i="34"/>
  <c r="B28" i="32"/>
  <c r="B4" i="34"/>
  <c r="B14" i="39"/>
  <c r="K33" i="31"/>
  <c r="B27" i="33"/>
  <c r="J33" i="40"/>
  <c r="F20" i="35"/>
  <c r="C32" i="36"/>
  <c r="C7" i="43" s="1"/>
  <c r="B2" i="36"/>
  <c r="M33" i="42"/>
  <c r="F16" i="40"/>
  <c r="B3" i="42"/>
  <c r="O3" i="42" s="1"/>
  <c r="F19" i="36"/>
  <c r="B31" i="42"/>
  <c r="F24" i="41"/>
  <c r="B12" i="31"/>
  <c r="O12" i="31" s="1"/>
  <c r="B25" i="41"/>
  <c r="O25" i="41" s="1"/>
  <c r="H32" i="39"/>
  <c r="H10" i="43" s="1"/>
  <c r="B17" i="33"/>
  <c r="B4" i="42"/>
  <c r="F6" i="31"/>
  <c r="E32" i="41"/>
  <c r="E12" i="43" s="1"/>
  <c r="B23" i="33"/>
  <c r="B29" i="33"/>
  <c r="O29" i="33" s="1"/>
  <c r="B6" i="36"/>
  <c r="O6" i="36" s="1"/>
  <c r="B10" i="31"/>
  <c r="O10" i="31" s="1"/>
  <c r="F31" i="42"/>
  <c r="K32" i="41"/>
  <c r="B6" i="38"/>
  <c r="O6" i="38" s="1"/>
  <c r="B13" i="38"/>
  <c r="B30" i="34"/>
  <c r="F7" i="31"/>
  <c r="H33" i="42"/>
  <c r="H13" i="43" s="1"/>
  <c r="B31" i="33"/>
  <c r="B29" i="35"/>
  <c r="F27" i="40"/>
  <c r="E32" i="36"/>
  <c r="E7" i="43" s="1"/>
  <c r="B30" i="33"/>
  <c r="F14" i="35"/>
  <c r="B5" i="40"/>
  <c r="F5" i="40"/>
  <c r="B15" i="40"/>
  <c r="B22" i="42"/>
  <c r="B12" i="36"/>
  <c r="F25" i="38"/>
  <c r="F17" i="40"/>
  <c r="F11" i="39"/>
  <c r="B19" i="38"/>
  <c r="O19" i="38" s="1"/>
  <c r="F22" i="32"/>
  <c r="B28" i="42"/>
  <c r="F4" i="41"/>
  <c r="B26" i="34"/>
  <c r="O26" i="34" s="1"/>
  <c r="F30" i="41"/>
  <c r="B10" i="37"/>
  <c r="O10" i="37" s="1"/>
  <c r="B14" i="41"/>
  <c r="B6" i="39"/>
  <c r="B3" i="32"/>
  <c r="O3" i="32" s="1"/>
  <c r="J32" i="41"/>
  <c r="B24" i="31"/>
  <c r="B20" i="31"/>
  <c r="B5" i="36"/>
  <c r="O5" i="36" s="1"/>
  <c r="K33" i="35"/>
  <c r="F15" i="34"/>
  <c r="F14" i="40"/>
  <c r="F21" i="40"/>
  <c r="F16" i="34"/>
  <c r="B12" i="40"/>
  <c r="F6" i="32"/>
  <c r="B9" i="35"/>
  <c r="B14" i="38"/>
  <c r="F9" i="33"/>
  <c r="F13" i="38"/>
  <c r="B7" i="31"/>
  <c r="F17" i="35"/>
  <c r="F16" i="41"/>
  <c r="B25" i="32"/>
  <c r="J32" i="34"/>
  <c r="F16" i="39"/>
  <c r="O16" i="39" s="1"/>
  <c r="B19" i="42"/>
  <c r="F23" i="38"/>
  <c r="B9" i="38"/>
  <c r="O9" i="38" s="1"/>
  <c r="B21" i="34"/>
  <c r="B13" i="35"/>
  <c r="B28" i="37"/>
  <c r="D30" i="32"/>
  <c r="D3" i="43" s="1"/>
  <c r="F21" i="36"/>
  <c r="F8" i="38"/>
  <c r="O8" i="38" s="1"/>
  <c r="F14" i="42"/>
  <c r="F22" i="34"/>
  <c r="B14" i="34"/>
  <c r="F12" i="39"/>
  <c r="B18" i="31"/>
  <c r="F25" i="40"/>
  <c r="B16" i="32"/>
  <c r="B22" i="35"/>
  <c r="F21" i="41"/>
  <c r="E33" i="38"/>
  <c r="E9" i="43" s="1"/>
  <c r="F21" i="33"/>
  <c r="B6" i="40"/>
  <c r="F23" i="32"/>
  <c r="F14" i="37"/>
  <c r="B21" i="32"/>
  <c r="O21" i="32" s="1"/>
  <c r="M33" i="40"/>
  <c r="F23" i="31"/>
  <c r="B11" i="35"/>
  <c r="F21" i="31"/>
  <c r="B19" i="31"/>
  <c r="B12" i="33"/>
  <c r="B19" i="36"/>
  <c r="O19" i="36" s="1"/>
  <c r="B25" i="31"/>
  <c r="O25" i="31" s="1"/>
  <c r="B6" i="42"/>
  <c r="L33" i="40"/>
  <c r="B32" i="35"/>
  <c r="O32" i="35" s="1"/>
  <c r="B18" i="36"/>
  <c r="B13" i="36"/>
  <c r="O13" i="36" s="1"/>
  <c r="B22" i="38"/>
  <c r="F8" i="40"/>
  <c r="F19" i="42"/>
  <c r="B23" i="34"/>
  <c r="H33" i="38"/>
  <c r="H9" i="43" s="1"/>
  <c r="B16" i="42"/>
  <c r="B18" i="39"/>
  <c r="O18" i="39" s="1"/>
  <c r="B10" i="36"/>
  <c r="F27" i="35"/>
  <c r="F14" i="38"/>
  <c r="B31" i="40"/>
  <c r="O31" i="40" s="1"/>
  <c r="F32" i="42"/>
  <c r="I33" i="40"/>
  <c r="I11" i="43" s="1"/>
  <c r="F21" i="42"/>
  <c r="B32" i="37"/>
  <c r="B30" i="38"/>
  <c r="E33" i="40"/>
  <c r="E11" i="43" s="1"/>
  <c r="F15" i="39"/>
  <c r="B18" i="37"/>
  <c r="O18" i="37" s="1"/>
  <c r="B25" i="37"/>
  <c r="O25" i="37" s="1"/>
  <c r="B5" i="41"/>
  <c r="B30" i="37"/>
  <c r="F9" i="32"/>
  <c r="F9" i="35"/>
  <c r="O28" i="39"/>
  <c r="O32" i="40"/>
  <c r="O7" i="42"/>
  <c r="O15" i="38"/>
  <c r="O24" i="36"/>
  <c r="O19" i="15"/>
  <c r="F20" i="15"/>
  <c r="B21" i="15"/>
  <c r="B20" i="15"/>
  <c r="F21" i="15"/>
  <c r="O22" i="39" l="1"/>
  <c r="O24" i="31"/>
  <c r="O31" i="42"/>
  <c r="O17" i="33"/>
  <c r="O30" i="42"/>
  <c r="O3" i="39"/>
  <c r="O26" i="42"/>
  <c r="O15" i="39"/>
  <c r="O8" i="40"/>
  <c r="O25" i="40"/>
  <c r="O22" i="34"/>
  <c r="O22" i="32"/>
  <c r="O30" i="40"/>
  <c r="O25" i="36"/>
  <c r="O15" i="41"/>
  <c r="O3" i="33"/>
  <c r="O19" i="37"/>
  <c r="O6" i="34"/>
  <c r="O22" i="40"/>
  <c r="O16" i="35"/>
  <c r="O5" i="35"/>
  <c r="O14" i="34"/>
  <c r="O14" i="31"/>
  <c r="O23" i="39"/>
  <c r="O25" i="39"/>
  <c r="O29" i="34"/>
  <c r="O6" i="41"/>
  <c r="O23" i="40"/>
  <c r="O11" i="37"/>
  <c r="O14" i="36"/>
  <c r="O12" i="34"/>
  <c r="O18" i="33"/>
  <c r="O29" i="31"/>
  <c r="O5" i="42"/>
  <c r="O31" i="34"/>
  <c r="O27" i="31"/>
  <c r="O9" i="35"/>
  <c r="O8" i="32"/>
  <c r="O12" i="38"/>
  <c r="O4" i="38"/>
  <c r="O20" i="35"/>
  <c r="B32" i="39"/>
  <c r="B10" i="43" s="1"/>
  <c r="O30" i="35"/>
  <c r="O28" i="41"/>
  <c r="O20" i="41"/>
  <c r="O25" i="33"/>
  <c r="O32" i="42"/>
  <c r="O10" i="41"/>
  <c r="O9" i="39"/>
  <c r="O30" i="36"/>
  <c r="O17" i="31"/>
  <c r="O10" i="34"/>
  <c r="O15" i="33"/>
  <c r="O21" i="37"/>
  <c r="O27" i="35"/>
  <c r="O22" i="38"/>
  <c r="O25" i="32"/>
  <c r="O9" i="41"/>
  <c r="O30" i="31"/>
  <c r="O9" i="42"/>
  <c r="O12" i="37"/>
  <c r="O17" i="34"/>
  <c r="O20" i="32"/>
  <c r="O22" i="41"/>
  <c r="O17" i="37"/>
  <c r="O7" i="32"/>
  <c r="O11" i="41"/>
  <c r="O28" i="40"/>
  <c r="O3" i="35"/>
  <c r="O23" i="35"/>
  <c r="O8" i="37"/>
  <c r="O27" i="42"/>
  <c r="O30" i="38"/>
  <c r="O23" i="34"/>
  <c r="O4" i="41"/>
  <c r="O5" i="38"/>
  <c r="O29" i="40"/>
  <c r="O24" i="37"/>
  <c r="O4" i="33"/>
  <c r="O9" i="36"/>
  <c r="O24" i="33"/>
  <c r="O26" i="33"/>
  <c r="O32" i="37"/>
  <c r="O18" i="36"/>
  <c r="O17" i="35"/>
  <c r="O10" i="38"/>
  <c r="O14" i="32"/>
  <c r="O20" i="36"/>
  <c r="O5" i="39"/>
  <c r="O19" i="34"/>
  <c r="O4" i="39"/>
  <c r="O24" i="35"/>
  <c r="O10" i="39"/>
  <c r="O7" i="40"/>
  <c r="F33" i="37"/>
  <c r="F8" i="43" s="1"/>
  <c r="O6" i="39"/>
  <c r="O19" i="33"/>
  <c r="O13" i="32"/>
  <c r="F33" i="33"/>
  <c r="F4" i="43" s="1"/>
  <c r="O21" i="33"/>
  <c r="O21" i="36"/>
  <c r="O22" i="35"/>
  <c r="O24" i="40"/>
  <c r="O19" i="32"/>
  <c r="O2" i="40"/>
  <c r="O22" i="33"/>
  <c r="O18" i="41"/>
  <c r="O23" i="31"/>
  <c r="O28" i="36"/>
  <c r="O8" i="33"/>
  <c r="O16" i="41"/>
  <c r="O20" i="40"/>
  <c r="O17" i="38"/>
  <c r="F33" i="31"/>
  <c r="F2" i="43" s="1"/>
  <c r="O12" i="42"/>
  <c r="O26" i="41"/>
  <c r="O26" i="36"/>
  <c r="O32" i="31"/>
  <c r="O23" i="36"/>
  <c r="O12" i="33"/>
  <c r="O24" i="39"/>
  <c r="O17" i="36"/>
  <c r="O8" i="39"/>
  <c r="O13" i="42"/>
  <c r="O20" i="33"/>
  <c r="O18" i="34"/>
  <c r="O11" i="31"/>
  <c r="O9" i="32"/>
  <c r="O10" i="35"/>
  <c r="O4" i="35"/>
  <c r="O31" i="39"/>
  <c r="O3" i="37"/>
  <c r="O29" i="42"/>
  <c r="O26" i="32"/>
  <c r="O17" i="32"/>
  <c r="O13" i="39"/>
  <c r="O20" i="42"/>
  <c r="O5" i="37"/>
  <c r="L6" i="43"/>
  <c r="O27" i="34"/>
  <c r="O9" i="37"/>
  <c r="O9" i="34"/>
  <c r="O28" i="33"/>
  <c r="O15" i="36"/>
  <c r="O2" i="35"/>
  <c r="O14" i="38"/>
  <c r="O11" i="35"/>
  <c r="O30" i="41"/>
  <c r="O5" i="32"/>
  <c r="O10" i="40"/>
  <c r="O28" i="31"/>
  <c r="O16" i="37"/>
  <c r="O21" i="31"/>
  <c r="O21" i="35"/>
  <c r="B30" i="32"/>
  <c r="B3" i="43" s="1"/>
  <c r="O7" i="36"/>
  <c r="O31" i="41"/>
  <c r="O30" i="39"/>
  <c r="O24" i="32"/>
  <c r="O3" i="40"/>
  <c r="O6" i="31"/>
  <c r="B33" i="40"/>
  <c r="B11" i="43" s="1"/>
  <c r="O21" i="34"/>
  <c r="O17" i="40"/>
  <c r="O5" i="41"/>
  <c r="O18" i="31"/>
  <c r="O6" i="32"/>
  <c r="O14" i="40"/>
  <c r="O27" i="40"/>
  <c r="O21" i="38"/>
  <c r="O25" i="35"/>
  <c r="O13" i="31"/>
  <c r="O16" i="31"/>
  <c r="O31" i="31"/>
  <c r="O20" i="39"/>
  <c r="F33" i="42"/>
  <c r="F13" i="43" s="1"/>
  <c r="O25" i="38"/>
  <c r="F32" i="39"/>
  <c r="F10" i="43" s="1"/>
  <c r="O27" i="36"/>
  <c r="O22" i="37"/>
  <c r="F30" i="32"/>
  <c r="F3" i="43" s="1"/>
  <c r="O9" i="31"/>
  <c r="B33" i="35"/>
  <c r="B6" i="43" s="1"/>
  <c r="O27" i="32"/>
  <c r="F32" i="36"/>
  <c r="F7" i="43" s="1"/>
  <c r="O10" i="36"/>
  <c r="O6" i="40"/>
  <c r="O12" i="39"/>
  <c r="O19" i="42"/>
  <c r="O9" i="33"/>
  <c r="O12" i="40"/>
  <c r="O14" i="41"/>
  <c r="F32" i="41"/>
  <c r="F12" i="43" s="1"/>
  <c r="O11" i="39"/>
  <c r="O22" i="42"/>
  <c r="O29" i="35"/>
  <c r="O30" i="34"/>
  <c r="O16" i="40"/>
  <c r="O12" i="35"/>
  <c r="O12" i="32"/>
  <c r="B33" i="38"/>
  <c r="B9" i="43" s="1"/>
  <c r="O25" i="42"/>
  <c r="B32" i="36"/>
  <c r="B7" i="43" s="1"/>
  <c r="F32" i="34"/>
  <c r="F5" i="43" s="1"/>
  <c r="O3" i="34"/>
  <c r="O21" i="42"/>
  <c r="B33" i="33"/>
  <c r="B4" i="43" s="1"/>
  <c r="K4" i="43" s="1"/>
  <c r="O27" i="39"/>
  <c r="O14" i="37"/>
  <c r="B33" i="31"/>
  <c r="B2" i="43" s="1"/>
  <c r="K2" i="43" s="1"/>
  <c r="O4" i="32"/>
  <c r="O2" i="36"/>
  <c r="F33" i="40"/>
  <c r="F11" i="43" s="1"/>
  <c r="O5" i="33"/>
  <c r="B33" i="42"/>
  <c r="B13" i="43" s="1"/>
  <c r="B32" i="34"/>
  <c r="B5" i="43" s="1"/>
  <c r="K5" i="43" s="1"/>
  <c r="O2" i="34"/>
  <c r="L13" i="43"/>
  <c r="B32" i="41"/>
  <c r="B12" i="43" s="1"/>
  <c r="F33" i="35"/>
  <c r="F6" i="43" s="1"/>
  <c r="O7" i="35"/>
  <c r="O23" i="32"/>
  <c r="O28" i="37"/>
  <c r="O23" i="38"/>
  <c r="O13" i="38"/>
  <c r="O20" i="31"/>
  <c r="L7" i="43"/>
  <c r="L11" i="43"/>
  <c r="O7" i="31"/>
  <c r="O4" i="42"/>
  <c r="O15" i="34"/>
  <c r="L4" i="43"/>
  <c r="O3" i="38"/>
  <c r="O30" i="37"/>
  <c r="O24" i="34"/>
  <c r="O19" i="39"/>
  <c r="O11" i="34"/>
  <c r="L12" i="43"/>
  <c r="O8" i="31"/>
  <c r="O15" i="32"/>
  <c r="O32" i="38"/>
  <c r="O14" i="42"/>
  <c r="O11" i="42"/>
  <c r="O28" i="32"/>
  <c r="O8" i="35"/>
  <c r="O6" i="42"/>
  <c r="O16" i="33"/>
  <c r="O7" i="34"/>
  <c r="O7" i="39"/>
  <c r="O20" i="38"/>
  <c r="O11" i="32"/>
  <c r="O20" i="34"/>
  <c r="O16" i="36"/>
  <c r="O22" i="31"/>
  <c r="O23" i="33"/>
  <c r="O19" i="41"/>
  <c r="O4" i="37"/>
  <c r="O11" i="40"/>
  <c r="O11" i="38"/>
  <c r="O7" i="33"/>
  <c r="O15" i="42"/>
  <c r="O9" i="40"/>
  <c r="O29" i="38"/>
  <c r="O13" i="35"/>
  <c r="O16" i="42"/>
  <c r="L3" i="43"/>
  <c r="O21" i="39"/>
  <c r="O31" i="37"/>
  <c r="O29" i="36"/>
  <c r="O8" i="34"/>
  <c r="O8" i="42"/>
  <c r="O14" i="35"/>
  <c r="O12" i="41"/>
  <c r="O4" i="31"/>
  <c r="O10" i="32"/>
  <c r="O13" i="41"/>
  <c r="O7" i="38"/>
  <c r="O16" i="32"/>
  <c r="O28" i="42"/>
  <c r="O4" i="34"/>
  <c r="O31" i="35"/>
  <c r="O19" i="40"/>
  <c r="O18" i="35"/>
  <c r="O29" i="37"/>
  <c r="O26" i="38"/>
  <c r="L9" i="43"/>
  <c r="O5" i="40"/>
  <c r="L10" i="43"/>
  <c r="O27" i="33"/>
  <c r="O10" i="42"/>
  <c r="O21" i="40"/>
  <c r="O17" i="41"/>
  <c r="O2" i="32"/>
  <c r="O26" i="35"/>
  <c r="O2" i="39"/>
  <c r="O27" i="37"/>
  <c r="O20" i="37"/>
  <c r="O27" i="41"/>
  <c r="O21" i="41"/>
  <c r="O6" i="33"/>
  <c r="F33" i="38"/>
  <c r="F9" i="43" s="1"/>
  <c r="B33" i="37"/>
  <c r="B8" i="43" s="1"/>
  <c r="O12" i="36"/>
  <c r="O19" i="31"/>
  <c r="O14" i="39"/>
  <c r="O22" i="36"/>
  <c r="O11" i="36"/>
  <c r="O23" i="37"/>
  <c r="O5" i="31"/>
  <c r="O24" i="38"/>
  <c r="O26" i="31"/>
  <c r="O24" i="41"/>
  <c r="L5" i="43"/>
  <c r="L2" i="43"/>
  <c r="L8" i="43"/>
  <c r="O15" i="40"/>
  <c r="O30" i="33"/>
  <c r="O31" i="33"/>
  <c r="O18" i="38"/>
  <c r="O26" i="39"/>
  <c r="O17" i="39"/>
  <c r="O29" i="32"/>
  <c r="O20" i="15"/>
  <c r="O21" i="15"/>
  <c r="O33" i="37" l="1"/>
  <c r="K3" i="43"/>
  <c r="O32" i="39"/>
  <c r="O33" i="35"/>
  <c r="O32" i="34"/>
  <c r="K7" i="43"/>
  <c r="O33" i="40"/>
  <c r="O32" i="36"/>
  <c r="O33" i="31"/>
  <c r="O33" i="42"/>
  <c r="O33" i="33"/>
  <c r="O30" i="32"/>
  <c r="O32" i="41"/>
  <c r="O33" i="38"/>
  <c r="B23" i="15"/>
  <c r="F23" i="15"/>
  <c r="O23" i="15" l="1"/>
  <c r="B24" i="15" l="1"/>
  <c r="F24" i="15"/>
  <c r="O24" i="15" l="1"/>
  <c r="B25" i="15" l="1"/>
  <c r="F25" i="15"/>
  <c r="O25" i="15" l="1"/>
  <c r="B26" i="15"/>
  <c r="F26" i="15"/>
  <c r="O26" i="15" l="1"/>
  <c r="B27" i="15"/>
  <c r="F27" i="15"/>
  <c r="B28" i="15" l="1"/>
  <c r="F28" i="15"/>
  <c r="O27" i="15"/>
  <c r="F30" i="15" l="1"/>
  <c r="B30" i="15"/>
  <c r="B31" i="15" l="1"/>
  <c r="F31" i="15"/>
  <c r="O30" i="15"/>
  <c r="O31" i="15" l="1"/>
  <c r="F32" i="15"/>
  <c r="B32" i="15"/>
  <c r="O32" i="15" l="1"/>
  <c r="B2" i="16" l="1"/>
  <c r="B3" i="16" l="1"/>
  <c r="B6" i="16" l="1"/>
  <c r="F6" i="16"/>
  <c r="B7" i="16" l="1"/>
  <c r="F7" i="16"/>
  <c r="O6" i="16"/>
  <c r="F8" i="16" l="1"/>
  <c r="B8" i="16"/>
  <c r="O8" i="16" l="1"/>
  <c r="B9" i="16"/>
  <c r="F9" i="16"/>
  <c r="B2" i="30" l="1"/>
  <c r="B3" i="30"/>
  <c r="F2" i="30"/>
  <c r="F3" i="30"/>
  <c r="B10" i="16"/>
  <c r="F10" i="16"/>
  <c r="B4" i="30" l="1"/>
  <c r="F4" i="30"/>
  <c r="O3" i="30"/>
  <c r="O2" i="30"/>
  <c r="O10" i="16"/>
  <c r="F11" i="16"/>
  <c r="B11" i="16"/>
  <c r="F5" i="30" l="1"/>
  <c r="B5" i="30"/>
  <c r="O4" i="30"/>
  <c r="F13" i="16"/>
  <c r="B13" i="16"/>
  <c r="O11" i="16"/>
  <c r="O5" i="30" l="1"/>
  <c r="F14" i="16"/>
  <c r="B14" i="16"/>
  <c r="O13" i="16"/>
  <c r="B7" i="30" l="1"/>
  <c r="F14" i="30"/>
  <c r="B10" i="30"/>
  <c r="F10" i="30"/>
  <c r="F7" i="30"/>
  <c r="F11" i="30"/>
  <c r="B11" i="30"/>
  <c r="F9" i="30"/>
  <c r="B9" i="30"/>
  <c r="B12" i="30"/>
  <c r="F12" i="30"/>
  <c r="F8" i="30"/>
  <c r="B8" i="30"/>
  <c r="B14" i="30"/>
  <c r="O14" i="16"/>
  <c r="B15" i="16"/>
  <c r="F15" i="16"/>
  <c r="B15" i="30" l="1"/>
  <c r="F15" i="30"/>
  <c r="O14" i="30"/>
  <c r="O12" i="30"/>
  <c r="O8" i="30"/>
  <c r="O9" i="30"/>
  <c r="O10" i="30"/>
  <c r="O7" i="30"/>
  <c r="O11" i="30"/>
  <c r="F16" i="16"/>
  <c r="B16" i="16"/>
  <c r="O15" i="16"/>
  <c r="B19" i="30" l="1"/>
  <c r="F21" i="30"/>
  <c r="B31" i="30"/>
  <c r="B21" i="30"/>
  <c r="B18" i="30"/>
  <c r="F30" i="30"/>
  <c r="F25" i="30"/>
  <c r="F22" i="30"/>
  <c r="B30" i="30"/>
  <c r="B32" i="30"/>
  <c r="F31" i="30"/>
  <c r="B22" i="30"/>
  <c r="B24" i="30"/>
  <c r="B25" i="30"/>
  <c r="F18" i="30"/>
  <c r="B23" i="30"/>
  <c r="F17" i="30"/>
  <c r="F19" i="30"/>
  <c r="O19" i="30" s="1"/>
  <c r="F28" i="30"/>
  <c r="B28" i="30"/>
  <c r="B29" i="30"/>
  <c r="F24" i="30"/>
  <c r="F29" i="30"/>
  <c r="B17" i="30"/>
  <c r="F32" i="30"/>
  <c r="F23" i="30"/>
  <c r="O15" i="30"/>
  <c r="O16" i="16"/>
  <c r="F17" i="16"/>
  <c r="B17" i="16"/>
  <c r="O31" i="30" l="1"/>
  <c r="O22" i="30"/>
  <c r="O24" i="30"/>
  <c r="O30" i="30"/>
  <c r="O21" i="30"/>
  <c r="O28" i="30"/>
  <c r="O25" i="30"/>
  <c r="O32" i="30"/>
  <c r="O17" i="30"/>
  <c r="O18" i="30"/>
  <c r="O23" i="30"/>
  <c r="O29" i="30"/>
  <c r="O17" i="16"/>
  <c r="B18" i="16"/>
  <c r="F18" i="16"/>
  <c r="B20" i="16" l="1"/>
  <c r="F20" i="16"/>
  <c r="O18" i="16" l="1"/>
  <c r="O20" i="16"/>
  <c r="B21" i="16" l="1"/>
  <c r="F21" i="16"/>
  <c r="O21" i="16" l="1"/>
  <c r="B22" i="16"/>
  <c r="F22" i="16"/>
  <c r="C11" i="19"/>
  <c r="K2" i="21"/>
  <c r="K30" i="21"/>
  <c r="C27" i="30"/>
  <c r="M29" i="21"/>
  <c r="J9" i="21"/>
  <c r="D16" i="21"/>
  <c r="K26" i="30"/>
  <c r="D2" i="21"/>
  <c r="G13" i="30"/>
  <c r="L6" i="30"/>
  <c r="D29" i="21"/>
  <c r="C13" i="30"/>
  <c r="K11" i="21"/>
  <c r="E9" i="21"/>
  <c r="D26" i="30"/>
  <c r="G16" i="30"/>
  <c r="G6" i="30"/>
  <c r="L16" i="21"/>
  <c r="G26" i="30"/>
  <c r="H23" i="21"/>
  <c r="G15" i="21"/>
  <c r="L20" i="30"/>
  <c r="C2" i="21"/>
  <c r="C26" i="30"/>
  <c r="H2" i="21"/>
  <c r="I16" i="21"/>
  <c r="K16" i="30"/>
  <c r="C9" i="21"/>
  <c r="E15" i="21"/>
  <c r="J2" i="21"/>
  <c r="G29" i="21"/>
  <c r="H9" i="21"/>
  <c r="I23" i="21"/>
  <c r="H26" i="30"/>
  <c r="J13" i="30"/>
  <c r="J15" i="21"/>
  <c r="I2" i="21"/>
  <c r="L11" i="21"/>
  <c r="D6" i="30"/>
  <c r="M23" i="21"/>
  <c r="L16" i="30"/>
  <c r="G16" i="21"/>
  <c r="L27" i="30"/>
  <c r="C30" i="21"/>
  <c r="E16" i="30"/>
  <c r="C20" i="30"/>
  <c r="I27" i="30"/>
  <c r="E29" i="21"/>
  <c r="C23" i="21"/>
  <c r="K20" i="30"/>
  <c r="J16" i="21"/>
  <c r="E13" i="30"/>
  <c r="I20" i="30"/>
  <c r="D27" i="30"/>
  <c r="H27" i="30"/>
  <c r="E16" i="21"/>
  <c r="L2" i="21"/>
  <c r="J27" i="30"/>
  <c r="C16" i="21"/>
  <c r="G30" i="21"/>
  <c r="M9" i="21"/>
  <c r="K9" i="21"/>
  <c r="C6" i="30"/>
  <c r="M26" i="30"/>
  <c r="D9" i="21"/>
  <c r="J20" i="30"/>
  <c r="E30" i="21"/>
  <c r="I9" i="21"/>
  <c r="G20" i="30"/>
  <c r="M15" i="21"/>
  <c r="H15" i="21"/>
  <c r="E26" i="30"/>
  <c r="H6" i="30"/>
  <c r="L4" i="21"/>
  <c r="K15" i="21"/>
  <c r="M27" i="30"/>
  <c r="K29" i="21"/>
  <c r="E23" i="21"/>
  <c r="I6" i="30"/>
  <c r="K13" i="30"/>
  <c r="D15" i="21"/>
  <c r="C16" i="30"/>
  <c r="L23" i="21"/>
  <c r="M11" i="21"/>
  <c r="E20" i="30"/>
  <c r="E27" i="30"/>
  <c r="I30" i="21"/>
  <c r="L26" i="30"/>
  <c r="D16" i="30"/>
  <c r="H29" i="21"/>
  <c r="D23" i="21"/>
  <c r="M13" i="30"/>
  <c r="G9" i="21"/>
  <c r="I13" i="30"/>
  <c r="K16" i="21"/>
  <c r="K6" i="30"/>
  <c r="C29" i="21"/>
  <c r="H30" i="21"/>
  <c r="M4" i="21"/>
  <c r="M2" i="21"/>
  <c r="J16" i="30"/>
  <c r="M16" i="30"/>
  <c r="K23" i="21"/>
  <c r="I26" i="30"/>
  <c r="G27" i="30"/>
  <c r="K27" i="30"/>
  <c r="M20" i="30"/>
  <c r="J30" i="21"/>
  <c r="I15" i="21"/>
  <c r="H13" i="30"/>
  <c r="D20" i="30"/>
  <c r="M6" i="30"/>
  <c r="E2" i="21"/>
  <c r="L29" i="21"/>
  <c r="I29" i="21"/>
  <c r="J26" i="30"/>
  <c r="M30" i="21"/>
  <c r="D13" i="30"/>
  <c r="G23" i="21"/>
  <c r="D30" i="21"/>
  <c r="M16" i="21"/>
  <c r="G2" i="21"/>
  <c r="H16" i="30"/>
  <c r="L30" i="21"/>
  <c r="I16" i="30"/>
  <c r="E6" i="30"/>
  <c r="C15" i="21"/>
  <c r="J6" i="30"/>
  <c r="L9" i="21"/>
  <c r="J23" i="21"/>
  <c r="J29" i="21"/>
  <c r="H16" i="21"/>
  <c r="L13" i="30"/>
  <c r="H20" i="30"/>
  <c r="L15" i="21"/>
  <c r="F20" i="30" l="1"/>
  <c r="K33" i="30"/>
  <c r="F27" i="30"/>
  <c r="M33" i="30"/>
  <c r="F6" i="30"/>
  <c r="G33" i="30"/>
  <c r="E33" i="30"/>
  <c r="L33" i="30"/>
  <c r="F16" i="30"/>
  <c r="I33" i="30"/>
  <c r="F13" i="30"/>
  <c r="C33" i="30"/>
  <c r="B6" i="30"/>
  <c r="B20" i="30"/>
  <c r="F26" i="30"/>
  <c r="J33" i="30"/>
  <c r="D33" i="30"/>
  <c r="B13" i="30"/>
  <c r="B26" i="30"/>
  <c r="O26" i="30" s="1"/>
  <c r="B16" i="30"/>
  <c r="H33" i="30"/>
  <c r="B27" i="30"/>
  <c r="B23" i="16"/>
  <c r="F23" i="16"/>
  <c r="O22" i="16"/>
  <c r="I9" i="27" l="1"/>
  <c r="G9" i="27"/>
  <c r="H9" i="27"/>
  <c r="D9" i="27"/>
  <c r="C9" i="27"/>
  <c r="E9" i="27"/>
  <c r="O27" i="30"/>
  <c r="O13" i="30"/>
  <c r="O16" i="30"/>
  <c r="F33" i="30"/>
  <c r="L9" i="27"/>
  <c r="O20" i="30"/>
  <c r="B33" i="30"/>
  <c r="O6" i="30"/>
  <c r="O23" i="16"/>
  <c r="B24" i="16"/>
  <c r="F24" i="16"/>
  <c r="F9" i="27" l="1"/>
  <c r="B9" i="27"/>
  <c r="M9" i="43" s="1"/>
  <c r="O33" i="30"/>
  <c r="O24" i="16"/>
  <c r="K9" i="43" l="1"/>
  <c r="B25" i="16"/>
  <c r="F25" i="16"/>
  <c r="F26" i="16" l="1"/>
  <c r="B26" i="16"/>
  <c r="O25" i="16"/>
  <c r="O26" i="16" l="1"/>
  <c r="B27" i="16"/>
  <c r="F27" i="16"/>
  <c r="O27" i="16" l="1"/>
  <c r="F28" i="16"/>
  <c r="B28" i="16"/>
  <c r="O28" i="16" l="1"/>
  <c r="F29" i="16"/>
  <c r="B29" i="16"/>
  <c r="O29" i="16" l="1"/>
  <c r="F2" i="17"/>
  <c r="B2" i="17"/>
  <c r="O2" i="17" l="1"/>
  <c r="F3" i="17"/>
  <c r="B3" i="17"/>
  <c r="O3" i="17" l="1"/>
  <c r="B4" i="17"/>
  <c r="F4" i="17"/>
  <c r="O4" i="17" l="1"/>
  <c r="B6" i="17"/>
  <c r="F6" i="17"/>
  <c r="O6" i="17" l="1"/>
  <c r="F7" i="17"/>
  <c r="B7" i="17"/>
  <c r="O7" i="17" l="1"/>
  <c r="B8" i="17" l="1"/>
  <c r="F8" i="17"/>
  <c r="O8" i="17" l="1"/>
  <c r="F9" i="17" l="1"/>
  <c r="B9" i="17"/>
  <c r="F10" i="17" l="1"/>
  <c r="B10" i="17"/>
  <c r="O9" i="17"/>
  <c r="O10" i="17" l="1"/>
  <c r="F11" i="17"/>
  <c r="B11" i="17"/>
  <c r="O11" i="17" l="1"/>
  <c r="B13" i="17"/>
  <c r="F13" i="17"/>
  <c r="O13" i="17" l="1"/>
  <c r="F14" i="17"/>
  <c r="B14" i="17"/>
  <c r="O14" i="17" l="1"/>
  <c r="F15" i="17"/>
  <c r="B15" i="17"/>
  <c r="F16" i="17" l="1"/>
  <c r="B16" i="17"/>
  <c r="O15" i="17"/>
  <c r="O16" i="17" l="1"/>
  <c r="B17" i="17" l="1"/>
  <c r="F17" i="17"/>
  <c r="F18" i="17" l="1"/>
  <c r="B18" i="17"/>
  <c r="O17" i="17"/>
  <c r="O18" i="17" l="1"/>
  <c r="B20" i="17"/>
  <c r="F20" i="17"/>
  <c r="B21" i="17" l="1"/>
  <c r="F22" i="17"/>
  <c r="F21" i="17"/>
  <c r="B22" i="17"/>
  <c r="O20" i="17"/>
  <c r="O22" i="17" l="1"/>
  <c r="O21" i="17"/>
  <c r="F23" i="17"/>
  <c r="B23" i="17"/>
  <c r="O23" i="17" l="1"/>
  <c r="F24" i="17"/>
  <c r="B24" i="17"/>
  <c r="O24" i="17" l="1"/>
  <c r="B27" i="17"/>
  <c r="F27" i="17"/>
  <c r="F28" i="17" l="1"/>
  <c r="B28" i="17"/>
  <c r="O27" i="17"/>
  <c r="O28" i="17" l="1"/>
  <c r="F29" i="17"/>
  <c r="B29" i="17"/>
  <c r="O29" i="17" l="1"/>
  <c r="F30" i="17"/>
  <c r="B30" i="17"/>
  <c r="B31" i="17" l="1"/>
  <c r="F31" i="17"/>
  <c r="O30" i="17"/>
  <c r="O31" i="17" l="1"/>
  <c r="F32" i="17"/>
  <c r="B32" i="17"/>
  <c r="F4" i="18" l="1"/>
  <c r="B4" i="18"/>
  <c r="O32" i="17"/>
  <c r="F5" i="18" l="1"/>
  <c r="B5" i="18"/>
  <c r="O4" i="18"/>
  <c r="O5" i="18" l="1"/>
  <c r="B6" i="18" l="1"/>
  <c r="F6" i="18"/>
  <c r="F7" i="18" l="1"/>
  <c r="B7" i="18"/>
  <c r="O6" i="18"/>
  <c r="O7" i="18" l="1"/>
  <c r="B8" i="18"/>
  <c r="F8" i="18"/>
  <c r="F10" i="18" l="1"/>
  <c r="B10" i="18"/>
  <c r="O8" i="18"/>
  <c r="O10" i="18" l="1"/>
  <c r="B11" i="18"/>
  <c r="F11" i="18"/>
  <c r="B12" i="18" l="1"/>
  <c r="F12" i="18"/>
  <c r="O11" i="18"/>
  <c r="O12" i="18" l="1"/>
  <c r="F13" i="18"/>
  <c r="B13" i="18"/>
  <c r="O13" i="18" l="1"/>
  <c r="F14" i="18"/>
  <c r="B14" i="18"/>
  <c r="F15" i="18" l="1"/>
  <c r="B15" i="18"/>
  <c r="O14" i="18"/>
  <c r="F17" i="18" l="1"/>
  <c r="B17" i="18"/>
  <c r="O15" i="18"/>
  <c r="O17" i="18" l="1"/>
  <c r="B18" i="18"/>
  <c r="F18" i="18"/>
  <c r="O18" i="18" l="1"/>
  <c r="B19" i="18" l="1"/>
  <c r="F19" i="18"/>
  <c r="O19" i="18" l="1"/>
  <c r="B20" i="18" l="1"/>
  <c r="F20" i="18"/>
  <c r="F21" i="18" l="1"/>
  <c r="B21" i="18"/>
  <c r="O21" i="18" s="1"/>
  <c r="O20" i="18"/>
  <c r="B24" i="18" l="1"/>
  <c r="F24" i="18"/>
  <c r="B25" i="18" l="1"/>
  <c r="F25" i="18"/>
  <c r="O24" i="18"/>
  <c r="B26" i="18" l="1"/>
  <c r="F26" i="18"/>
  <c r="O25" i="18"/>
  <c r="O26" i="18" l="1"/>
  <c r="B27" i="18"/>
  <c r="F27" i="18"/>
  <c r="O27" i="18" l="1"/>
  <c r="F28" i="18" l="1"/>
  <c r="B28" i="18"/>
  <c r="O28" i="18" s="1"/>
  <c r="F29" i="18" l="1"/>
  <c r="F30" i="18"/>
  <c r="B29" i="18"/>
  <c r="B30" i="18"/>
  <c r="O29" i="18" l="1"/>
  <c r="F31" i="18"/>
  <c r="B31" i="18"/>
  <c r="O30" i="18"/>
  <c r="O31" i="18" l="1"/>
  <c r="F3" i="19"/>
  <c r="B3" i="19"/>
  <c r="O3" i="19" l="1"/>
  <c r="B4" i="19" l="1"/>
  <c r="F4" i="19"/>
  <c r="B5" i="19" l="1"/>
  <c r="F5" i="19"/>
  <c r="O4" i="19"/>
  <c r="F6" i="19" l="1"/>
  <c r="B6" i="19"/>
  <c r="O5" i="19"/>
  <c r="B8" i="19" l="1"/>
  <c r="O6" i="19"/>
  <c r="F9" i="19" l="1"/>
  <c r="B9" i="19"/>
  <c r="O9" i="19" l="1"/>
  <c r="F10" i="19"/>
  <c r="B10" i="19"/>
  <c r="O10" i="19" l="1"/>
  <c r="F12" i="19"/>
  <c r="B12" i="19"/>
  <c r="O12" i="19" l="1"/>
  <c r="F13" i="19"/>
  <c r="B13" i="19"/>
  <c r="O13" i="19" l="1"/>
  <c r="F15" i="19" l="1"/>
  <c r="B15" i="19"/>
  <c r="O15" i="19" l="1"/>
  <c r="F16" i="19"/>
  <c r="B16" i="19"/>
  <c r="O16" i="19" l="1"/>
  <c r="F17" i="19"/>
  <c r="B17" i="19"/>
  <c r="O17" i="19" s="1"/>
  <c r="F18" i="19" l="1"/>
  <c r="B18" i="19"/>
  <c r="O18" i="19" l="1"/>
  <c r="F19" i="19"/>
  <c r="B19" i="19"/>
  <c r="B20" i="19" l="1"/>
  <c r="F20" i="19"/>
  <c r="O19" i="19"/>
  <c r="B23" i="19" l="1"/>
  <c r="F23" i="19"/>
  <c r="O20" i="19"/>
  <c r="O23" i="19" l="1"/>
  <c r="B24" i="19"/>
  <c r="F24" i="19"/>
  <c r="O24" i="19" l="1"/>
  <c r="B25" i="19"/>
  <c r="F25" i="19"/>
  <c r="O25" i="19" l="1"/>
  <c r="B26" i="19"/>
  <c r="F26" i="19"/>
  <c r="F27" i="19"/>
  <c r="B27" i="19"/>
  <c r="O27" i="19" l="1"/>
  <c r="B29" i="19"/>
  <c r="F29" i="19"/>
  <c r="O26" i="19"/>
  <c r="O29" i="19" l="1"/>
  <c r="F30" i="19" l="1"/>
  <c r="B30" i="19"/>
  <c r="O30" i="19" l="1"/>
  <c r="F31" i="19"/>
  <c r="B31" i="19"/>
  <c r="O31" i="19" l="1"/>
  <c r="F32" i="19"/>
  <c r="B32" i="19"/>
  <c r="O32" i="19" l="1"/>
  <c r="B2" i="20" l="1"/>
  <c r="F2" i="20"/>
  <c r="O2" i="20" l="1"/>
  <c r="F3" i="20"/>
  <c r="B3" i="20"/>
  <c r="F5" i="20" l="1"/>
  <c r="B5" i="20"/>
  <c r="O3" i="20"/>
  <c r="O5" i="20" l="1"/>
  <c r="F6" i="20"/>
  <c r="B6" i="20"/>
  <c r="O6" i="20" l="1"/>
  <c r="F7" i="20"/>
  <c r="B7" i="20"/>
  <c r="B8" i="20" l="1"/>
  <c r="F8" i="20"/>
  <c r="O7" i="20"/>
  <c r="O8" i="20" l="1"/>
  <c r="B10" i="20" l="1"/>
  <c r="F10" i="20"/>
  <c r="B9" i="20" l="1"/>
  <c r="F9" i="20"/>
  <c r="O10" i="20"/>
  <c r="F12" i="20" l="1"/>
  <c r="B12" i="20"/>
  <c r="O9" i="20"/>
  <c r="F13" i="20" l="1"/>
  <c r="B13" i="20"/>
  <c r="O12" i="20"/>
  <c r="B14" i="20" l="1"/>
  <c r="F14" i="20"/>
  <c r="O13" i="20"/>
  <c r="B15" i="20" l="1"/>
  <c r="F15" i="20"/>
  <c r="O14" i="20"/>
  <c r="F16" i="20" l="1"/>
  <c r="B16" i="20"/>
  <c r="O15" i="20"/>
  <c r="O16" i="20" l="1"/>
  <c r="B17" i="20"/>
  <c r="F17" i="20"/>
  <c r="B19" i="20" l="1"/>
  <c r="F19" i="20"/>
  <c r="O17" i="20"/>
  <c r="B20" i="20" l="1"/>
  <c r="F20" i="20"/>
  <c r="O19" i="20"/>
  <c r="O20" i="20" l="1"/>
  <c r="F21" i="20"/>
  <c r="B21" i="20"/>
  <c r="O21" i="20" l="1"/>
  <c r="F22" i="20" l="1"/>
  <c r="B22" i="20"/>
  <c r="O22" i="20" l="1"/>
  <c r="B23" i="20" l="1"/>
  <c r="F23" i="20"/>
  <c r="O23" i="20" l="1"/>
  <c r="B24" i="20" l="1"/>
  <c r="F24" i="20"/>
  <c r="O24" i="20" l="1"/>
  <c r="B26" i="20"/>
  <c r="F26" i="20"/>
  <c r="F27" i="20" l="1"/>
  <c r="B27" i="20"/>
  <c r="O26" i="20"/>
  <c r="O27" i="20" l="1"/>
  <c r="B28" i="20"/>
  <c r="F28" i="20"/>
  <c r="F29" i="20" l="1"/>
  <c r="B29" i="20"/>
  <c r="O28" i="20"/>
  <c r="O29" i="20" l="1"/>
  <c r="F21" i="21" l="1"/>
  <c r="B23" i="18"/>
  <c r="B22" i="15"/>
  <c r="I33" i="19"/>
  <c r="I6" i="27" s="1"/>
  <c r="F11" i="21"/>
  <c r="F4" i="21"/>
  <c r="I33" i="21"/>
  <c r="F23" i="18"/>
  <c r="F21" i="19"/>
  <c r="L33" i="19"/>
  <c r="F18" i="20"/>
  <c r="B8" i="21"/>
  <c r="B25" i="17"/>
  <c r="M32" i="18"/>
  <c r="B28" i="19"/>
  <c r="B30" i="21"/>
  <c r="D32" i="20"/>
  <c r="D7" i="27" s="1"/>
  <c r="H33" i="17"/>
  <c r="H4" i="27" s="1"/>
  <c r="B5" i="16"/>
  <c r="C30" i="16"/>
  <c r="C3" i="27" s="1"/>
  <c r="B26" i="17"/>
  <c r="D33" i="17"/>
  <c r="D4" i="27" s="1"/>
  <c r="F3" i="18"/>
  <c r="H33" i="21"/>
  <c r="B25" i="20"/>
  <c r="B5" i="21"/>
  <c r="B12" i="21"/>
  <c r="B30" i="20"/>
  <c r="F7" i="21"/>
  <c r="L30" i="16"/>
  <c r="F28" i="19"/>
  <c r="B27" i="21"/>
  <c r="F28" i="21"/>
  <c r="F30" i="21"/>
  <c r="F16" i="18"/>
  <c r="L32" i="18"/>
  <c r="D33" i="15"/>
  <c r="D2" i="27" s="1"/>
  <c r="F11" i="19"/>
  <c r="F32" i="21"/>
  <c r="F8" i="19"/>
  <c r="O8" i="19" s="1"/>
  <c r="B23" i="21"/>
  <c r="G33" i="21"/>
  <c r="F2" i="21"/>
  <c r="M33" i="19"/>
  <c r="B18" i="21"/>
  <c r="B26" i="21"/>
  <c r="F31" i="20"/>
  <c r="K33" i="15"/>
  <c r="F9" i="21"/>
  <c r="B21" i="21"/>
  <c r="O21" i="21" s="1"/>
  <c r="E30" i="16"/>
  <c r="E3" i="27" s="1"/>
  <c r="B15" i="15"/>
  <c r="H32" i="20"/>
  <c r="H7" i="27" s="1"/>
  <c r="E33" i="15"/>
  <c r="E2" i="27" s="1"/>
  <c r="F6" i="21"/>
  <c r="F8" i="21"/>
  <c r="F13" i="21"/>
  <c r="F25" i="17"/>
  <c r="O25" i="17" s="1"/>
  <c r="B11" i="20"/>
  <c r="E33" i="21"/>
  <c r="B31" i="21"/>
  <c r="B28" i="21"/>
  <c r="L33" i="21"/>
  <c r="C33" i="17"/>
  <c r="C4" i="27" s="1"/>
  <c r="B5" i="17"/>
  <c r="F11" i="20"/>
  <c r="F14" i="21"/>
  <c r="F9" i="18"/>
  <c r="B21" i="19"/>
  <c r="O21" i="19" s="1"/>
  <c r="M33" i="21"/>
  <c r="B20" i="21"/>
  <c r="K32" i="18"/>
  <c r="F22" i="21"/>
  <c r="K30" i="16"/>
  <c r="L33" i="17"/>
  <c r="B16" i="18"/>
  <c r="F3" i="21"/>
  <c r="B29" i="15"/>
  <c r="F17" i="21"/>
  <c r="B14" i="21"/>
  <c r="F2" i="19"/>
  <c r="G33" i="19"/>
  <c r="G6" i="27" s="1"/>
  <c r="F8" i="15"/>
  <c r="F29" i="21"/>
  <c r="O9" i="16"/>
  <c r="B32" i="21"/>
  <c r="F22" i="19"/>
  <c r="B18" i="20"/>
  <c r="B4" i="16"/>
  <c r="D30" i="16"/>
  <c r="D3" i="27" s="1"/>
  <c r="G30" i="16"/>
  <c r="G3" i="27" s="1"/>
  <c r="F4" i="16"/>
  <c r="F7" i="19"/>
  <c r="E32" i="18"/>
  <c r="E5" i="27" s="1"/>
  <c r="L33" i="15"/>
  <c r="B8" i="15"/>
  <c r="B7" i="21"/>
  <c r="O7" i="21" s="1"/>
  <c r="F12" i="21"/>
  <c r="B6" i="21"/>
  <c r="B15" i="21"/>
  <c r="F18" i="21"/>
  <c r="B4" i="21"/>
  <c r="B14" i="19"/>
  <c r="I33" i="17"/>
  <c r="I4" i="27" s="1"/>
  <c r="G33" i="15"/>
  <c r="G2" i="27" s="1"/>
  <c r="C33" i="15"/>
  <c r="C2" i="27" s="1"/>
  <c r="B2" i="15"/>
  <c r="I33" i="15"/>
  <c r="I2" i="27" s="1"/>
  <c r="J33" i="17"/>
  <c r="M33" i="15"/>
  <c r="I32" i="20"/>
  <c r="I7" i="27" s="1"/>
  <c r="K33" i="21"/>
  <c r="C32" i="18"/>
  <c r="C5" i="27" s="1"/>
  <c r="B2" i="18"/>
  <c r="B2" i="19"/>
  <c r="C33" i="19"/>
  <c r="F19" i="16"/>
  <c r="H33" i="15"/>
  <c r="H2" i="27" s="1"/>
  <c r="B19" i="16"/>
  <c r="J33" i="19"/>
  <c r="F12" i="17"/>
  <c r="B11" i="19"/>
  <c r="H32" i="18"/>
  <c r="H5" i="27" s="1"/>
  <c r="O7" i="16"/>
  <c r="J30" i="16"/>
  <c r="E32" i="20"/>
  <c r="E7" i="27" s="1"/>
  <c r="F19" i="17"/>
  <c r="D33" i="19"/>
  <c r="D6" i="27" s="1"/>
  <c r="D32" i="18"/>
  <c r="D5" i="27" s="1"/>
  <c r="H30" i="16"/>
  <c r="H3" i="27" s="1"/>
  <c r="B11" i="21"/>
  <c r="H33" i="19"/>
  <c r="H6" i="27" s="1"/>
  <c r="F2" i="16"/>
  <c r="O2" i="16" s="1"/>
  <c r="I30" i="16"/>
  <c r="I3" i="27" s="1"/>
  <c r="K33" i="19"/>
  <c r="F10" i="21"/>
  <c r="F24" i="21"/>
  <c r="F22" i="15"/>
  <c r="M30" i="16"/>
  <c r="F15" i="15"/>
  <c r="O15" i="15" s="1"/>
  <c r="F30" i="20"/>
  <c r="F26" i="17"/>
  <c r="B25" i="21"/>
  <c r="C33" i="21"/>
  <c r="B2" i="21"/>
  <c r="B3" i="18"/>
  <c r="I32" i="18"/>
  <c r="I5" i="27" s="1"/>
  <c r="B3" i="21"/>
  <c r="F20" i="21"/>
  <c r="K33" i="17"/>
  <c r="D33" i="21"/>
  <c r="E33" i="19"/>
  <c r="E6" i="27" s="1"/>
  <c r="F14" i="19"/>
  <c r="G33" i="17"/>
  <c r="G4" i="27" s="1"/>
  <c r="F5" i="17"/>
  <c r="F31" i="21"/>
  <c r="O28" i="15"/>
  <c r="J33" i="21"/>
  <c r="F27" i="21"/>
  <c r="F16" i="21"/>
  <c r="F5" i="21"/>
  <c r="B19" i="17"/>
  <c r="B22" i="18"/>
  <c r="F25" i="21"/>
  <c r="B7" i="19"/>
  <c r="F19" i="21"/>
  <c r="B13" i="21"/>
  <c r="F29" i="15"/>
  <c r="J33" i="15"/>
  <c r="F15" i="21"/>
  <c r="F22" i="18"/>
  <c r="G32" i="20"/>
  <c r="G7" i="27" s="1"/>
  <c r="F4" i="20"/>
  <c r="F2" i="18"/>
  <c r="G32" i="18"/>
  <c r="G5" i="27" s="1"/>
  <c r="F23" i="21"/>
  <c r="F3" i="16"/>
  <c r="O3" i="16" s="1"/>
  <c r="B22" i="21"/>
  <c r="F26" i="21"/>
  <c r="J32" i="18"/>
  <c r="B9" i="21"/>
  <c r="B12" i="16"/>
  <c r="B29" i="21"/>
  <c r="B19" i="21"/>
  <c r="K32" i="20"/>
  <c r="B24" i="21"/>
  <c r="B10" i="21"/>
  <c r="C32" i="20"/>
  <c r="C7" i="27" s="1"/>
  <c r="B4" i="20"/>
  <c r="M32" i="20"/>
  <c r="F25" i="20"/>
  <c r="B16" i="21"/>
  <c r="J32" i="20"/>
  <c r="B9" i="18"/>
  <c r="F5" i="16"/>
  <c r="B22" i="19"/>
  <c r="F12" i="16"/>
  <c r="M33" i="17"/>
  <c r="E33" i="17"/>
  <c r="E4" i="27" s="1"/>
  <c r="B12" i="17"/>
  <c r="B31" i="20"/>
  <c r="B17" i="21"/>
  <c r="L32" i="20"/>
  <c r="C8" i="27" l="1"/>
  <c r="C6" i="27"/>
  <c r="E8" i="27"/>
  <c r="H8" i="27"/>
  <c r="D8" i="27"/>
  <c r="I8" i="27"/>
  <c r="G8" i="27"/>
  <c r="O16" i="18"/>
  <c r="O31" i="20"/>
  <c r="O22" i="21"/>
  <c r="O30" i="21"/>
  <c r="O17" i="21"/>
  <c r="O9" i="18"/>
  <c r="O19" i="16"/>
  <c r="O25" i="20"/>
  <c r="O15" i="21"/>
  <c r="O4" i="21"/>
  <c r="O25" i="21"/>
  <c r="O16" i="21"/>
  <c r="O27" i="21"/>
  <c r="O3" i="21"/>
  <c r="O26" i="17"/>
  <c r="O22" i="15"/>
  <c r="O10" i="21"/>
  <c r="O5" i="21"/>
  <c r="O11" i="21"/>
  <c r="O11" i="20"/>
  <c r="O9" i="21"/>
  <c r="O18" i="21"/>
  <c r="O28" i="21"/>
  <c r="O4" i="20"/>
  <c r="F33" i="17"/>
  <c r="F4" i="27" s="1"/>
  <c r="O12" i="21"/>
  <c r="O8" i="21"/>
  <c r="L3" i="27"/>
  <c r="O31" i="21"/>
  <c r="O18" i="20"/>
  <c r="O14" i="21"/>
  <c r="O20" i="21"/>
  <c r="L2" i="27"/>
  <c r="O6" i="21"/>
  <c r="O32" i="21"/>
  <c r="L6" i="27"/>
  <c r="O22" i="19"/>
  <c r="O28" i="19"/>
  <c r="O23" i="18"/>
  <c r="O29" i="21"/>
  <c r="O8" i="15"/>
  <c r="B32" i="20"/>
  <c r="B7" i="27" s="1"/>
  <c r="O23" i="21"/>
  <c r="O7" i="19"/>
  <c r="L4" i="27"/>
  <c r="L7" i="27"/>
  <c r="O5" i="16"/>
  <c r="O22" i="18"/>
  <c r="O2" i="18"/>
  <c r="B32" i="18"/>
  <c r="B5" i="27" s="1"/>
  <c r="B30" i="16"/>
  <c r="B3" i="27" s="1"/>
  <c r="O4" i="16"/>
  <c r="B33" i="17"/>
  <c r="B4" i="27" s="1"/>
  <c r="M9" i="27"/>
  <c r="O19" i="21"/>
  <c r="O13" i="21"/>
  <c r="O19" i="17"/>
  <c r="O14" i="19"/>
  <c r="O3" i="18"/>
  <c r="O11" i="19"/>
  <c r="F33" i="19"/>
  <c r="F6" i="27" s="1"/>
  <c r="L5" i="27"/>
  <c r="F32" i="20"/>
  <c r="F7" i="27" s="1"/>
  <c r="L8" i="27"/>
  <c r="B33" i="21"/>
  <c r="O12" i="16"/>
  <c r="F30" i="16"/>
  <c r="F3" i="27" s="1"/>
  <c r="F33" i="21"/>
  <c r="O2" i="19"/>
  <c r="B33" i="15"/>
  <c r="B2" i="27" s="1"/>
  <c r="M2" i="43" s="1"/>
  <c r="O2" i="15"/>
  <c r="F33" i="15"/>
  <c r="F2" i="27" s="1"/>
  <c r="O29" i="15"/>
  <c r="O5" i="17"/>
  <c r="O24" i="21"/>
  <c r="O26" i="21"/>
  <c r="O2" i="21"/>
  <c r="F32" i="18"/>
  <c r="F5" i="27" s="1"/>
  <c r="B33" i="19"/>
  <c r="O12" i="17"/>
  <c r="O30" i="20"/>
  <c r="M4" i="27" l="1"/>
  <c r="M4" i="43"/>
  <c r="M3" i="27"/>
  <c r="M3" i="43"/>
  <c r="M5" i="27"/>
  <c r="M5" i="43"/>
  <c r="M7" i="27"/>
  <c r="M7" i="43"/>
  <c r="F8" i="27"/>
  <c r="B6" i="27"/>
  <c r="B8" i="27"/>
  <c r="O32" i="20"/>
  <c r="K7" i="27"/>
  <c r="K5" i="27"/>
  <c r="K3" i="27"/>
  <c r="O32" i="18"/>
  <c r="O33" i="17"/>
  <c r="O30" i="16"/>
  <c r="O33" i="19"/>
  <c r="K9" i="27"/>
  <c r="O33" i="15"/>
  <c r="K4" i="27"/>
  <c r="O33" i="21"/>
  <c r="M2" i="27"/>
  <c r="K2" i="27"/>
  <c r="M8" i="27" l="1"/>
  <c r="M8" i="43"/>
  <c r="M6" i="27"/>
  <c r="M6" i="43"/>
  <c r="K6" i="27"/>
  <c r="K8" i="43"/>
  <c r="K6" i="43"/>
  <c r="K8" i="27"/>
  <c r="B2" i="23"/>
  <c r="F2" i="23"/>
  <c r="B4" i="23" l="1"/>
  <c r="F4" i="23"/>
  <c r="O2" i="23"/>
  <c r="O4" i="23" l="1"/>
  <c r="F5" i="23" l="1"/>
  <c r="B5" i="23"/>
  <c r="O5" i="23"/>
  <c r="F6" i="23" l="1"/>
  <c r="B6" i="23"/>
  <c r="O6" i="23" l="1"/>
  <c r="B7" i="23" l="1"/>
  <c r="F7" i="23"/>
  <c r="O7" i="23" l="1"/>
  <c r="B8" i="23" l="1"/>
  <c r="F8" i="23"/>
  <c r="O8" i="23" l="1"/>
  <c r="B9" i="23"/>
  <c r="F9" i="23"/>
  <c r="F11" i="23" l="1"/>
  <c r="B11" i="23"/>
  <c r="O9" i="23"/>
  <c r="O11" i="23" l="1"/>
  <c r="F12" i="23"/>
  <c r="B12" i="23"/>
  <c r="O12" i="23" l="1"/>
  <c r="B13" i="23" l="1"/>
  <c r="F13" i="23"/>
  <c r="F14" i="23" l="1"/>
  <c r="B14" i="23"/>
  <c r="O13" i="23"/>
  <c r="F15" i="23" l="1"/>
  <c r="B15" i="23"/>
  <c r="O14" i="23"/>
  <c r="F16" i="23" l="1"/>
  <c r="F18" i="23"/>
  <c r="B16" i="23"/>
  <c r="B18" i="23"/>
  <c r="O15" i="23"/>
  <c r="O16" i="23" l="1"/>
  <c r="O18" i="23"/>
  <c r="F19" i="23" l="1"/>
  <c r="B19" i="23"/>
  <c r="O19" i="23" s="1"/>
  <c r="F20" i="23" l="1"/>
  <c r="B20" i="23"/>
  <c r="O20" i="23" l="1"/>
  <c r="F21" i="23"/>
  <c r="B21" i="23"/>
  <c r="O21" i="23" l="1"/>
  <c r="F22" i="23" l="1"/>
  <c r="B22" i="23"/>
  <c r="F23" i="23" l="1"/>
  <c r="B23" i="23"/>
  <c r="O22" i="23"/>
  <c r="B25" i="23" l="1"/>
  <c r="F25" i="23"/>
  <c r="O23" i="23"/>
  <c r="O25" i="23" l="1"/>
  <c r="B26" i="23" l="1"/>
  <c r="F26" i="23"/>
  <c r="O26" i="23" l="1"/>
  <c r="B27" i="23" l="1"/>
  <c r="F27" i="23"/>
  <c r="O27" i="23" l="1"/>
  <c r="B28" i="23" l="1"/>
  <c r="F28" i="23"/>
  <c r="O28" i="23" l="1"/>
  <c r="F29" i="23" l="1"/>
  <c r="B29" i="23"/>
  <c r="B30" i="23" l="1"/>
  <c r="F30" i="23"/>
  <c r="O29" i="23"/>
  <c r="O30" i="23" l="1"/>
  <c r="B2" i="24" l="1"/>
  <c r="F2" i="24"/>
  <c r="B3" i="24" l="1"/>
  <c r="F3" i="24"/>
  <c r="O2" i="24"/>
  <c r="O3" i="24" l="1"/>
  <c r="B4" i="24"/>
  <c r="F4" i="24"/>
  <c r="B5" i="24"/>
  <c r="F5" i="24"/>
  <c r="B6" i="24" l="1"/>
  <c r="F6" i="24"/>
  <c r="O5" i="24"/>
  <c r="O4" i="24"/>
  <c r="B7" i="24" l="1"/>
  <c r="O6" i="24"/>
  <c r="F7" i="24" l="1"/>
  <c r="O7" i="24" s="1"/>
  <c r="B9" i="24" l="1"/>
  <c r="F9" i="24"/>
  <c r="B10" i="24" l="1"/>
  <c r="F10" i="24"/>
  <c r="O9" i="24"/>
  <c r="F11" i="24" l="1"/>
  <c r="B11" i="24"/>
  <c r="O10" i="24"/>
  <c r="O11" i="24" l="1"/>
  <c r="F12" i="24" l="1"/>
  <c r="B12" i="24"/>
  <c r="F13" i="24" l="1"/>
  <c r="B13" i="24"/>
  <c r="O12" i="24"/>
  <c r="B14" i="24" l="1"/>
  <c r="F14" i="24"/>
  <c r="O13" i="24"/>
  <c r="O14" i="24" l="1"/>
  <c r="F16" i="24"/>
  <c r="B16" i="24"/>
  <c r="O16" i="24" l="1"/>
  <c r="F17" i="24" l="1"/>
  <c r="B17" i="24"/>
  <c r="O17" i="24" l="1"/>
  <c r="B18" i="24" l="1"/>
  <c r="F18" i="24"/>
  <c r="O18" i="24" s="1"/>
  <c r="F19" i="24" l="1"/>
  <c r="B19" i="24"/>
  <c r="O19" i="24" s="1"/>
  <c r="F21" i="24" l="1"/>
  <c r="F20" i="24"/>
  <c r="B20" i="24"/>
  <c r="B21" i="24"/>
  <c r="B23" i="24" l="1"/>
  <c r="F23" i="24"/>
  <c r="O20" i="24"/>
  <c r="O21" i="24"/>
  <c r="B24" i="24" l="1"/>
  <c r="F24" i="24"/>
  <c r="O23" i="24"/>
  <c r="F25" i="24" l="1"/>
  <c r="B25" i="24"/>
  <c r="O24" i="24"/>
  <c r="O25" i="24" l="1"/>
  <c r="B26" i="24"/>
  <c r="F26" i="24"/>
  <c r="F27" i="24" l="1"/>
  <c r="B27" i="24"/>
  <c r="O27" i="24" s="1"/>
  <c r="O26" i="24"/>
  <c r="B28" i="24" l="1"/>
  <c r="F28" i="24"/>
  <c r="F30" i="24" l="1"/>
  <c r="B30" i="24"/>
  <c r="O30" i="24" s="1"/>
  <c r="O28" i="24"/>
  <c r="F31" i="24" l="1"/>
  <c r="B31" i="24"/>
  <c r="O31" i="24" l="1"/>
  <c r="F32" i="24" l="1"/>
  <c r="B32" i="24"/>
  <c r="O32" i="24" l="1"/>
  <c r="B3" i="25" l="1"/>
  <c r="F3" i="25"/>
  <c r="O3" i="25" l="1"/>
  <c r="B6" i="25"/>
  <c r="F6" i="25"/>
  <c r="O6" i="25" l="1"/>
  <c r="F7" i="25" l="1"/>
  <c r="B7" i="25"/>
  <c r="O7" i="25" s="1"/>
  <c r="F8" i="25" l="1"/>
  <c r="B8" i="25"/>
  <c r="O8" i="25" l="1"/>
  <c r="F9" i="25" l="1"/>
  <c r="B9" i="25"/>
  <c r="O9" i="25" l="1"/>
  <c r="F10" i="25" l="1"/>
  <c r="B10" i="25"/>
  <c r="O10" i="25" s="1"/>
  <c r="F11" i="25" l="1"/>
  <c r="B11" i="25"/>
  <c r="F13" i="25" l="1"/>
  <c r="B13" i="25"/>
  <c r="O11" i="25"/>
  <c r="O13" i="25" l="1"/>
  <c r="B14" i="25" l="1"/>
  <c r="F14" i="25"/>
  <c r="O14" i="25" l="1"/>
  <c r="F15" i="25" l="1"/>
  <c r="B15" i="25"/>
  <c r="O15" i="25" l="1"/>
  <c r="F18" i="25" l="1"/>
  <c r="B18" i="25"/>
  <c r="B20" i="25"/>
  <c r="F22" i="25"/>
  <c r="F21" i="25"/>
  <c r="F16" i="25"/>
  <c r="B17" i="25"/>
  <c r="B22" i="25"/>
  <c r="F17" i="25"/>
  <c r="B21" i="25"/>
  <c r="O21" i="25" s="1"/>
  <c r="F20" i="25"/>
  <c r="B16" i="25"/>
  <c r="B25" i="25" l="1"/>
  <c r="B27" i="25"/>
  <c r="F25" i="25"/>
  <c r="F28" i="25"/>
  <c r="B28" i="25"/>
  <c r="O28" i="25" s="1"/>
  <c r="F27" i="25"/>
  <c r="F24" i="25"/>
  <c r="B24" i="25"/>
  <c r="O24" i="25" s="1"/>
  <c r="B23" i="25"/>
  <c r="O22" i="25"/>
  <c r="O18" i="25"/>
  <c r="D14" i="43"/>
  <c r="O16" i="25"/>
  <c r="O20" i="25"/>
  <c r="L8" i="24"/>
  <c r="J10" i="23"/>
  <c r="C8" i="24"/>
  <c r="I18" i="26"/>
  <c r="C12" i="26"/>
  <c r="L13" i="26"/>
  <c r="K29" i="25"/>
  <c r="I12" i="26"/>
  <c r="H23" i="26"/>
  <c r="K2" i="25"/>
  <c r="D5" i="25"/>
  <c r="I29" i="25"/>
  <c r="K3" i="23"/>
  <c r="K30" i="25"/>
  <c r="I15" i="24"/>
  <c r="L26" i="26"/>
  <c r="M9" i="26"/>
  <c r="M24" i="26"/>
  <c r="G8" i="24"/>
  <c r="E31" i="25"/>
  <c r="G2" i="26"/>
  <c r="J18" i="26"/>
  <c r="C21" i="26"/>
  <c r="E24" i="23"/>
  <c r="E5" i="26"/>
  <c r="G29" i="24"/>
  <c r="G25" i="26"/>
  <c r="C30" i="25"/>
  <c r="M23" i="26"/>
  <c r="K29" i="26"/>
  <c r="L20" i="26"/>
  <c r="C26" i="26"/>
  <c r="E24" i="26"/>
  <c r="D4" i="26"/>
  <c r="M17" i="26"/>
  <c r="M21" i="26"/>
  <c r="K20" i="26"/>
  <c r="D9" i="26"/>
  <c r="M29" i="26"/>
  <c r="K22" i="26"/>
  <c r="D26" i="26"/>
  <c r="G17" i="23"/>
  <c r="K4" i="25"/>
  <c r="G18" i="26"/>
  <c r="J2" i="26"/>
  <c r="D14" i="26"/>
  <c r="H26" i="26"/>
  <c r="H4" i="26"/>
  <c r="H30" i="26"/>
  <c r="H14" i="26"/>
  <c r="I24" i="26"/>
  <c r="C2" i="25"/>
  <c r="E19" i="25"/>
  <c r="K13" i="26"/>
  <c r="E16" i="26"/>
  <c r="J3" i="26"/>
  <c r="H9" i="26"/>
  <c r="H18" i="26"/>
  <c r="H32" i="26"/>
  <c r="J26" i="25"/>
  <c r="M26" i="25"/>
  <c r="C30" i="26"/>
  <c r="J12" i="25"/>
  <c r="C9" i="26"/>
  <c r="I19" i="25"/>
  <c r="D29" i="26"/>
  <c r="D17" i="26"/>
  <c r="E31" i="26"/>
  <c r="E13" i="26"/>
  <c r="J28" i="26"/>
  <c r="E19" i="26"/>
  <c r="H17" i="26"/>
  <c r="I15" i="26"/>
  <c r="G22" i="26"/>
  <c r="K16" i="26"/>
  <c r="H24" i="23"/>
  <c r="H20" i="26"/>
  <c r="L3" i="26"/>
  <c r="D15" i="24"/>
  <c r="D20" i="26"/>
  <c r="I17" i="23"/>
  <c r="I32" i="26"/>
  <c r="M26" i="26"/>
  <c r="I23" i="25"/>
  <c r="E10" i="23"/>
  <c r="L29" i="24"/>
  <c r="K23" i="26"/>
  <c r="J5" i="26"/>
  <c r="K25" i="26"/>
  <c r="J9" i="26"/>
  <c r="G32" i="26"/>
  <c r="L12" i="25"/>
  <c r="C26" i="25"/>
  <c r="E28" i="26"/>
  <c r="D2" i="26"/>
  <c r="I29" i="24"/>
  <c r="C19" i="26"/>
  <c r="G3" i="26"/>
  <c r="M22" i="26"/>
  <c r="K29" i="24"/>
  <c r="D28" i="26"/>
  <c r="G24" i="26"/>
  <c r="D3" i="23"/>
  <c r="H22" i="26"/>
  <c r="I31" i="23"/>
  <c r="E17" i="26"/>
  <c r="C22" i="26"/>
  <c r="D25" i="26"/>
  <c r="E9" i="26"/>
  <c r="J7" i="26"/>
  <c r="K22" i="24"/>
  <c r="D23" i="26"/>
  <c r="M10" i="23"/>
  <c r="G24" i="23"/>
  <c r="H25" i="26"/>
  <c r="L12" i="26"/>
  <c r="L2" i="25"/>
  <c r="K28" i="26"/>
  <c r="G29" i="25"/>
  <c r="C31" i="25"/>
  <c r="L10" i="26"/>
  <c r="H11" i="26"/>
  <c r="I16" i="26"/>
  <c r="M31" i="23"/>
  <c r="C3" i="23"/>
  <c r="C6" i="26"/>
  <c r="D22" i="26"/>
  <c r="C17" i="26"/>
  <c r="L9" i="26"/>
  <c r="G19" i="25"/>
  <c r="G30" i="25"/>
  <c r="D27" i="26"/>
  <c r="E4" i="25"/>
  <c r="G20" i="26"/>
  <c r="K10" i="26"/>
  <c r="J8" i="24"/>
  <c r="E3" i="23"/>
  <c r="E29" i="24"/>
  <c r="G12" i="26"/>
  <c r="G15" i="24"/>
  <c r="E3" i="26"/>
  <c r="G3" i="23"/>
  <c r="D31" i="23"/>
  <c r="L24" i="26"/>
  <c r="M32" i="26"/>
  <c r="J27" i="26"/>
  <c r="G6" i="26"/>
  <c r="L19" i="25"/>
  <c r="H28" i="26"/>
  <c r="M24" i="23"/>
  <c r="I31" i="26"/>
  <c r="K19" i="26"/>
  <c r="H3" i="23"/>
  <c r="K19" i="25"/>
  <c r="G13" i="26"/>
  <c r="I25" i="26"/>
  <c r="E29" i="26"/>
  <c r="M13" i="26"/>
  <c r="D8" i="26"/>
  <c r="G22" i="24"/>
  <c r="M7" i="26"/>
  <c r="H21" i="26"/>
  <c r="M29" i="24"/>
  <c r="M15" i="26"/>
  <c r="H6" i="26"/>
  <c r="H31" i="23"/>
  <c r="H17" i="23"/>
  <c r="M28" i="26"/>
  <c r="K3" i="26"/>
  <c r="L5" i="25"/>
  <c r="K5" i="26"/>
  <c r="H7" i="26"/>
  <c r="I2" i="25"/>
  <c r="D31" i="26"/>
  <c r="G31" i="26"/>
  <c r="M2" i="25"/>
  <c r="E26" i="26"/>
  <c r="D30" i="25"/>
  <c r="E29" i="25"/>
  <c r="K31" i="23"/>
  <c r="H2" i="25"/>
  <c r="J15" i="24"/>
  <c r="L10" i="23"/>
  <c r="K24" i="23"/>
  <c r="L28" i="26"/>
  <c r="K26" i="26"/>
  <c r="H5" i="26"/>
  <c r="H10" i="26"/>
  <c r="K8" i="24"/>
  <c r="E18" i="26"/>
  <c r="L4" i="26"/>
  <c r="K27" i="26"/>
  <c r="L6" i="26"/>
  <c r="I23" i="26"/>
  <c r="G31" i="23"/>
  <c r="C29" i="25"/>
  <c r="M17" i="23"/>
  <c r="G21" i="26"/>
  <c r="J2" i="25"/>
  <c r="C20" i="26"/>
  <c r="M3" i="23"/>
  <c r="E30" i="25"/>
  <c r="J30" i="25"/>
  <c r="J31" i="26"/>
  <c r="J19" i="26"/>
  <c r="M25" i="26"/>
  <c r="M8" i="24"/>
  <c r="E10" i="26"/>
  <c r="C19" i="25"/>
  <c r="D26" i="25"/>
  <c r="J17" i="23"/>
  <c r="L8" i="26"/>
  <c r="G5" i="25"/>
  <c r="M18" i="26"/>
  <c r="M30" i="25"/>
  <c r="C10" i="23"/>
  <c r="K18" i="26"/>
  <c r="G19" i="26"/>
  <c r="I22" i="26"/>
  <c r="K5" i="25"/>
  <c r="D15" i="26"/>
  <c r="E7" i="26"/>
  <c r="E2" i="25"/>
  <c r="H12" i="26"/>
  <c r="E12" i="26"/>
  <c r="G12" i="25"/>
  <c r="I30" i="26"/>
  <c r="D8" i="24"/>
  <c r="G30" i="26"/>
  <c r="L25" i="26"/>
  <c r="I10" i="23"/>
  <c r="M31" i="25"/>
  <c r="E17" i="23"/>
  <c r="D24" i="26"/>
  <c r="J3" i="23"/>
  <c r="G5" i="26"/>
  <c r="K15" i="26"/>
  <c r="J29" i="26"/>
  <c r="M2" i="26"/>
  <c r="G10" i="23"/>
  <c r="E5" i="25"/>
  <c r="K14" i="26"/>
  <c r="E11" i="26"/>
  <c r="D22" i="24"/>
  <c r="L16" i="26"/>
  <c r="M20" i="26"/>
  <c r="H19" i="25"/>
  <c r="M19" i="25"/>
  <c r="J31" i="25"/>
  <c r="D31" i="25"/>
  <c r="D2" i="25"/>
  <c r="C29" i="26"/>
  <c r="E31" i="23"/>
  <c r="E15" i="24"/>
  <c r="K31" i="25"/>
  <c r="H8" i="26"/>
  <c r="G27" i="26"/>
  <c r="G26" i="25"/>
  <c r="L3" i="23"/>
  <c r="H29" i="24"/>
  <c r="L24" i="23"/>
  <c r="J4" i="26"/>
  <c r="J29" i="25"/>
  <c r="I17" i="26"/>
  <c r="J24" i="26"/>
  <c r="C25" i="26"/>
  <c r="D4" i="25"/>
  <c r="C15" i="26"/>
  <c r="G4" i="26"/>
  <c r="E32" i="26"/>
  <c r="K32" i="26"/>
  <c r="L14" i="26"/>
  <c r="H26" i="25"/>
  <c r="K4" i="26"/>
  <c r="I13" i="26"/>
  <c r="L19" i="26"/>
  <c r="M4" i="25"/>
  <c r="I5" i="25"/>
  <c r="H16" i="26"/>
  <c r="C14" i="26"/>
  <c r="H31" i="25"/>
  <c r="C12" i="25"/>
  <c r="J25" i="26"/>
  <c r="J22" i="26"/>
  <c r="C24" i="26"/>
  <c r="L29" i="25"/>
  <c r="D19" i="25"/>
  <c r="E4" i="26"/>
  <c r="D32" i="26"/>
  <c r="J10" i="26"/>
  <c r="M4" i="26"/>
  <c r="D6" i="26"/>
  <c r="C4" i="26"/>
  <c r="E27" i="26"/>
  <c r="D19" i="26"/>
  <c r="H5" i="25"/>
  <c r="E21" i="26"/>
  <c r="M31" i="26"/>
  <c r="E26" i="25"/>
  <c r="J12" i="26"/>
  <c r="D30" i="26"/>
  <c r="E8" i="26"/>
  <c r="C28" i="26"/>
  <c r="G14" i="26"/>
  <c r="K31" i="26"/>
  <c r="J5" i="25"/>
  <c r="H10" i="23"/>
  <c r="I10" i="26"/>
  <c r="E14" i="26"/>
  <c r="H13" i="26"/>
  <c r="M29" i="25"/>
  <c r="H15" i="26"/>
  <c r="L31" i="25"/>
  <c r="D12" i="26"/>
  <c r="M11" i="26"/>
  <c r="J8" i="26"/>
  <c r="L2" i="26"/>
  <c r="C4" i="25"/>
  <c r="C27" i="26"/>
  <c r="M5" i="25"/>
  <c r="K7" i="26"/>
  <c r="K17" i="23"/>
  <c r="G7" i="26"/>
  <c r="L22" i="26"/>
  <c r="C18" i="26"/>
  <c r="D29" i="24"/>
  <c r="H15" i="24"/>
  <c r="J19" i="25"/>
  <c r="K11" i="26"/>
  <c r="E2" i="26"/>
  <c r="K6" i="26"/>
  <c r="L11" i="26"/>
  <c r="C15" i="24"/>
  <c r="I3" i="26"/>
  <c r="C23" i="26"/>
  <c r="L5" i="26"/>
  <c r="M27" i="26"/>
  <c r="G26" i="26"/>
  <c r="G28" i="26"/>
  <c r="L21" i="26"/>
  <c r="C22" i="24"/>
  <c r="H27" i="26"/>
  <c r="I11" i="26"/>
  <c r="G4" i="25"/>
  <c r="C31" i="26"/>
  <c r="D18" i="26"/>
  <c r="H4" i="25"/>
  <c r="J30" i="26"/>
  <c r="D10" i="23"/>
  <c r="J32" i="26"/>
  <c r="L4" i="25"/>
  <c r="H29" i="25"/>
  <c r="I12" i="25"/>
  <c r="G31" i="25"/>
  <c r="H31" i="26"/>
  <c r="J26" i="26"/>
  <c r="M3" i="26"/>
  <c r="I30" i="25"/>
  <c r="L27" i="26"/>
  <c r="E8" i="24"/>
  <c r="K24" i="26"/>
  <c r="H19" i="26"/>
  <c r="C7" i="26"/>
  <c r="J15" i="26"/>
  <c r="H30" i="25"/>
  <c r="C29" i="24"/>
  <c r="E12" i="25"/>
  <c r="L23" i="26"/>
  <c r="I28" i="26"/>
  <c r="M6" i="26"/>
  <c r="C31" i="23"/>
  <c r="I29" i="26"/>
  <c r="E25" i="26"/>
  <c r="H29" i="26"/>
  <c r="I20" i="26"/>
  <c r="I3" i="23"/>
  <c r="L17" i="23"/>
  <c r="D11" i="26"/>
  <c r="K12" i="26"/>
  <c r="E6" i="26"/>
  <c r="E30" i="26"/>
  <c r="M15" i="24"/>
  <c r="L17" i="26"/>
  <c r="I4" i="26"/>
  <c r="H2" i="26"/>
  <c r="K21" i="26"/>
  <c r="C11" i="26"/>
  <c r="I31" i="25"/>
  <c r="K30" i="26"/>
  <c r="M19" i="26"/>
  <c r="M10" i="26"/>
  <c r="C2" i="26"/>
  <c r="I8" i="24"/>
  <c r="I21" i="26"/>
  <c r="G17" i="26"/>
  <c r="K15" i="24"/>
  <c r="I8" i="26"/>
  <c r="I2" i="26"/>
  <c r="I4" i="25"/>
  <c r="I19" i="26"/>
  <c r="C8" i="26"/>
  <c r="M16" i="26"/>
  <c r="C32" i="26"/>
  <c r="L29" i="26"/>
  <c r="H12" i="25"/>
  <c r="K9" i="26"/>
  <c r="J11" i="26"/>
  <c r="C10" i="26"/>
  <c r="M17" i="25"/>
  <c r="C13" i="26"/>
  <c r="D16" i="26"/>
  <c r="G16" i="26"/>
  <c r="E15" i="26"/>
  <c r="D29" i="25"/>
  <c r="H22" i="24"/>
  <c r="J4" i="25"/>
  <c r="L23" i="25"/>
  <c r="K2" i="26"/>
  <c r="D5" i="26"/>
  <c r="I14" i="26"/>
  <c r="L31" i="23"/>
  <c r="C5" i="25"/>
  <c r="D24" i="23"/>
  <c r="G23" i="26"/>
  <c r="D21" i="26"/>
  <c r="L7" i="26"/>
  <c r="I6" i="26"/>
  <c r="J16" i="26"/>
  <c r="J29" i="24"/>
  <c r="C17" i="23"/>
  <c r="D10" i="26"/>
  <c r="I26" i="26"/>
  <c r="I22" i="24"/>
  <c r="H3" i="26"/>
  <c r="L30" i="25"/>
  <c r="D17" i="23"/>
  <c r="C16" i="26"/>
  <c r="E22" i="24"/>
  <c r="C3" i="26"/>
  <c r="K12" i="25"/>
  <c r="K26" i="25"/>
  <c r="D13" i="26"/>
  <c r="C5" i="26"/>
  <c r="I24" i="23"/>
  <c r="M12" i="25"/>
  <c r="J22" i="24"/>
  <c r="L31" i="26"/>
  <c r="J23" i="26"/>
  <c r="G9" i="26"/>
  <c r="E23" i="26"/>
  <c r="M14" i="26"/>
  <c r="E22" i="26"/>
  <c r="J13" i="26"/>
  <c r="J24" i="23"/>
  <c r="M12" i="26"/>
  <c r="K17" i="26"/>
  <c r="M30" i="26"/>
  <c r="G15" i="26"/>
  <c r="I5" i="26"/>
  <c r="I9" i="26"/>
  <c r="D3" i="26"/>
  <c r="I7" i="26"/>
  <c r="G10" i="26"/>
  <c r="M8" i="26"/>
  <c r="L32" i="26"/>
  <c r="M22" i="24"/>
  <c r="G29" i="26"/>
  <c r="J17" i="26"/>
  <c r="E20" i="26"/>
  <c r="D12" i="25"/>
  <c r="D7" i="26"/>
  <c r="L18" i="26"/>
  <c r="H24" i="26"/>
  <c r="L15" i="24"/>
  <c r="L15" i="26"/>
  <c r="G11" i="26"/>
  <c r="L30" i="26"/>
  <c r="L26" i="25"/>
  <c r="I27" i="26"/>
  <c r="J31" i="23"/>
  <c r="J21" i="26"/>
  <c r="L22" i="24"/>
  <c r="K8" i="26"/>
  <c r="J20" i="26"/>
  <c r="J14" i="26"/>
  <c r="K10" i="23"/>
  <c r="G8" i="26"/>
  <c r="J6" i="26"/>
  <c r="M5" i="26"/>
  <c r="H8" i="24"/>
  <c r="I26" i="25"/>
  <c r="B8" i="26" l="1"/>
  <c r="F30" i="26"/>
  <c r="F24" i="26"/>
  <c r="B27" i="26"/>
  <c r="D33" i="24"/>
  <c r="D11" i="27" s="1"/>
  <c r="F21" i="26"/>
  <c r="M32" i="25"/>
  <c r="H32" i="25"/>
  <c r="H12" i="27" s="1"/>
  <c r="F2" i="25"/>
  <c r="B6" i="26"/>
  <c r="F13" i="26"/>
  <c r="F23" i="26"/>
  <c r="B30" i="25"/>
  <c r="I33" i="26"/>
  <c r="I13" i="27" s="1"/>
  <c r="F12" i="25"/>
  <c r="F31" i="26"/>
  <c r="F25" i="26"/>
  <c r="B4" i="25"/>
  <c r="K33" i="26"/>
  <c r="F3" i="26"/>
  <c r="B9" i="26"/>
  <c r="H32" i="23"/>
  <c r="H10" i="27" s="1"/>
  <c r="F29" i="24"/>
  <c r="B31" i="26"/>
  <c r="O31" i="26" s="1"/>
  <c r="C32" i="23"/>
  <c r="C10" i="27" s="1"/>
  <c r="B3" i="23"/>
  <c r="B19" i="26"/>
  <c r="B24" i="23"/>
  <c r="F29" i="26"/>
  <c r="G32" i="25"/>
  <c r="G12" i="27" s="1"/>
  <c r="F4" i="25"/>
  <c r="F17" i="26"/>
  <c r="E32" i="25"/>
  <c r="E12" i="27" s="1"/>
  <c r="L33" i="26"/>
  <c r="I32" i="25"/>
  <c r="I12" i="27" s="1"/>
  <c r="B29" i="25"/>
  <c r="D33" i="26"/>
  <c r="D13" i="27" s="1"/>
  <c r="B21" i="26"/>
  <c r="O21" i="26" s="1"/>
  <c r="I33" i="24"/>
  <c r="I11" i="27" s="1"/>
  <c r="C32" i="25"/>
  <c r="C12" i="27" s="1"/>
  <c r="B2" i="25"/>
  <c r="B4" i="26"/>
  <c r="K33" i="24"/>
  <c r="B3" i="26"/>
  <c r="O3" i="26" s="1"/>
  <c r="B30" i="26"/>
  <c r="B5" i="25"/>
  <c r="B22" i="24"/>
  <c r="C33" i="26"/>
  <c r="C13" i="43" s="1"/>
  <c r="C14" i="43" s="1"/>
  <c r="B2" i="26"/>
  <c r="B31" i="25"/>
  <c r="F4" i="26"/>
  <c r="B26" i="25"/>
  <c r="J33" i="26"/>
  <c r="F10" i="26"/>
  <c r="G33" i="26"/>
  <c r="G13" i="27" s="1"/>
  <c r="F2" i="26"/>
  <c r="H33" i="24"/>
  <c r="H11" i="27" s="1"/>
  <c r="F31" i="23"/>
  <c r="B15" i="26"/>
  <c r="F6" i="26"/>
  <c r="F28" i="26"/>
  <c r="F19" i="26"/>
  <c r="F18" i="26"/>
  <c r="F32" i="26"/>
  <c r="F8" i="24"/>
  <c r="G33" i="24"/>
  <c r="G11" i="27" s="1"/>
  <c r="F26" i="26"/>
  <c r="F29" i="25"/>
  <c r="B25" i="26"/>
  <c r="O25" i="26" s="1"/>
  <c r="B10" i="23"/>
  <c r="B29" i="24"/>
  <c r="O29" i="24" s="1"/>
  <c r="B17" i="23"/>
  <c r="B16" i="26"/>
  <c r="B11" i="26"/>
  <c r="F15" i="26"/>
  <c r="B23" i="26"/>
  <c r="O23" i="26" s="1"/>
  <c r="F17" i="23"/>
  <c r="F3" i="23"/>
  <c r="G32" i="23"/>
  <c r="G10" i="27" s="1"/>
  <c r="F16" i="26"/>
  <c r="H33" i="26"/>
  <c r="H13" i="27" s="1"/>
  <c r="L32" i="25"/>
  <c r="F5" i="25"/>
  <c r="F8" i="26"/>
  <c r="B15" i="24"/>
  <c r="F15" i="24"/>
  <c r="B7" i="26"/>
  <c r="K32" i="23"/>
  <c r="F23" i="25"/>
  <c r="O23" i="25" s="1"/>
  <c r="F12" i="26"/>
  <c r="F24" i="23"/>
  <c r="L32" i="23"/>
  <c r="B13" i="26"/>
  <c r="F10" i="23"/>
  <c r="E33" i="26"/>
  <c r="E13" i="27" s="1"/>
  <c r="B19" i="25"/>
  <c r="F14" i="26"/>
  <c r="F26" i="25"/>
  <c r="E32" i="23"/>
  <c r="E10" i="27" s="1"/>
  <c r="E33" i="24"/>
  <c r="E11" i="27" s="1"/>
  <c r="K32" i="25"/>
  <c r="M33" i="26"/>
  <c r="F27" i="26"/>
  <c r="O17" i="25"/>
  <c r="J33" i="24"/>
  <c r="M33" i="24"/>
  <c r="B28" i="26"/>
  <c r="B10" i="26"/>
  <c r="F20" i="26"/>
  <c r="F9" i="26"/>
  <c r="B24" i="26"/>
  <c r="O24" i="26" s="1"/>
  <c r="F5" i="26"/>
  <c r="J32" i="23"/>
  <c r="B18" i="26"/>
  <c r="I32" i="23"/>
  <c r="I10" i="27" s="1"/>
  <c r="B12" i="26"/>
  <c r="B22" i="26"/>
  <c r="B29" i="26"/>
  <c r="F30" i="25"/>
  <c r="F31" i="25"/>
  <c r="F7" i="26"/>
  <c r="B12" i="25"/>
  <c r="D32" i="25"/>
  <c r="D12" i="27" s="1"/>
  <c r="F11" i="26"/>
  <c r="F19" i="25"/>
  <c r="B8" i="24"/>
  <c r="C33" i="24"/>
  <c r="C11" i="27" s="1"/>
  <c r="M32" i="23"/>
  <c r="F22" i="24"/>
  <c r="F22" i="26"/>
  <c r="B32" i="26"/>
  <c r="B14" i="26"/>
  <c r="B20" i="26"/>
  <c r="B26" i="26"/>
  <c r="B17" i="26"/>
  <c r="B5" i="26"/>
  <c r="O5" i="26" s="1"/>
  <c r="L33" i="24"/>
  <c r="B31" i="23"/>
  <c r="O31" i="23" s="1"/>
  <c r="D32" i="23"/>
  <c r="D10" i="27" s="1"/>
  <c r="J32" i="25"/>
  <c r="O20" i="26"/>
  <c r="O27" i="25"/>
  <c r="O25" i="25"/>
  <c r="G14" i="43"/>
  <c r="K12" i="43"/>
  <c r="L14" i="43"/>
  <c r="I14" i="43"/>
  <c r="F14" i="43"/>
  <c r="E14" i="43"/>
  <c r="K10" i="43"/>
  <c r="H14" i="43"/>
  <c r="O14" i="26" l="1"/>
  <c r="O8" i="26"/>
  <c r="O32" i="26"/>
  <c r="O10" i="23"/>
  <c r="O26" i="25"/>
  <c r="I14" i="27"/>
  <c r="G14" i="27"/>
  <c r="D14" i="27"/>
  <c r="O28" i="26"/>
  <c r="F32" i="25"/>
  <c r="F12" i="27" s="1"/>
  <c r="O26" i="26"/>
  <c r="O12" i="25"/>
  <c r="O9" i="26"/>
  <c r="F32" i="23"/>
  <c r="F10" i="27" s="1"/>
  <c r="B32" i="23"/>
  <c r="B10" i="27" s="1"/>
  <c r="M10" i="43" s="1"/>
  <c r="O7" i="26"/>
  <c r="O18" i="26"/>
  <c r="F33" i="24"/>
  <c r="F11" i="27" s="1"/>
  <c r="O5" i="25"/>
  <c r="O30" i="26"/>
  <c r="O3" i="23"/>
  <c r="O11" i="26"/>
  <c r="O31" i="25"/>
  <c r="O12" i="26"/>
  <c r="O10" i="26"/>
  <c r="E14" i="27"/>
  <c r="O19" i="25"/>
  <c r="O16" i="26"/>
  <c r="O17" i="23"/>
  <c r="O6" i="26"/>
  <c r="O17" i="26"/>
  <c r="O24" i="23"/>
  <c r="H14" i="27"/>
  <c r="O27" i="26"/>
  <c r="O15" i="26"/>
  <c r="O22" i="24"/>
  <c r="O22" i="26"/>
  <c r="O13" i="26"/>
  <c r="O15" i="24"/>
  <c r="L12" i="27"/>
  <c r="B33" i="24"/>
  <c r="B11" i="27" s="1"/>
  <c r="M11" i="27" s="1"/>
  <c r="O8" i="24"/>
  <c r="O29" i="26"/>
  <c r="O4" i="26"/>
  <c r="O4" i="25"/>
  <c r="F33" i="26"/>
  <c r="F13" i="27" s="1"/>
  <c r="F14" i="27" s="1"/>
  <c r="B32" i="25"/>
  <c r="B12" i="27" s="1"/>
  <c r="M12" i="27" s="1"/>
  <c r="B33" i="26"/>
  <c r="B13" i="27" s="1"/>
  <c r="M13" i="43" s="1"/>
  <c r="L11" i="27"/>
  <c r="C13" i="27"/>
  <c r="C14" i="27" s="1"/>
  <c r="O19" i="26"/>
  <c r="L10" i="27"/>
  <c r="L13" i="27"/>
  <c r="O2" i="26"/>
  <c r="O30" i="25"/>
  <c r="O2" i="25"/>
  <c r="M11" i="43"/>
  <c r="K11" i="43"/>
  <c r="K13" i="43"/>
  <c r="B14" i="43"/>
  <c r="M10" i="27" l="1"/>
  <c r="M12" i="43"/>
  <c r="O32" i="23"/>
  <c r="L14" i="27"/>
  <c r="K10" i="27"/>
  <c r="O33" i="24"/>
  <c r="K11" i="27"/>
  <c r="B14" i="27"/>
  <c r="M14" i="27" s="1"/>
  <c r="M13" i="27"/>
  <c r="O33" i="26"/>
  <c r="K12" i="27"/>
  <c r="K13" i="27"/>
  <c r="O32" i="25"/>
  <c r="K14" i="43"/>
  <c r="K14" i="27" l="1"/>
  <c r="M14" i="43"/>
</calcChain>
</file>

<file path=xl/sharedStrings.xml><?xml version="1.0" encoding="utf-8"?>
<sst xmlns="http://schemas.openxmlformats.org/spreadsheetml/2006/main" count="616" uniqueCount="50">
  <si>
    <t>Nombre
Raccordements</t>
  </si>
  <si>
    <t>LM</t>
  </si>
  <si>
    <t>LR</t>
  </si>
  <si>
    <t>CL</t>
  </si>
  <si>
    <t>Nombre
Passage W</t>
  </si>
  <si>
    <t xml:space="preserve">LM </t>
  </si>
  <si>
    <t>SAV</t>
  </si>
  <si>
    <t>REPRISE</t>
  </si>
  <si>
    <t>REMONTAGE</t>
  </si>
  <si>
    <t>COMPL</t>
  </si>
  <si>
    <t>TOTAL</t>
  </si>
  <si>
    <t>SUIVI MENSUEL</t>
  </si>
  <si>
    <t>SUIVI ANNUEL</t>
  </si>
  <si>
    <t>Janvier 2017</t>
  </si>
  <si>
    <t>Février 2017</t>
  </si>
  <si>
    <t>Mars 2017</t>
  </si>
  <si>
    <t>Avril 2017</t>
  </si>
  <si>
    <t>Mai 2017</t>
  </si>
  <si>
    <t>Juin 2017</t>
  </si>
  <si>
    <t>Juillet 2017</t>
  </si>
  <si>
    <t>Aout 2017</t>
  </si>
  <si>
    <t>Septembre 2017</t>
  </si>
  <si>
    <t>Octobre 2017</t>
  </si>
  <si>
    <t>Novembre 2017</t>
  </si>
  <si>
    <t>Décembre 2017</t>
  </si>
  <si>
    <t>ANNEE</t>
  </si>
  <si>
    <t>MOYENNE RACCOS / JOUR</t>
  </si>
  <si>
    <t xml:space="preserve"> 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</si>
  <si>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</si>
  <si>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</si>
  <si>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</si>
  <si>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</si>
  <si>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</si>
  <si>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</si>
  <si>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</si>
  <si>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Aout 2018</t>
  </si>
  <si>
    <t>Septembre 2018</t>
  </si>
  <si>
    <t>Octobre 2018</t>
  </si>
  <si>
    <t>Novembre 2018</t>
  </si>
  <si>
    <t>Décembre 2018</t>
  </si>
  <si>
    <t>COMP RACCOS / N-1</t>
  </si>
  <si>
    <t>Raccordements (Radio + Filaire)</t>
  </si>
  <si>
    <t>Fidélisation (Radio)</t>
  </si>
  <si>
    <t>SAV (Radio)</t>
  </si>
  <si>
    <t>COMPL (Radio)</t>
  </si>
  <si>
    <t>REPRISE (Radio)</t>
  </si>
  <si>
    <t>REMONTAGE (Radio)</t>
  </si>
  <si>
    <t>Raccordements</t>
  </si>
  <si>
    <t>Fidélisation</t>
  </si>
  <si>
    <t>Service Raccordement v3.0 - Tous droits reservés - Romain Despret - 2019 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</si>
</sst>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+0;\-0;0"/>
  </numFmts>
  <fonts count="3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theme="1"/>
      <name val="Century Gothic"/>
      <family val="2"/>
    </font>
    <font>
      <b/>
      <u/>
      <sz val="9"/>
      <color theme="1"/>
      <name val="Century Gothic"/>
      <family val="2"/>
    </font>
    <font>
      <b/>
      <sz val="10"/>
      <color theme="1"/>
      <name val="Century Gothic"/>
      <family val="2"/>
    </font>
    <font>
      <b/>
      <sz val="11"/>
      <color theme="1"/>
      <name val="Century Gothic"/>
      <family val="2"/>
    </font>
    <font>
      <b/>
      <u/>
      <sz val="7"/>
      <color theme="1"/>
      <name val="Century Gothic"/>
      <family val="2"/>
    </font>
    <font>
      <sz val="11"/>
      <color theme="1"/>
      <name val="Century Gothic"/>
      <family val="2"/>
    </font>
    <font>
      <b/>
      <u/>
      <sz val="11"/>
      <color theme="1"/>
      <name val="Century Gothic"/>
      <family val="2"/>
    </font>
    <font>
      <i/>
      <sz val="10"/>
      <color theme="1"/>
      <name val="Century Gothic"/>
      <family val="2"/>
    </font>
    <font>
      <b/>
      <u/>
      <sz val="8"/>
      <color theme="1"/>
      <name val="Century Gothic"/>
      <family val="2"/>
    </font>
    <font>
      <b/>
      <i/>
      <u/>
      <sz val="9"/>
      <color theme="1"/>
      <name val="Century Gothic"/>
      <family val="2"/>
    </font>
    <font>
      <i/>
      <sz val="11"/>
      <color theme="1"/>
      <name val="Century Gothic"/>
      <family val="2"/>
    </font>
    <font>
      <b/>
      <i/>
      <sz val="9"/>
      <color rgb="FFFFC000"/>
      <name val="Century Gothic"/>
      <family val="2"/>
    </font>
    <font>
      <b/>
      <i/>
      <u/>
      <sz val="9"/>
      <color rgb="FF7030A0"/>
      <name val="Century Gothic"/>
      <family val="2"/>
    </font>
    <font>
      <b/>
      <i/>
      <sz val="10"/>
      <color rgb="FF7030A0"/>
      <name val="Century Gothic"/>
      <family val="2"/>
    </font>
    <font>
      <sz val="11"/>
      <color rgb="FF7030A0"/>
      <name val="Century Gothic"/>
      <family val="2"/>
    </font>
    <font>
      <b/>
      <i/>
      <sz val="12"/>
      <color rgb="FFFFC000"/>
      <name val="Century Gothic"/>
      <family val="2"/>
    </font>
    <font>
      <i/>
      <sz val="12"/>
      <color rgb="FFFFC000"/>
      <name val="Century Gothic"/>
      <family val="2"/>
    </font>
    <font>
      <b/>
      <i/>
      <sz val="11"/>
      <color rgb="FF7030A0"/>
      <name val="Century Gothic"/>
      <family val="2"/>
    </font>
    <font>
      <b/>
      <i/>
      <sz val="11"/>
      <color rgb="FFFFC000"/>
      <name val="Century Gothic"/>
      <family val="2"/>
    </font>
    <font>
      <b/>
      <sz val="10"/>
      <color rgb="FF7030A0"/>
      <name val="Century Gothic"/>
      <family val="2"/>
    </font>
    <font>
      <b/>
      <i/>
      <sz val="10"/>
      <color rgb="FFFF0000"/>
      <name val="Century Gothic"/>
      <family val="2"/>
    </font>
    <font>
      <b/>
      <i/>
      <u/>
      <sz val="12"/>
      <color rgb="FF7030A0"/>
      <name val="Century Gothic"/>
      <family val="2"/>
    </font>
    <font>
      <i/>
      <sz val="11"/>
      <color theme="1"/>
      <name val="Calibri"/>
      <family val="2"/>
      <scheme val="minor"/>
    </font>
    <font>
      <b/>
      <i/>
      <u/>
      <sz val="8"/>
      <color rgb="FF7030A0"/>
      <name val="Century Gothic"/>
      <family val="2"/>
    </font>
    <font>
      <b/>
      <i/>
      <u/>
      <sz val="11"/>
      <color rgb="FF7030A0"/>
      <name val="Century Gothic"/>
      <family val="2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2"/>
      <color theme="1"/>
      <name val="Century Gothic"/>
      <family val="2"/>
    </font>
    <font>
      <i/>
      <u/>
      <sz val="9"/>
      <color rgb="FF7030A0"/>
      <name val="Century Gothic"/>
      <family val="2"/>
    </font>
    <font>
      <b/>
      <u/>
      <sz val="7"/>
      <color rgb="FF7030A0"/>
      <name val="Century Gothic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thick">
        <color rgb="FF7030A0"/>
      </right>
      <top style="medium">
        <color rgb="FF7030A0"/>
      </top>
      <bottom style="thin">
        <color rgb="FF7030A0"/>
      </bottom>
      <diagonal/>
    </border>
    <border>
      <left style="thick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ck">
        <color rgb="FF7030A0"/>
      </right>
      <top style="thin">
        <color rgb="FF7030A0"/>
      </top>
      <bottom style="thin">
        <color rgb="FF7030A0"/>
      </bottom>
      <diagonal/>
    </border>
    <border>
      <left style="thick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ck">
        <color rgb="FF7030A0"/>
      </right>
      <top style="thin">
        <color rgb="FF7030A0"/>
      </top>
      <bottom/>
      <diagonal/>
    </border>
    <border>
      <left style="thick">
        <color rgb="FFFFC000"/>
      </left>
      <right style="thin">
        <color rgb="FFFFC000"/>
      </right>
      <top style="medium">
        <color rgb="FF7030A0"/>
      </top>
      <bottom style="medium">
        <color rgb="FF7030A0"/>
      </bottom>
      <diagonal/>
    </border>
    <border>
      <left style="thin">
        <color rgb="FFFFC000"/>
      </left>
      <right style="thin">
        <color rgb="FFFFC000"/>
      </right>
      <top style="medium">
        <color rgb="FF7030A0"/>
      </top>
      <bottom style="medium">
        <color rgb="FF7030A0"/>
      </bottom>
      <diagonal/>
    </border>
    <border>
      <left style="thin">
        <color rgb="FFFFC000"/>
      </left>
      <right style="medium">
        <color rgb="FFFFC00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ck">
        <color rgb="FFFFC000"/>
      </left>
      <right style="thin">
        <color rgb="FFFFC000"/>
      </right>
      <top/>
      <bottom style="medium">
        <color rgb="FF7030A0"/>
      </bottom>
      <diagonal/>
    </border>
    <border>
      <left style="thin">
        <color rgb="FFFFC000"/>
      </left>
      <right style="thin">
        <color rgb="FFFFC000"/>
      </right>
      <top/>
      <bottom style="medium">
        <color rgb="FF7030A0"/>
      </bottom>
      <diagonal/>
    </border>
    <border>
      <left style="medium">
        <color rgb="FFFFC000"/>
      </left>
      <right style="medium">
        <color rgb="FF7030A0"/>
      </right>
      <top/>
      <bottom style="medium">
        <color rgb="FF7030A0"/>
      </bottom>
      <diagonal/>
    </border>
    <border>
      <left style="thin">
        <color rgb="FFFFC000"/>
      </left>
      <right/>
      <top/>
      <bottom style="medium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medium">
        <color rgb="FF7030A0"/>
      </left>
      <right style="medium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 style="thin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 style="thin">
        <color rgb="FF7030A0"/>
      </top>
      <bottom style="medium">
        <color rgb="FF7030A0"/>
      </bottom>
      <diagonal/>
    </border>
    <border>
      <left style="medium">
        <color rgb="FFFFC000"/>
      </left>
      <right style="thin">
        <color rgb="FFFFC000"/>
      </right>
      <top style="medium">
        <color rgb="FF7030A0"/>
      </top>
      <bottom style="medium">
        <color rgb="FF7030A0"/>
      </bottom>
      <diagonal/>
    </border>
    <border>
      <left style="medium">
        <color rgb="FFFFC000"/>
      </left>
      <right style="medium">
        <color rgb="FFFFC000"/>
      </right>
      <top/>
      <bottom style="medium">
        <color rgb="FF7030A0"/>
      </bottom>
      <diagonal/>
    </border>
    <border>
      <left style="medium">
        <color rgb="FFFFC000"/>
      </left>
      <right style="thin">
        <color rgb="FFFFC000"/>
      </right>
      <top/>
      <bottom style="medium">
        <color rgb="FF7030A0"/>
      </bottom>
      <diagonal/>
    </border>
    <border>
      <left style="thin">
        <color rgb="FFFFC000"/>
      </left>
      <right style="medium">
        <color rgb="FF7030A0"/>
      </right>
      <top/>
      <bottom style="medium">
        <color rgb="FF7030A0"/>
      </bottom>
      <diagonal/>
    </border>
    <border>
      <left style="medium">
        <color rgb="FF7030A0"/>
      </left>
      <right style="medium">
        <color rgb="FF7030A0"/>
      </right>
      <top style="thin">
        <color rgb="FF7030A0"/>
      </top>
      <bottom style="thin">
        <color rgb="FF7030A0"/>
      </bottom>
      <diagonal/>
    </border>
    <border>
      <left/>
      <right style="thin">
        <color rgb="FFFFC00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ck">
        <color rgb="FF7030A0"/>
      </left>
      <right style="thin">
        <color rgb="FFFFC000"/>
      </right>
      <top style="thin">
        <color rgb="FF7030A0"/>
      </top>
      <bottom style="medium">
        <color rgb="FF7030A0"/>
      </bottom>
      <diagonal/>
    </border>
    <border>
      <left style="thin">
        <color rgb="FFFFC000"/>
      </left>
      <right style="thin">
        <color rgb="FFFFC000"/>
      </right>
      <top style="thin">
        <color rgb="FF7030A0"/>
      </top>
      <bottom style="medium">
        <color rgb="FF7030A0"/>
      </bottom>
      <diagonal/>
    </border>
    <border>
      <left style="thin">
        <color rgb="FFFFC000"/>
      </left>
      <right style="thick">
        <color rgb="FFFFC00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thick">
        <color rgb="FF7030A0"/>
      </right>
      <top style="medium">
        <color rgb="FF7030A0"/>
      </top>
      <bottom style="medium">
        <color rgb="FF7030A0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center"/>
    </xf>
    <xf numFmtId="14" fontId="4" fillId="2" borderId="3" xfId="0" applyNumberFormat="1" applyFont="1" applyFill="1" applyBorder="1" applyAlignment="1">
      <alignment horizontal="center" vertical="center"/>
    </xf>
    <xf numFmtId="14" fontId="4" fillId="2" borderId="8" xfId="0" applyNumberFormat="1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 applyProtection="1">
      <alignment horizontal="center" vertical="center"/>
      <protection locked="0"/>
    </xf>
    <xf numFmtId="49" fontId="4" fillId="2" borderId="3" xfId="0" applyNumberFormat="1" applyFont="1" applyFill="1" applyBorder="1" applyAlignment="1" applyProtection="1">
      <alignment horizontal="left" vertical="center"/>
      <protection locked="0"/>
    </xf>
    <xf numFmtId="0" fontId="6" fillId="2" borderId="14" xfId="0" applyFont="1" applyFill="1" applyBorder="1" applyAlignment="1" applyProtection="1">
      <alignment horizontal="center" vertical="center" wrapText="1"/>
      <protection hidden="1"/>
    </xf>
    <xf numFmtId="0" fontId="1" fillId="7" borderId="0" xfId="0" applyFont="1" applyFill="1" applyAlignment="1">
      <alignment horizontal="center" vertical="center"/>
    </xf>
    <xf numFmtId="1" fontId="0" fillId="7" borderId="17" xfId="0" applyNumberFormat="1" applyFill="1" applyBorder="1" applyAlignment="1" applyProtection="1">
      <alignment horizontal="center" vertical="center"/>
      <protection hidden="1"/>
    </xf>
    <xf numFmtId="0" fontId="0" fillId="0" borderId="17" xfId="0" applyBorder="1"/>
    <xf numFmtId="0" fontId="7" fillId="3" borderId="5" xfId="0" applyFont="1" applyFill="1" applyBorder="1" applyAlignment="1" applyProtection="1">
      <alignment horizontal="center" vertical="center"/>
      <protection hidden="1"/>
    </xf>
    <xf numFmtId="0" fontId="7" fillId="4" borderId="1" xfId="0" applyFont="1" applyFill="1" applyBorder="1" applyAlignment="1" applyProtection="1">
      <alignment horizontal="center" vertical="center"/>
      <protection hidden="1"/>
    </xf>
    <xf numFmtId="0" fontId="7" fillId="4" borderId="6" xfId="0" applyFont="1" applyFill="1" applyBorder="1" applyAlignment="1" applyProtection="1">
      <alignment horizontal="center" vertical="center"/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0" borderId="0" xfId="0" applyFont="1" applyProtection="1">
      <protection locked="0"/>
    </xf>
    <xf numFmtId="0" fontId="7" fillId="0" borderId="3" xfId="0" applyFont="1" applyBorder="1" applyAlignment="1" applyProtection="1">
      <alignment horizontal="center"/>
      <protection hidden="1"/>
    </xf>
    <xf numFmtId="1" fontId="7" fillId="0" borderId="15" xfId="0" applyNumberFormat="1" applyFont="1" applyBorder="1" applyAlignment="1" applyProtection="1">
      <alignment horizontal="center" vertical="center"/>
      <protection hidden="1"/>
    </xf>
    <xf numFmtId="0" fontId="7" fillId="3" borderId="12" xfId="0" applyFont="1" applyFill="1" applyBorder="1" applyAlignment="1" applyProtection="1">
      <alignment horizontal="center" vertical="center"/>
      <protection hidden="1"/>
    </xf>
    <xf numFmtId="0" fontId="7" fillId="5" borderId="12" xfId="0" applyFont="1" applyFill="1" applyBorder="1" applyAlignment="1" applyProtection="1">
      <alignment horizontal="center" vertical="center"/>
      <protection hidden="1"/>
    </xf>
    <xf numFmtId="0" fontId="7" fillId="6" borderId="13" xfId="0" applyFont="1" applyFill="1" applyBorder="1" applyAlignment="1" applyProtection="1">
      <alignment horizontal="center"/>
      <protection hidden="1"/>
    </xf>
    <xf numFmtId="1" fontId="7" fillId="3" borderId="16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8" fillId="4" borderId="12" xfId="0" applyFont="1" applyFill="1" applyBorder="1" applyAlignment="1" applyProtection="1">
      <alignment horizontal="center" vertical="center"/>
      <protection hidden="1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4" borderId="6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5" borderId="6" xfId="0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7" fillId="0" borderId="1" xfId="0" applyFont="1" applyBorder="1" applyAlignment="1" applyProtection="1">
      <alignment horizont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4" borderId="10" xfId="0" applyFont="1" applyFill="1" applyBorder="1" applyAlignment="1" applyProtection="1">
      <alignment horizontal="center" vertical="center"/>
      <protection locked="0"/>
    </xf>
    <xf numFmtId="0" fontId="7" fillId="5" borderId="9" xfId="0" applyFont="1" applyFill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center"/>
      <protection hidden="1"/>
    </xf>
    <xf numFmtId="0" fontId="7" fillId="6" borderId="7" xfId="0" applyFont="1" applyFill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5" borderId="10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/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/>
      <protection hidden="1"/>
    </xf>
    <xf numFmtId="0" fontId="8" fillId="4" borderId="11" xfId="0" applyFont="1" applyFill="1" applyBorder="1" applyAlignment="1" applyProtection="1">
      <alignment horizontal="center" vertical="center"/>
      <protection hidden="1"/>
    </xf>
    <xf numFmtId="0" fontId="7" fillId="4" borderId="1" xfId="0" applyFont="1" applyFill="1" applyBorder="1" applyAlignment="1">
      <alignment horizontal="center" vertical="center"/>
    </xf>
    <xf numFmtId="164" fontId="0" fillId="0" borderId="15" xfId="0" applyNumberFormat="1" applyBorder="1" applyProtection="1">
      <protection hidden="1"/>
    </xf>
    <xf numFmtId="0" fontId="7" fillId="8" borderId="5" xfId="0" applyFont="1" applyFill="1" applyBorder="1" applyAlignment="1" applyProtection="1">
      <alignment horizontal="center" vertical="center"/>
      <protection hidden="1"/>
    </xf>
    <xf numFmtId="0" fontId="10" fillId="2" borderId="14" xfId="0" applyFont="1" applyFill="1" applyBorder="1" applyAlignment="1" applyProtection="1">
      <alignment horizontal="center" vertical="center" wrapText="1"/>
      <protection hidden="1"/>
    </xf>
    <xf numFmtId="0" fontId="0" fillId="0" borderId="0" xfId="0" applyNumberFormat="1"/>
    <xf numFmtId="0" fontId="5" fillId="8" borderId="5" xfId="0" applyFont="1" applyFill="1" applyBorder="1" applyAlignment="1" applyProtection="1">
      <alignment horizontal="center" vertical="center"/>
      <protection hidden="1"/>
    </xf>
    <xf numFmtId="0" fontId="5" fillId="8" borderId="9" xfId="0" applyFont="1" applyFill="1" applyBorder="1" applyAlignment="1" applyProtection="1">
      <alignment horizontal="center" vertical="center"/>
      <protection hidden="1"/>
    </xf>
    <xf numFmtId="0" fontId="5" fillId="3" borderId="12" xfId="0" applyFont="1" applyFill="1" applyBorder="1" applyAlignment="1" applyProtection="1">
      <alignment horizontal="center" vertical="center"/>
      <protection hidden="1"/>
    </xf>
    <xf numFmtId="0" fontId="13" fillId="9" borderId="0" xfId="0" applyFont="1" applyFill="1" applyAlignment="1" applyProtection="1">
      <alignment horizontal="center" vertical="center" wrapText="1"/>
      <protection hidden="1"/>
    </xf>
    <xf numFmtId="14" fontId="15" fillId="10" borderId="3" xfId="0" applyNumberFormat="1" applyFont="1" applyFill="1" applyBorder="1" applyAlignment="1">
      <alignment horizontal="center" vertical="center"/>
    </xf>
    <xf numFmtId="0" fontId="11" fillId="9" borderId="0" xfId="0" applyFont="1" applyFill="1" applyAlignment="1" applyProtection="1">
      <alignment vertical="center"/>
      <protection hidden="1"/>
    </xf>
    <xf numFmtId="0" fontId="7" fillId="9" borderId="0" xfId="0" applyFont="1" applyFill="1"/>
    <xf numFmtId="0" fontId="12" fillId="9" borderId="0" xfId="0" applyFont="1" applyFill="1"/>
    <xf numFmtId="0" fontId="14" fillId="10" borderId="18" xfId="0" applyFont="1" applyFill="1" applyBorder="1" applyAlignment="1" applyProtection="1">
      <alignment horizontal="center" vertical="center" wrapText="1"/>
      <protection hidden="1"/>
    </xf>
    <xf numFmtId="0" fontId="14" fillId="10" borderId="19" xfId="0" applyFont="1" applyFill="1" applyBorder="1" applyAlignment="1" applyProtection="1">
      <alignment horizontal="center" vertical="center" wrapText="1"/>
      <protection hidden="1"/>
    </xf>
    <xf numFmtId="0" fontId="14" fillId="10" borderId="20" xfId="0" applyFont="1" applyFill="1" applyBorder="1" applyAlignment="1" applyProtection="1">
      <alignment horizontal="center" vertical="center" wrapText="1"/>
      <protection hidden="1"/>
    </xf>
    <xf numFmtId="0" fontId="14" fillId="10" borderId="30" xfId="0" applyFont="1" applyFill="1" applyBorder="1" applyAlignment="1" applyProtection="1">
      <alignment horizontal="center" vertical="center" wrapText="1"/>
      <protection hidden="1"/>
    </xf>
    <xf numFmtId="0" fontId="16" fillId="8" borderId="22" xfId="0" applyFont="1" applyFill="1" applyBorder="1" applyAlignment="1" applyProtection="1">
      <alignment horizontal="center" vertical="center"/>
      <protection locked="0"/>
    </xf>
    <xf numFmtId="0" fontId="16" fillId="8" borderId="23" xfId="0" applyFont="1" applyFill="1" applyBorder="1" applyAlignment="1" applyProtection="1">
      <alignment horizontal="center" vertical="center"/>
      <protection locked="0"/>
    </xf>
    <xf numFmtId="0" fontId="17" fillId="9" borderId="32" xfId="0" applyFont="1" applyFill="1" applyBorder="1" applyAlignment="1" applyProtection="1">
      <alignment horizontal="center" vertical="center"/>
      <protection hidden="1"/>
    </xf>
    <xf numFmtId="0" fontId="18" fillId="9" borderId="33" xfId="0" applyFont="1" applyFill="1" applyBorder="1" applyAlignment="1" applyProtection="1">
      <alignment horizontal="center" vertical="center"/>
      <protection hidden="1"/>
    </xf>
    <xf numFmtId="0" fontId="14" fillId="10" borderId="21" xfId="0" applyFont="1" applyFill="1" applyBorder="1" applyAlignment="1" applyProtection="1">
      <alignment horizontal="center" vertical="center" wrapText="1"/>
      <protection hidden="1"/>
    </xf>
    <xf numFmtId="0" fontId="17" fillId="9" borderId="34" xfId="0" applyFont="1" applyFill="1" applyBorder="1" applyAlignment="1" applyProtection="1">
      <alignment horizontal="center"/>
      <protection hidden="1"/>
    </xf>
    <xf numFmtId="0" fontId="19" fillId="10" borderId="21" xfId="0" applyFont="1" applyFill="1" applyBorder="1" applyAlignment="1" applyProtection="1">
      <alignment horizontal="center"/>
      <protection hidden="1"/>
    </xf>
    <xf numFmtId="0" fontId="19" fillId="4" borderId="31" xfId="0" applyFont="1" applyFill="1" applyBorder="1" applyAlignment="1" applyProtection="1">
      <alignment horizontal="center" vertical="center"/>
      <protection hidden="1"/>
    </xf>
    <xf numFmtId="0" fontId="19" fillId="4" borderId="21" xfId="0" applyFont="1" applyFill="1" applyBorder="1" applyAlignment="1" applyProtection="1">
      <alignment horizontal="center" vertical="center"/>
      <protection hidden="1"/>
    </xf>
    <xf numFmtId="0" fontId="21" fillId="4" borderId="21" xfId="0" applyFont="1" applyFill="1" applyBorder="1" applyAlignment="1" applyProtection="1">
      <alignment horizontal="center" vertical="center"/>
      <protection locked="0"/>
    </xf>
    <xf numFmtId="0" fontId="21" fillId="4" borderId="22" xfId="0" applyFont="1" applyFill="1" applyBorder="1" applyAlignment="1" applyProtection="1">
      <alignment horizontal="center" vertical="center"/>
      <protection locked="0"/>
    </xf>
    <xf numFmtId="0" fontId="21" fillId="4" borderId="23" xfId="0" applyFont="1" applyFill="1" applyBorder="1" applyAlignment="1" applyProtection="1">
      <alignment horizontal="center" vertical="center"/>
      <protection locked="0"/>
    </xf>
    <xf numFmtId="0" fontId="21" fillId="4" borderId="24" xfId="0" applyFont="1" applyFill="1" applyBorder="1" applyAlignment="1" applyProtection="1">
      <alignment horizontal="center" vertical="center"/>
      <protection locked="0"/>
    </xf>
    <xf numFmtId="0" fontId="21" fillId="4" borderId="25" xfId="0" applyFont="1" applyFill="1" applyBorder="1" applyAlignment="1" applyProtection="1">
      <alignment horizontal="center" vertical="center"/>
      <protection locked="0"/>
    </xf>
    <xf numFmtId="0" fontId="21" fillId="4" borderId="26" xfId="0" applyFont="1" applyFill="1" applyBorder="1" applyAlignment="1" applyProtection="1">
      <alignment horizontal="center" vertical="center"/>
      <protection locked="0"/>
    </xf>
    <xf numFmtId="0" fontId="20" fillId="9" borderId="28" xfId="0" applyFont="1" applyFill="1" applyBorder="1" applyAlignment="1" applyProtection="1">
      <alignment horizontal="center" vertical="center"/>
      <protection hidden="1"/>
    </xf>
    <xf numFmtId="0" fontId="20" fillId="9" borderId="29" xfId="0" applyFont="1" applyFill="1" applyBorder="1" applyAlignment="1" applyProtection="1">
      <alignment horizontal="center" vertical="center"/>
      <protection hidden="1"/>
    </xf>
    <xf numFmtId="0" fontId="14" fillId="10" borderId="22" xfId="0" applyFont="1" applyFill="1" applyBorder="1" applyAlignment="1" applyProtection="1">
      <alignment horizontal="center" vertical="center" wrapText="1"/>
      <protection hidden="1"/>
    </xf>
    <xf numFmtId="0" fontId="14" fillId="10" borderId="23" xfId="0" applyFont="1" applyFill="1" applyBorder="1" applyAlignment="1" applyProtection="1">
      <alignment horizontal="center" vertical="center" wrapText="1"/>
      <protection hidden="1"/>
    </xf>
    <xf numFmtId="0" fontId="18" fillId="9" borderId="35" xfId="0" applyFont="1" applyFill="1" applyBorder="1" applyAlignment="1" applyProtection="1">
      <alignment horizontal="center" vertical="center"/>
      <protection hidden="1"/>
    </xf>
    <xf numFmtId="0" fontId="20" fillId="9" borderId="27" xfId="0" applyFont="1" applyFill="1" applyBorder="1" applyAlignment="1" applyProtection="1">
      <alignment horizontal="center" vertical="center"/>
      <protection hidden="1"/>
    </xf>
    <xf numFmtId="14" fontId="22" fillId="10" borderId="3" xfId="0" applyNumberFormat="1" applyFont="1" applyFill="1" applyBorder="1" applyAlignment="1">
      <alignment horizontal="center" vertical="center"/>
    </xf>
    <xf numFmtId="0" fontId="19" fillId="11" borderId="31" xfId="0" applyFont="1" applyFill="1" applyBorder="1" applyAlignment="1" applyProtection="1">
      <alignment horizontal="center" vertical="center"/>
      <protection hidden="1"/>
    </xf>
    <xf numFmtId="0" fontId="16" fillId="11" borderId="22" xfId="0" applyFont="1" applyFill="1" applyBorder="1" applyAlignment="1" applyProtection="1">
      <alignment horizontal="center" vertical="center"/>
      <protection locked="0"/>
    </xf>
    <xf numFmtId="0" fontId="16" fillId="11" borderId="23" xfId="0" applyFont="1" applyFill="1" applyBorder="1" applyAlignment="1" applyProtection="1">
      <alignment horizontal="center" vertical="center"/>
      <protection locked="0"/>
    </xf>
    <xf numFmtId="0" fontId="19" fillId="11" borderId="21" xfId="0" applyFont="1" applyFill="1" applyBorder="1" applyAlignment="1" applyProtection="1">
      <alignment horizontal="center" vertical="center"/>
      <protection hidden="1"/>
    </xf>
    <xf numFmtId="0" fontId="21" fillId="11" borderId="21" xfId="0" applyFont="1" applyFill="1" applyBorder="1" applyAlignment="1" applyProtection="1">
      <alignment horizontal="center" vertical="center"/>
      <protection locked="0"/>
    </xf>
    <xf numFmtId="0" fontId="21" fillId="11" borderId="22" xfId="0" applyFont="1" applyFill="1" applyBorder="1" applyAlignment="1" applyProtection="1">
      <alignment horizontal="center" vertical="center"/>
      <protection locked="0"/>
    </xf>
    <xf numFmtId="0" fontId="21" fillId="11" borderId="23" xfId="0" applyFont="1" applyFill="1" applyBorder="1" applyAlignment="1" applyProtection="1">
      <alignment horizontal="center" vertical="center"/>
      <protection locked="0"/>
    </xf>
    <xf numFmtId="0" fontId="21" fillId="11" borderId="24" xfId="0" applyFont="1" applyFill="1" applyBorder="1" applyAlignment="1" applyProtection="1">
      <alignment horizontal="center" vertical="center"/>
      <protection locked="0"/>
    </xf>
    <xf numFmtId="0" fontId="21" fillId="11" borderId="25" xfId="0" applyFont="1" applyFill="1" applyBorder="1" applyAlignment="1" applyProtection="1">
      <alignment horizontal="center" vertical="center"/>
      <protection locked="0"/>
    </xf>
    <xf numFmtId="0" fontId="21" fillId="11" borderId="26" xfId="0" applyFont="1" applyFill="1" applyBorder="1" applyAlignment="1" applyProtection="1">
      <alignment horizontal="center" vertical="center"/>
      <protection locked="0"/>
    </xf>
    <xf numFmtId="0" fontId="20" fillId="9" borderId="0" xfId="0" applyFont="1" applyFill="1" applyAlignment="1" applyProtection="1">
      <alignment horizontal="center" vertical="center" wrapText="1"/>
      <protection hidden="1"/>
    </xf>
    <xf numFmtId="0" fontId="24" fillId="0" borderId="0" xfId="0" applyFont="1"/>
    <xf numFmtId="49" fontId="15" fillId="10" borderId="3" xfId="0" applyNumberFormat="1" applyFont="1" applyFill="1" applyBorder="1" applyAlignment="1" applyProtection="1">
      <alignment horizontal="left" vertical="center"/>
      <protection locked="0"/>
    </xf>
    <xf numFmtId="0" fontId="14" fillId="9" borderId="0" xfId="0" applyFont="1" applyFill="1" applyAlignment="1" applyProtection="1">
      <alignment vertical="center"/>
      <protection hidden="1"/>
    </xf>
    <xf numFmtId="0" fontId="29" fillId="9" borderId="0" xfId="0" applyFont="1" applyFill="1" applyProtection="1">
      <protection locked="0"/>
    </xf>
    <xf numFmtId="0" fontId="16" fillId="9" borderId="0" xfId="0" applyFont="1" applyFill="1" applyProtection="1">
      <protection locked="0"/>
    </xf>
    <xf numFmtId="0" fontId="21" fillId="11" borderId="36" xfId="0" applyFont="1" applyFill="1" applyBorder="1" applyAlignment="1" applyProtection="1">
      <alignment horizontal="center" vertical="center"/>
      <protection locked="0"/>
    </xf>
    <xf numFmtId="0" fontId="21" fillId="4" borderId="36" xfId="0" applyFont="1" applyFill="1" applyBorder="1" applyAlignment="1" applyProtection="1">
      <alignment horizontal="center" vertical="center"/>
      <protection locked="0"/>
    </xf>
    <xf numFmtId="0" fontId="14" fillId="10" borderId="31" xfId="0" applyFont="1" applyFill="1" applyBorder="1" applyAlignment="1" applyProtection="1">
      <alignment horizontal="center" vertical="center" wrapText="1"/>
      <protection hidden="1"/>
    </xf>
    <xf numFmtId="0" fontId="30" fillId="10" borderId="22" xfId="0" applyFont="1" applyFill="1" applyBorder="1" applyAlignment="1" applyProtection="1">
      <alignment horizontal="center" vertical="center"/>
      <protection hidden="1"/>
    </xf>
    <xf numFmtId="0" fontId="30" fillId="10" borderId="38" xfId="0" applyFont="1" applyFill="1" applyBorder="1" applyAlignment="1" applyProtection="1">
      <alignment horizontal="center" vertical="center"/>
      <protection hidden="1"/>
    </xf>
    <xf numFmtId="0" fontId="16" fillId="8" borderId="22" xfId="0" applyFont="1" applyFill="1" applyBorder="1" applyAlignment="1" applyProtection="1">
      <alignment horizontal="center" vertical="center"/>
      <protection hidden="1"/>
    </xf>
    <xf numFmtId="0" fontId="16" fillId="8" borderId="38" xfId="0" applyFont="1" applyFill="1" applyBorder="1" applyAlignment="1" applyProtection="1">
      <alignment horizontal="center" vertical="center"/>
      <protection hidden="1"/>
    </xf>
    <xf numFmtId="0" fontId="19" fillId="4" borderId="39" xfId="0" applyFont="1" applyFill="1" applyBorder="1" applyAlignment="1" applyProtection="1">
      <alignment horizontal="center" vertical="center"/>
      <protection hidden="1"/>
    </xf>
    <xf numFmtId="0" fontId="16" fillId="8" borderId="40" xfId="0" applyFont="1" applyFill="1" applyBorder="1" applyAlignment="1" applyProtection="1">
      <alignment horizontal="center" vertical="center"/>
      <protection hidden="1"/>
    </xf>
    <xf numFmtId="0" fontId="16" fillId="8" borderId="41" xfId="0" applyFont="1" applyFill="1" applyBorder="1" applyAlignment="1" applyProtection="1">
      <alignment horizontal="center" vertical="center"/>
      <protection hidden="1"/>
    </xf>
    <xf numFmtId="0" fontId="18" fillId="9" borderId="28" xfId="0" applyFont="1" applyFill="1" applyBorder="1" applyAlignment="1" applyProtection="1">
      <alignment horizontal="center" vertical="center"/>
      <protection hidden="1"/>
    </xf>
    <xf numFmtId="0" fontId="18" fillId="9" borderId="29" xfId="0" applyFont="1" applyFill="1" applyBorder="1" applyAlignment="1" applyProtection="1">
      <alignment horizontal="center" vertical="center"/>
      <protection hidden="1"/>
    </xf>
    <xf numFmtId="0" fontId="17" fillId="9" borderId="42" xfId="0" applyFont="1" applyFill="1" applyBorder="1" applyAlignment="1" applyProtection="1">
      <alignment horizontal="center" vertical="center"/>
      <protection hidden="1"/>
    </xf>
    <xf numFmtId="0" fontId="17" fillId="9" borderId="43" xfId="0" applyFont="1" applyFill="1" applyBorder="1" applyAlignment="1" applyProtection="1">
      <alignment horizontal="center"/>
      <protection hidden="1"/>
    </xf>
    <xf numFmtId="1" fontId="18" fillId="9" borderId="44" xfId="0" applyNumberFormat="1" applyFont="1" applyFill="1" applyBorder="1" applyAlignment="1" applyProtection="1">
      <alignment horizontal="center" vertical="center"/>
      <protection hidden="1"/>
    </xf>
    <xf numFmtId="164" fontId="28" fillId="0" borderId="45" xfId="0" applyNumberFormat="1" applyFont="1" applyBorder="1" applyProtection="1">
      <protection hidden="1"/>
    </xf>
    <xf numFmtId="0" fontId="14" fillId="10" borderId="46" xfId="0" applyFont="1" applyFill="1" applyBorder="1" applyAlignment="1" applyProtection="1">
      <alignment horizontal="center" vertical="center"/>
      <protection hidden="1"/>
    </xf>
    <xf numFmtId="0" fontId="25" fillId="10" borderId="46" xfId="0" applyFont="1" applyFill="1" applyBorder="1" applyAlignment="1" applyProtection="1">
      <alignment horizontal="center" vertical="center" wrapText="1"/>
      <protection hidden="1"/>
    </xf>
    <xf numFmtId="0" fontId="19" fillId="4" borderId="46" xfId="0" applyFont="1" applyFill="1" applyBorder="1" applyAlignment="1" applyProtection="1">
      <alignment horizontal="center"/>
      <protection hidden="1"/>
    </xf>
    <xf numFmtId="1" fontId="16" fillId="0" borderId="46" xfId="0" applyNumberFormat="1" applyFont="1" applyBorder="1" applyAlignment="1" applyProtection="1">
      <alignment horizontal="center" vertical="center"/>
      <protection hidden="1"/>
    </xf>
    <xf numFmtId="164" fontId="27" fillId="0" borderId="46" xfId="0" applyNumberFormat="1" applyFont="1" applyBorder="1" applyProtection="1">
      <protection hidden="1"/>
    </xf>
    <xf numFmtId="0" fontId="19" fillId="4" borderId="37" xfId="0" applyFont="1" applyFill="1" applyBorder="1" applyAlignment="1" applyProtection="1">
      <alignment horizontal="center"/>
      <protection hidden="1"/>
    </xf>
    <xf numFmtId="1" fontId="16" fillId="0" borderId="37" xfId="0" applyNumberFormat="1" applyFont="1" applyBorder="1" applyAlignment="1" applyProtection="1">
      <alignment horizontal="center" vertical="center"/>
      <protection hidden="1"/>
    </xf>
    <xf numFmtId="164" fontId="27" fillId="0" borderId="37" xfId="0" applyNumberFormat="1" applyFont="1" applyBorder="1" applyProtection="1">
      <protection hidden="1"/>
    </xf>
    <xf numFmtId="0" fontId="17" fillId="9" borderId="47" xfId="0" applyFont="1" applyFill="1" applyBorder="1" applyAlignment="1" applyProtection="1">
      <alignment horizontal="center" vertical="center"/>
      <protection hidden="1"/>
    </xf>
    <xf numFmtId="49" fontId="15" fillId="10" borderId="8" xfId="0" applyNumberFormat="1" applyFont="1" applyFill="1" applyBorder="1" applyAlignment="1" applyProtection="1">
      <alignment horizontal="left" vertical="center"/>
      <protection locked="0"/>
    </xf>
    <xf numFmtId="0" fontId="26" fillId="4" borderId="48" xfId="0" applyFont="1" applyFill="1" applyBorder="1" applyAlignment="1" applyProtection="1">
      <alignment horizontal="center" vertical="center"/>
      <protection hidden="1"/>
    </xf>
    <xf numFmtId="0" fontId="17" fillId="9" borderId="49" xfId="0" applyFont="1" applyFill="1" applyBorder="1" applyAlignment="1" applyProtection="1">
      <alignment horizontal="center" vertical="center"/>
      <protection hidden="1"/>
    </xf>
    <xf numFmtId="0" fontId="18" fillId="9" borderId="50" xfId="0" applyFont="1" applyFill="1" applyBorder="1" applyAlignment="1" applyProtection="1">
      <alignment horizontal="center" vertical="center"/>
      <protection hidden="1"/>
    </xf>
    <xf numFmtId="0" fontId="18" fillId="9" borderId="51" xfId="0" applyFont="1" applyFill="1" applyBorder="1" applyAlignment="1" applyProtection="1">
      <alignment horizontal="center" vertical="center"/>
      <protection hidden="1"/>
    </xf>
    <xf numFmtId="14" fontId="15" fillId="10" borderId="8" xfId="0" applyNumberFormat="1" applyFont="1" applyFill="1" applyBorder="1" applyAlignment="1">
      <alignment horizontal="center" vertical="center"/>
    </xf>
    <xf numFmtId="0" fontId="23" fillId="4" borderId="52" xfId="0" applyFont="1" applyFill="1" applyBorder="1" applyAlignment="1" applyProtection="1">
      <alignment horizontal="center" vertical="center"/>
      <protection hidden="1"/>
    </xf>
    <xf numFmtId="0" fontId="31" fillId="10" borderId="46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1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numFmt numFmtId="0" formatCode="General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numFmt numFmtId="0" formatCode="General"/>
    </dxf>
    <dxf>
      <font>
        <color theme="0"/>
      </font>
      <numFmt numFmtId="0" formatCode="General"/>
    </dxf>
  </dxfs>
  <tableStyles count="0" defaultTableStyle="TableStyleMedium2" defaultPivotStyle="PivotStyleLight16"/>
  <colors>
    <mruColors>
      <color rgb="FF41A964"/>
      <color rgb="FF46B86C"/>
      <color rgb="FF53BD76"/>
      <color rgb="FF00D05E"/>
      <color rgb="FFFFCF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latin typeface="Century Gothic" panose="020B0502020202020204" pitchFamily="34" charset="0"/>
              </a:rPr>
              <a:t>Comparatif Mensuel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'Année 2017'!$B$1</c:f>
              <c:strCache>
                <c:ptCount val="1"/>
                <c:pt idx="0">
                  <c:v>Nombre
Raccordements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'Année 2017'!$A$2:$A$13</c:f>
              <c:strCache>
                <c:ptCount val="12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Aout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</c:strCache>
            </c:strRef>
          </c:cat>
          <c:val>
            <c:numRef>
              <c:f>'Année 2017'!$B$2:$B$13</c:f>
              <c:numCache>
                <c:formatCode>General</c:formatCode>
                <c:ptCount val="12"/>
                <c:pt idx="0">
                  <c:v>805</c:v>
                </c:pt>
                <c:pt idx="1">
                  <c:v>759</c:v>
                </c:pt>
                <c:pt idx="2">
                  <c:v>992</c:v>
                </c:pt>
                <c:pt idx="3">
                  <c:v>900</c:v>
                </c:pt>
                <c:pt idx="4">
                  <c:v>925</c:v>
                </c:pt>
                <c:pt idx="5">
                  <c:v>1211</c:v>
                </c:pt>
                <c:pt idx="6">
                  <c:v>1251</c:v>
                </c:pt>
                <c:pt idx="7">
                  <c:v>1040</c:v>
                </c:pt>
                <c:pt idx="8">
                  <c:v>915</c:v>
                </c:pt>
                <c:pt idx="9">
                  <c:v>1023</c:v>
                </c:pt>
                <c:pt idx="10">
                  <c:v>971</c:v>
                </c:pt>
                <c:pt idx="11">
                  <c:v>1107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C4-4E37-839D-E86E0AB73B09}"/>
            </c:ext>
          </c:extLst>
        </c:ser>
        <c:ser>
          <c:idx val="1"/>
          <c:order val="1"/>
          <c:tx>
            <c:strRef>
              <c:f>'Année 2017'!$F$1</c:f>
              <c:strCache>
                <c:ptCount val="1"/>
                <c:pt idx="0">
                  <c:v>Nombre
Passage W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'Année 2017'!$A$2:$A$13</c:f>
              <c:strCache>
                <c:ptCount val="12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Aout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</c:strCache>
            </c:strRef>
          </c:cat>
          <c:val>
            <c:numRef>
              <c:f>'Année 2017'!$F$2:$F$13</c:f>
              <c:numCache>
                <c:formatCode>General</c:formatCode>
                <c:ptCount val="12"/>
                <c:pt idx="0">
                  <c:v>195</c:v>
                </c:pt>
                <c:pt idx="1">
                  <c:v>154</c:v>
                </c:pt>
                <c:pt idx="2">
                  <c:v>184</c:v>
                </c:pt>
                <c:pt idx="3">
                  <c:v>167</c:v>
                </c:pt>
                <c:pt idx="4">
                  <c:v>145</c:v>
                </c:pt>
                <c:pt idx="5">
                  <c:v>166</c:v>
                </c:pt>
                <c:pt idx="6">
                  <c:v>174</c:v>
                </c:pt>
                <c:pt idx="7">
                  <c:v>144</c:v>
                </c:pt>
                <c:pt idx="8">
                  <c:v>165</c:v>
                </c:pt>
                <c:pt idx="9">
                  <c:v>197</c:v>
                </c:pt>
                <c:pt idx="10">
                  <c:v>187</c:v>
                </c:pt>
                <c:pt idx="11">
                  <c:v>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C4-4E37-839D-E86E0AB73B0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86729496"/>
        <c:axId val="188820896"/>
        <c:axId val="0"/>
      </c:bar3DChart>
      <c:catAx>
        <c:axId val="186729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820896"/>
        <c:crosses val="autoZero"/>
        <c:auto val="1"/>
        <c:lblAlgn val="ctr"/>
        <c:lblOffset val="100"/>
        <c:noMultiLvlLbl val="0"/>
      </c:catAx>
      <c:valAx>
        <c:axId val="18882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2">
                  <a:lumMod val="5000"/>
                  <a:lumOff val="9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729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latin typeface="Century Gothic" panose="020B0502020202020204" pitchFamily="34" charset="0"/>
              </a:rPr>
              <a:t>Comparatif</a:t>
            </a:r>
            <a:r>
              <a:rPr lang="fr-FR" baseline="0">
                <a:latin typeface="Century Gothic" panose="020B0502020202020204" pitchFamily="34" charset="0"/>
              </a:rPr>
              <a:t> Raccos / Centres</a:t>
            </a:r>
            <a:endParaRPr lang="fr-FR">
              <a:latin typeface="Century Gothic" panose="020B0502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'Année 2017'!$C$1</c:f>
              <c:strCache>
                <c:ptCount val="1"/>
                <c:pt idx="0">
                  <c:v>LM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cat>
            <c:strRef>
              <c:f>'Année 2017'!$A$2:$A$13</c:f>
              <c:strCache>
                <c:ptCount val="12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Aout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</c:strCache>
            </c:strRef>
          </c:cat>
          <c:val>
            <c:numRef>
              <c:f>'Année 2017'!$C$2:$C$13</c:f>
              <c:numCache>
                <c:formatCode>General</c:formatCode>
                <c:ptCount val="12"/>
                <c:pt idx="0">
                  <c:v>328</c:v>
                </c:pt>
                <c:pt idx="1">
                  <c:v>311</c:v>
                </c:pt>
                <c:pt idx="2">
                  <c:v>377</c:v>
                </c:pt>
                <c:pt idx="3">
                  <c:v>377</c:v>
                </c:pt>
                <c:pt idx="4">
                  <c:v>395</c:v>
                </c:pt>
                <c:pt idx="5">
                  <c:v>513</c:v>
                </c:pt>
                <c:pt idx="6">
                  <c:v>578</c:v>
                </c:pt>
                <c:pt idx="7">
                  <c:v>411</c:v>
                </c:pt>
                <c:pt idx="8">
                  <c:v>348</c:v>
                </c:pt>
                <c:pt idx="9">
                  <c:v>440</c:v>
                </c:pt>
                <c:pt idx="10">
                  <c:v>384</c:v>
                </c:pt>
                <c:pt idx="11">
                  <c:v>479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AD-4328-A91A-F0AD8DFCF15F}"/>
            </c:ext>
          </c:extLst>
        </c:ser>
        <c:ser>
          <c:idx val="1"/>
          <c:order val="1"/>
          <c:tx>
            <c:strRef>
              <c:f>'Année 2017'!$D$1</c:f>
              <c:strCache>
                <c:ptCount val="1"/>
                <c:pt idx="0">
                  <c:v>LR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cat>
            <c:strRef>
              <c:f>'Année 2017'!$A$2:$A$13</c:f>
              <c:strCache>
                <c:ptCount val="12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Aout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</c:strCache>
            </c:strRef>
          </c:cat>
          <c:val>
            <c:numRef>
              <c:f>'Année 2017'!$D$2:$D$13</c:f>
              <c:numCache>
                <c:formatCode>General</c:formatCode>
                <c:ptCount val="12"/>
                <c:pt idx="0">
                  <c:v>256</c:v>
                </c:pt>
                <c:pt idx="1">
                  <c:v>269</c:v>
                </c:pt>
                <c:pt idx="2">
                  <c:v>337</c:v>
                </c:pt>
                <c:pt idx="3">
                  <c:v>314</c:v>
                </c:pt>
                <c:pt idx="4">
                  <c:v>306</c:v>
                </c:pt>
                <c:pt idx="5">
                  <c:v>396</c:v>
                </c:pt>
                <c:pt idx="6">
                  <c:v>426</c:v>
                </c:pt>
                <c:pt idx="7">
                  <c:v>375</c:v>
                </c:pt>
                <c:pt idx="8">
                  <c:v>346</c:v>
                </c:pt>
                <c:pt idx="9">
                  <c:v>353</c:v>
                </c:pt>
                <c:pt idx="10">
                  <c:v>362</c:v>
                </c:pt>
                <c:pt idx="11">
                  <c:v>376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AD-4328-A91A-F0AD8DFCF15F}"/>
            </c:ext>
          </c:extLst>
        </c:ser>
        <c:ser>
          <c:idx val="2"/>
          <c:order val="2"/>
          <c:tx>
            <c:strRef>
              <c:f>'Année 2017'!$E$1</c:f>
              <c:strCache>
                <c:ptCount val="1"/>
                <c:pt idx="0">
                  <c:v>CL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cat>
            <c:strRef>
              <c:f>'Année 2017'!$A$2:$A$13</c:f>
              <c:strCache>
                <c:ptCount val="12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Aout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</c:strCache>
            </c:strRef>
          </c:cat>
          <c:val>
            <c:numRef>
              <c:f>'Année 2017'!$E$2:$E$13</c:f>
              <c:numCache>
                <c:formatCode>General</c:formatCode>
                <c:ptCount val="12"/>
                <c:pt idx="0">
                  <c:v>221</c:v>
                </c:pt>
                <c:pt idx="1">
                  <c:v>179</c:v>
                </c:pt>
                <c:pt idx="2">
                  <c:v>278</c:v>
                </c:pt>
                <c:pt idx="3">
                  <c:v>209</c:v>
                </c:pt>
                <c:pt idx="4">
                  <c:v>224</c:v>
                </c:pt>
                <c:pt idx="5">
                  <c:v>302</c:v>
                </c:pt>
                <c:pt idx="6">
                  <c:v>247</c:v>
                </c:pt>
                <c:pt idx="7">
                  <c:v>254</c:v>
                </c:pt>
                <c:pt idx="8">
                  <c:v>221</c:v>
                </c:pt>
                <c:pt idx="9">
                  <c:v>230</c:v>
                </c:pt>
                <c:pt idx="10">
                  <c:v>225</c:v>
                </c:pt>
                <c:pt idx="11">
                  <c:v>252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8AD-4328-A91A-F0AD8DFCF1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7985856"/>
        <c:axId val="188528848"/>
        <c:axId val="0"/>
      </c:bar3DChart>
      <c:catAx>
        <c:axId val="187985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528848"/>
        <c:crosses val="autoZero"/>
        <c:auto val="1"/>
        <c:lblAlgn val="ctr"/>
        <c:lblOffset val="100"/>
        <c:noMultiLvlLbl val="0"/>
      </c:catAx>
      <c:valAx>
        <c:axId val="18852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2">
                  <a:lumMod val="5000"/>
                  <a:lumOff val="9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985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7958790781622"/>
          <c:y val="0.9099995167160484"/>
          <c:w val="0.76137340172599821"/>
          <c:h val="6.63939210314023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latin typeface="Century Gothic" panose="020B0502020202020204" pitchFamily="34" charset="0"/>
              </a:rPr>
              <a:t>Comparatif Mensuel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'Année 2018'!$B$1</c:f>
              <c:strCache>
                <c:ptCount val="1"/>
                <c:pt idx="0">
                  <c:v>Nombre
Raccordements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'Année 2018'!$A$2:$A$13</c:f>
              <c:strCache>
                <c:ptCount val="12"/>
                <c:pt idx="0">
                  <c:v>Janvier 2018</c:v>
                </c:pt>
                <c:pt idx="1">
                  <c:v>Février 2018</c:v>
                </c:pt>
                <c:pt idx="2">
                  <c:v>Mars 2018</c:v>
                </c:pt>
                <c:pt idx="3">
                  <c:v>Avril 2018</c:v>
                </c:pt>
                <c:pt idx="4">
                  <c:v>Mai 2018</c:v>
                </c:pt>
                <c:pt idx="5">
                  <c:v>Juin 2018</c:v>
                </c:pt>
                <c:pt idx="6">
                  <c:v>Juillet 2018</c:v>
                </c:pt>
                <c:pt idx="7">
                  <c:v>Aout 2018</c:v>
                </c:pt>
                <c:pt idx="8">
                  <c:v>Septembre 2018</c:v>
                </c:pt>
                <c:pt idx="9">
                  <c:v>Octobre 2018</c:v>
                </c:pt>
                <c:pt idx="10">
                  <c:v>Novembre 2018</c:v>
                </c:pt>
                <c:pt idx="11">
                  <c:v>Décembre 2018</c:v>
                </c:pt>
              </c:strCache>
            </c:strRef>
          </c:cat>
          <c:val>
            <c:numRef>
              <c:f>'Année 2018'!$B$2:$B$13</c:f>
              <c:numCache>
                <c:formatCode>General</c:formatCode>
                <c:ptCount val="12"/>
                <c:pt idx="0">
                  <c:v>1070</c:v>
                </c:pt>
                <c:pt idx="1">
                  <c:v>999</c:v>
                </c:pt>
                <c:pt idx="2">
                  <c:v>1150</c:v>
                </c:pt>
                <c:pt idx="3">
                  <c:v>1113</c:v>
                </c:pt>
                <c:pt idx="4">
                  <c:v>1049</c:v>
                </c:pt>
                <c:pt idx="5">
                  <c:v>1295</c:v>
                </c:pt>
                <c:pt idx="6">
                  <c:v>1418</c:v>
                </c:pt>
                <c:pt idx="7">
                  <c:v>839</c:v>
                </c:pt>
                <c:pt idx="8">
                  <c:v>821</c:v>
                </c:pt>
                <c:pt idx="9">
                  <c:v>1050</c:v>
                </c:pt>
                <c:pt idx="10">
                  <c:v>817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6D-4582-A296-F55157D8646A}"/>
            </c:ext>
          </c:extLst>
        </c:ser>
        <c:ser>
          <c:idx val="1"/>
          <c:order val="1"/>
          <c:tx>
            <c:strRef>
              <c:f>'Année 2018'!$F$1</c:f>
              <c:strCache>
                <c:ptCount val="1"/>
                <c:pt idx="0">
                  <c:v>Nombre
Passage W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'Année 2018'!$A$2:$A$13</c:f>
              <c:strCache>
                <c:ptCount val="12"/>
                <c:pt idx="0">
                  <c:v>Janvier 2018</c:v>
                </c:pt>
                <c:pt idx="1">
                  <c:v>Février 2018</c:v>
                </c:pt>
                <c:pt idx="2">
                  <c:v>Mars 2018</c:v>
                </c:pt>
                <c:pt idx="3">
                  <c:v>Avril 2018</c:v>
                </c:pt>
                <c:pt idx="4">
                  <c:v>Mai 2018</c:v>
                </c:pt>
                <c:pt idx="5">
                  <c:v>Juin 2018</c:v>
                </c:pt>
                <c:pt idx="6">
                  <c:v>Juillet 2018</c:v>
                </c:pt>
                <c:pt idx="7">
                  <c:v>Aout 2018</c:v>
                </c:pt>
                <c:pt idx="8">
                  <c:v>Septembre 2018</c:v>
                </c:pt>
                <c:pt idx="9">
                  <c:v>Octobre 2018</c:v>
                </c:pt>
                <c:pt idx="10">
                  <c:v>Novembre 2018</c:v>
                </c:pt>
                <c:pt idx="11">
                  <c:v>Décembre 2018</c:v>
                </c:pt>
              </c:strCache>
            </c:strRef>
          </c:cat>
          <c:val>
            <c:numRef>
              <c:f>'Année 2018'!$F$2:$F$13</c:f>
              <c:numCache>
                <c:formatCode>General</c:formatCode>
                <c:ptCount val="12"/>
                <c:pt idx="0">
                  <c:v>227</c:v>
                </c:pt>
                <c:pt idx="1">
                  <c:v>173</c:v>
                </c:pt>
                <c:pt idx="2">
                  <c:v>205</c:v>
                </c:pt>
                <c:pt idx="3">
                  <c:v>211</c:v>
                </c:pt>
                <c:pt idx="4">
                  <c:v>130</c:v>
                </c:pt>
                <c:pt idx="5">
                  <c:v>165</c:v>
                </c:pt>
                <c:pt idx="6">
                  <c:v>176</c:v>
                </c:pt>
                <c:pt idx="7">
                  <c:v>169</c:v>
                </c:pt>
                <c:pt idx="8">
                  <c:v>167</c:v>
                </c:pt>
                <c:pt idx="9">
                  <c:v>257</c:v>
                </c:pt>
                <c:pt idx="10">
                  <c:v>225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6D-4582-A296-F55157D8646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87757984"/>
        <c:axId val="189340608"/>
        <c:axId val="0"/>
      </c:bar3DChart>
      <c:catAx>
        <c:axId val="187757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340608"/>
        <c:crosses val="autoZero"/>
        <c:auto val="1"/>
        <c:lblAlgn val="ctr"/>
        <c:lblOffset val="100"/>
        <c:noMultiLvlLbl val="0"/>
      </c:catAx>
      <c:valAx>
        <c:axId val="18934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2">
                  <a:lumMod val="5000"/>
                  <a:lumOff val="9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757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latin typeface="Century Gothic" panose="020B0502020202020204" pitchFamily="34" charset="0"/>
              </a:rPr>
              <a:t>Comparatif</a:t>
            </a:r>
            <a:r>
              <a:rPr lang="fr-FR" baseline="0">
                <a:latin typeface="Century Gothic" panose="020B0502020202020204" pitchFamily="34" charset="0"/>
              </a:rPr>
              <a:t> Raccos / Centres</a:t>
            </a:r>
            <a:endParaRPr lang="fr-FR">
              <a:latin typeface="Century Gothic" panose="020B0502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'Année 2018'!$C$1</c:f>
              <c:strCache>
                <c:ptCount val="1"/>
                <c:pt idx="0">
                  <c:v>LM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cat>
            <c:strRef>
              <c:f>'Année 2018'!$A$2:$A$13</c:f>
              <c:strCache>
                <c:ptCount val="12"/>
                <c:pt idx="0">
                  <c:v>Janvier 2018</c:v>
                </c:pt>
                <c:pt idx="1">
                  <c:v>Février 2018</c:v>
                </c:pt>
                <c:pt idx="2">
                  <c:v>Mars 2018</c:v>
                </c:pt>
                <c:pt idx="3">
                  <c:v>Avril 2018</c:v>
                </c:pt>
                <c:pt idx="4">
                  <c:v>Mai 2018</c:v>
                </c:pt>
                <c:pt idx="5">
                  <c:v>Juin 2018</c:v>
                </c:pt>
                <c:pt idx="6">
                  <c:v>Juillet 2018</c:v>
                </c:pt>
                <c:pt idx="7">
                  <c:v>Aout 2018</c:v>
                </c:pt>
                <c:pt idx="8">
                  <c:v>Septembre 2018</c:v>
                </c:pt>
                <c:pt idx="9">
                  <c:v>Octobre 2018</c:v>
                </c:pt>
                <c:pt idx="10">
                  <c:v>Novembre 2018</c:v>
                </c:pt>
                <c:pt idx="11">
                  <c:v>Décembre 2018</c:v>
                </c:pt>
              </c:strCache>
            </c:strRef>
          </c:cat>
          <c:val>
            <c:numRef>
              <c:f>'Année 2018'!$C$2:$C$13</c:f>
              <c:numCache>
                <c:formatCode>General</c:formatCode>
                <c:ptCount val="12"/>
                <c:pt idx="0">
                  <c:v>442</c:v>
                </c:pt>
                <c:pt idx="1">
                  <c:v>406</c:v>
                </c:pt>
                <c:pt idx="2">
                  <c:v>532</c:v>
                </c:pt>
                <c:pt idx="3">
                  <c:v>455</c:v>
                </c:pt>
                <c:pt idx="4">
                  <c:v>447</c:v>
                </c:pt>
                <c:pt idx="5">
                  <c:v>504</c:v>
                </c:pt>
                <c:pt idx="6">
                  <c:v>603</c:v>
                </c:pt>
                <c:pt idx="7">
                  <c:v>331</c:v>
                </c:pt>
                <c:pt idx="8">
                  <c:v>310</c:v>
                </c:pt>
                <c:pt idx="9">
                  <c:v>447</c:v>
                </c:pt>
                <c:pt idx="10">
                  <c:v>324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2-46D0-BDDB-A7AE115E6802}"/>
            </c:ext>
          </c:extLst>
        </c:ser>
        <c:ser>
          <c:idx val="1"/>
          <c:order val="1"/>
          <c:tx>
            <c:strRef>
              <c:f>'Année 2018'!$D$1</c:f>
              <c:strCache>
                <c:ptCount val="1"/>
                <c:pt idx="0">
                  <c:v>LR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cat>
            <c:strRef>
              <c:f>'Année 2018'!$A$2:$A$13</c:f>
              <c:strCache>
                <c:ptCount val="12"/>
                <c:pt idx="0">
                  <c:v>Janvier 2018</c:v>
                </c:pt>
                <c:pt idx="1">
                  <c:v>Février 2018</c:v>
                </c:pt>
                <c:pt idx="2">
                  <c:v>Mars 2018</c:v>
                </c:pt>
                <c:pt idx="3">
                  <c:v>Avril 2018</c:v>
                </c:pt>
                <c:pt idx="4">
                  <c:v>Mai 2018</c:v>
                </c:pt>
                <c:pt idx="5">
                  <c:v>Juin 2018</c:v>
                </c:pt>
                <c:pt idx="6">
                  <c:v>Juillet 2018</c:v>
                </c:pt>
                <c:pt idx="7">
                  <c:v>Aout 2018</c:v>
                </c:pt>
                <c:pt idx="8">
                  <c:v>Septembre 2018</c:v>
                </c:pt>
                <c:pt idx="9">
                  <c:v>Octobre 2018</c:v>
                </c:pt>
                <c:pt idx="10">
                  <c:v>Novembre 2018</c:v>
                </c:pt>
                <c:pt idx="11">
                  <c:v>Décembre 2018</c:v>
                </c:pt>
              </c:strCache>
            </c:strRef>
          </c:cat>
          <c:val>
            <c:numRef>
              <c:f>'Année 2018'!$D$2:$D$13</c:f>
              <c:numCache>
                <c:formatCode>General</c:formatCode>
                <c:ptCount val="12"/>
                <c:pt idx="0">
                  <c:v>354</c:v>
                </c:pt>
                <c:pt idx="1">
                  <c:v>346</c:v>
                </c:pt>
                <c:pt idx="2">
                  <c:v>364</c:v>
                </c:pt>
                <c:pt idx="3">
                  <c:v>409</c:v>
                </c:pt>
                <c:pt idx="4">
                  <c:v>372</c:v>
                </c:pt>
                <c:pt idx="5">
                  <c:v>505</c:v>
                </c:pt>
                <c:pt idx="6">
                  <c:v>507</c:v>
                </c:pt>
                <c:pt idx="7">
                  <c:v>312</c:v>
                </c:pt>
                <c:pt idx="8">
                  <c:v>303</c:v>
                </c:pt>
                <c:pt idx="9">
                  <c:v>354</c:v>
                </c:pt>
                <c:pt idx="10">
                  <c:v>282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B2-46D0-BDDB-A7AE115E6802}"/>
            </c:ext>
          </c:extLst>
        </c:ser>
        <c:ser>
          <c:idx val="2"/>
          <c:order val="2"/>
          <c:tx>
            <c:strRef>
              <c:f>'Année 2018'!$E$1</c:f>
              <c:strCache>
                <c:ptCount val="1"/>
                <c:pt idx="0">
                  <c:v>CL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cat>
            <c:strRef>
              <c:f>'Année 2018'!$A$2:$A$13</c:f>
              <c:strCache>
                <c:ptCount val="12"/>
                <c:pt idx="0">
                  <c:v>Janvier 2018</c:v>
                </c:pt>
                <c:pt idx="1">
                  <c:v>Février 2018</c:v>
                </c:pt>
                <c:pt idx="2">
                  <c:v>Mars 2018</c:v>
                </c:pt>
                <c:pt idx="3">
                  <c:v>Avril 2018</c:v>
                </c:pt>
                <c:pt idx="4">
                  <c:v>Mai 2018</c:v>
                </c:pt>
                <c:pt idx="5">
                  <c:v>Juin 2018</c:v>
                </c:pt>
                <c:pt idx="6">
                  <c:v>Juillet 2018</c:v>
                </c:pt>
                <c:pt idx="7">
                  <c:v>Aout 2018</c:v>
                </c:pt>
                <c:pt idx="8">
                  <c:v>Septembre 2018</c:v>
                </c:pt>
                <c:pt idx="9">
                  <c:v>Octobre 2018</c:v>
                </c:pt>
                <c:pt idx="10">
                  <c:v>Novembre 2018</c:v>
                </c:pt>
                <c:pt idx="11">
                  <c:v>Décembre 2018</c:v>
                </c:pt>
              </c:strCache>
            </c:strRef>
          </c:cat>
          <c:val>
            <c:numRef>
              <c:f>'Année 2018'!$E$2:$E$13</c:f>
              <c:numCache>
                <c:formatCode>General</c:formatCode>
                <c:ptCount val="12"/>
                <c:pt idx="0">
                  <c:v>274</c:v>
                </c:pt>
                <c:pt idx="1">
                  <c:v>247</c:v>
                </c:pt>
                <c:pt idx="2">
                  <c:v>254</c:v>
                </c:pt>
                <c:pt idx="3">
                  <c:v>249</c:v>
                </c:pt>
                <c:pt idx="4">
                  <c:v>230</c:v>
                </c:pt>
                <c:pt idx="5">
                  <c:v>286</c:v>
                </c:pt>
                <c:pt idx="6">
                  <c:v>308</c:v>
                </c:pt>
                <c:pt idx="7">
                  <c:v>196</c:v>
                </c:pt>
                <c:pt idx="8">
                  <c:v>208</c:v>
                </c:pt>
                <c:pt idx="9">
                  <c:v>249</c:v>
                </c:pt>
                <c:pt idx="10">
                  <c:v>211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B2-46D0-BDDB-A7AE115E68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6678336"/>
        <c:axId val="189193136"/>
        <c:axId val="0"/>
      </c:bar3DChart>
      <c:catAx>
        <c:axId val="186678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193136"/>
        <c:crosses val="autoZero"/>
        <c:auto val="1"/>
        <c:lblAlgn val="ctr"/>
        <c:lblOffset val="100"/>
        <c:noMultiLvlLbl val="0"/>
      </c:catAx>
      <c:valAx>
        <c:axId val="189193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2">
                  <a:lumMod val="5000"/>
                  <a:lumOff val="9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678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7958790781622"/>
          <c:y val="0.9099995167160484"/>
          <c:w val="0.76137340172599821"/>
          <c:h val="6.63939210314023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latin typeface="Century Gothic" panose="020B0502020202020204" pitchFamily="34" charset="0"/>
              </a:rPr>
              <a:t>Comparatif Mensuel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'Année 2019'!$B$1</c:f>
              <c:strCache>
                <c:ptCount val="1"/>
                <c:pt idx="0">
                  <c:v>Raccordements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'Année 2019'!$A$2:$A$13</c:f>
              <c:strCache>
                <c:ptCount val="12"/>
                <c:pt idx="0">
                  <c:v>Janvier 2018</c:v>
                </c:pt>
                <c:pt idx="1">
                  <c:v>Février 2018</c:v>
                </c:pt>
                <c:pt idx="2">
                  <c:v>Mars 2018</c:v>
                </c:pt>
                <c:pt idx="3">
                  <c:v>Avril 2018</c:v>
                </c:pt>
                <c:pt idx="4">
                  <c:v>Mai 2018</c:v>
                </c:pt>
                <c:pt idx="5">
                  <c:v>Juin 2018</c:v>
                </c:pt>
                <c:pt idx="6">
                  <c:v>Juillet 2018</c:v>
                </c:pt>
                <c:pt idx="7">
                  <c:v>Aout 2018</c:v>
                </c:pt>
                <c:pt idx="8">
                  <c:v>Septembre 2018</c:v>
                </c:pt>
                <c:pt idx="9">
                  <c:v>Octobre 2018</c:v>
                </c:pt>
                <c:pt idx="10">
                  <c:v>Novembre 2018</c:v>
                </c:pt>
                <c:pt idx="11">
                  <c:v>Décembre 2018</c:v>
                </c:pt>
              </c:strCache>
            </c:strRef>
          </c:cat>
          <c:val>
            <c:numRef>
              <c:f>'Année 2019'!$B$2:$B$13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10-400C-8EE6-B0FEAE5AA49C}"/>
            </c:ext>
          </c:extLst>
        </c:ser>
        <c:ser>
          <c:idx val="1"/>
          <c:order val="1"/>
          <c:tx>
            <c:strRef>
              <c:f>'Année 2019'!$F$1</c:f>
              <c:strCache>
                <c:ptCount val="1"/>
                <c:pt idx="0">
                  <c:v>Fidélisation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'Année 2019'!$A$2:$A$13</c:f>
              <c:strCache>
                <c:ptCount val="12"/>
                <c:pt idx="0">
                  <c:v>Janvier 2018</c:v>
                </c:pt>
                <c:pt idx="1">
                  <c:v>Février 2018</c:v>
                </c:pt>
                <c:pt idx="2">
                  <c:v>Mars 2018</c:v>
                </c:pt>
                <c:pt idx="3">
                  <c:v>Avril 2018</c:v>
                </c:pt>
                <c:pt idx="4">
                  <c:v>Mai 2018</c:v>
                </c:pt>
                <c:pt idx="5">
                  <c:v>Juin 2018</c:v>
                </c:pt>
                <c:pt idx="6">
                  <c:v>Juillet 2018</c:v>
                </c:pt>
                <c:pt idx="7">
                  <c:v>Aout 2018</c:v>
                </c:pt>
                <c:pt idx="8">
                  <c:v>Septembre 2018</c:v>
                </c:pt>
                <c:pt idx="9">
                  <c:v>Octobre 2018</c:v>
                </c:pt>
                <c:pt idx="10">
                  <c:v>Novembre 2018</c:v>
                </c:pt>
                <c:pt idx="11">
                  <c:v>Décembre 2018</c:v>
                </c:pt>
              </c:strCache>
            </c:strRef>
          </c:cat>
          <c:val>
            <c:numRef>
              <c:f>'Année 2019'!$F$2:$F$13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10-400C-8EE6-B0FEAE5AA49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20363312"/>
        <c:axId val="219651264"/>
        <c:axId val="0"/>
      </c:bar3DChart>
      <c:catAx>
        <c:axId val="220363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9651264"/>
        <c:crosses val="autoZero"/>
        <c:auto val="1"/>
        <c:lblAlgn val="ctr"/>
        <c:lblOffset val="100"/>
        <c:noMultiLvlLbl val="0"/>
      </c:catAx>
      <c:valAx>
        <c:axId val="219651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2">
                  <a:lumMod val="5000"/>
                  <a:lumOff val="9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0363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latin typeface="Century Gothic" panose="020B0502020202020204" pitchFamily="34" charset="0"/>
              </a:rPr>
              <a:t>Comparatif</a:t>
            </a:r>
            <a:r>
              <a:rPr lang="fr-FR" baseline="0">
                <a:latin typeface="Century Gothic" panose="020B0502020202020204" pitchFamily="34" charset="0"/>
              </a:rPr>
              <a:t> Raccos / Centres</a:t>
            </a:r>
            <a:endParaRPr lang="fr-FR">
              <a:latin typeface="Century Gothic" panose="020B0502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'Année 2019'!$C$1</c:f>
              <c:strCache>
                <c:ptCount val="1"/>
                <c:pt idx="0">
                  <c:v>LM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cat>
            <c:strRef>
              <c:f>'Année 2019'!$A$2:$A$13</c:f>
              <c:strCache>
                <c:ptCount val="12"/>
                <c:pt idx="0">
                  <c:v>Janvier 2018</c:v>
                </c:pt>
                <c:pt idx="1">
                  <c:v>Février 2018</c:v>
                </c:pt>
                <c:pt idx="2">
                  <c:v>Mars 2018</c:v>
                </c:pt>
                <c:pt idx="3">
                  <c:v>Avril 2018</c:v>
                </c:pt>
                <c:pt idx="4">
                  <c:v>Mai 2018</c:v>
                </c:pt>
                <c:pt idx="5">
                  <c:v>Juin 2018</c:v>
                </c:pt>
                <c:pt idx="6">
                  <c:v>Juillet 2018</c:v>
                </c:pt>
                <c:pt idx="7">
                  <c:v>Aout 2018</c:v>
                </c:pt>
                <c:pt idx="8">
                  <c:v>Septembre 2018</c:v>
                </c:pt>
                <c:pt idx="9">
                  <c:v>Octobre 2018</c:v>
                </c:pt>
                <c:pt idx="10">
                  <c:v>Novembre 2018</c:v>
                </c:pt>
                <c:pt idx="11">
                  <c:v>Décembre 2018</c:v>
                </c:pt>
              </c:strCache>
            </c:strRef>
          </c:cat>
          <c:val>
            <c:numRef>
              <c:f>'Année 2019'!$C$2:$C$13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81-4AB5-B237-1C0D4BE52DA9}"/>
            </c:ext>
          </c:extLst>
        </c:ser>
        <c:ser>
          <c:idx val="1"/>
          <c:order val="1"/>
          <c:tx>
            <c:strRef>
              <c:f>'Année 2019'!$D$1</c:f>
              <c:strCache>
                <c:ptCount val="1"/>
                <c:pt idx="0">
                  <c:v>LR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cat>
            <c:strRef>
              <c:f>'Année 2019'!$A$2:$A$13</c:f>
              <c:strCache>
                <c:ptCount val="12"/>
                <c:pt idx="0">
                  <c:v>Janvier 2018</c:v>
                </c:pt>
                <c:pt idx="1">
                  <c:v>Février 2018</c:v>
                </c:pt>
                <c:pt idx="2">
                  <c:v>Mars 2018</c:v>
                </c:pt>
                <c:pt idx="3">
                  <c:v>Avril 2018</c:v>
                </c:pt>
                <c:pt idx="4">
                  <c:v>Mai 2018</c:v>
                </c:pt>
                <c:pt idx="5">
                  <c:v>Juin 2018</c:v>
                </c:pt>
                <c:pt idx="6">
                  <c:v>Juillet 2018</c:v>
                </c:pt>
                <c:pt idx="7">
                  <c:v>Aout 2018</c:v>
                </c:pt>
                <c:pt idx="8">
                  <c:v>Septembre 2018</c:v>
                </c:pt>
                <c:pt idx="9">
                  <c:v>Octobre 2018</c:v>
                </c:pt>
                <c:pt idx="10">
                  <c:v>Novembre 2018</c:v>
                </c:pt>
                <c:pt idx="11">
                  <c:v>Décembre 2018</c:v>
                </c:pt>
              </c:strCache>
            </c:strRef>
          </c:cat>
          <c:val>
            <c:numRef>
              <c:f>'Année 2019'!$D$2:$D$13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81-4AB5-B237-1C0D4BE52DA9}"/>
            </c:ext>
          </c:extLst>
        </c:ser>
        <c:ser>
          <c:idx val="2"/>
          <c:order val="2"/>
          <c:tx>
            <c:strRef>
              <c:f>'Année 2019'!$E$1</c:f>
              <c:strCache>
                <c:ptCount val="1"/>
                <c:pt idx="0">
                  <c:v>CL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cat>
            <c:strRef>
              <c:f>'Année 2019'!$A$2:$A$13</c:f>
              <c:strCache>
                <c:ptCount val="12"/>
                <c:pt idx="0">
                  <c:v>Janvier 2018</c:v>
                </c:pt>
                <c:pt idx="1">
                  <c:v>Février 2018</c:v>
                </c:pt>
                <c:pt idx="2">
                  <c:v>Mars 2018</c:v>
                </c:pt>
                <c:pt idx="3">
                  <c:v>Avril 2018</c:v>
                </c:pt>
                <c:pt idx="4">
                  <c:v>Mai 2018</c:v>
                </c:pt>
                <c:pt idx="5">
                  <c:v>Juin 2018</c:v>
                </c:pt>
                <c:pt idx="6">
                  <c:v>Juillet 2018</c:v>
                </c:pt>
                <c:pt idx="7">
                  <c:v>Aout 2018</c:v>
                </c:pt>
                <c:pt idx="8">
                  <c:v>Septembre 2018</c:v>
                </c:pt>
                <c:pt idx="9">
                  <c:v>Octobre 2018</c:v>
                </c:pt>
                <c:pt idx="10">
                  <c:v>Novembre 2018</c:v>
                </c:pt>
                <c:pt idx="11">
                  <c:v>Décembre 2018</c:v>
                </c:pt>
              </c:strCache>
            </c:strRef>
          </c:cat>
          <c:val>
            <c:numRef>
              <c:f>'Année 2019'!$E$2:$E$13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081-4AB5-B237-1C0D4BE52D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9247840"/>
        <c:axId val="219248232"/>
        <c:axId val="0"/>
      </c:bar3DChart>
      <c:catAx>
        <c:axId val="219247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9248232"/>
        <c:crosses val="autoZero"/>
        <c:auto val="1"/>
        <c:lblAlgn val="ctr"/>
        <c:lblOffset val="100"/>
        <c:noMultiLvlLbl val="0"/>
      </c:catAx>
      <c:valAx>
        <c:axId val="219248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2">
                  <a:lumMod val="5000"/>
                  <a:lumOff val="9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9247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7958790781622"/>
          <c:y val="0.9099995167160484"/>
          <c:w val="0.76137340172599821"/>
          <c:h val="6.63939210314023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9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14</xdr:row>
      <xdr:rowOff>10590</xdr:rowOff>
    </xdr:from>
    <xdr:to>
      <xdr:col>5</xdr:col>
      <xdr:colOff>219075</xdr:colOff>
      <xdr:row>29</xdr:row>
      <xdr:rowOff>9525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228601</xdr:colOff>
      <xdr:row>14</xdr:row>
      <xdr:rowOff>10584</xdr:rowOff>
    </xdr:from>
    <xdr:to>
      <xdr:col>11</xdr:col>
      <xdr:colOff>600075</xdr:colOff>
      <xdr:row>29</xdr:row>
      <xdr:rowOff>9526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14</xdr:row>
      <xdr:rowOff>10590</xdr:rowOff>
    </xdr:from>
    <xdr:to>
      <xdr:col>5</xdr:col>
      <xdr:colOff>495300</xdr:colOff>
      <xdr:row>29</xdr:row>
      <xdr:rowOff>114300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504825</xdr:colOff>
      <xdr:row>14</xdr:row>
      <xdr:rowOff>10584</xdr:rowOff>
    </xdr:from>
    <xdr:to>
      <xdr:col>13</xdr:col>
      <xdr:colOff>9525</xdr:colOff>
      <xdr:row>29</xdr:row>
      <xdr:rowOff>114300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0</xdr:row>
          <xdr:rowOff>38100</xdr:rowOff>
        </xdr:from>
        <xdr:to>
          <xdr:col>15</xdr:col>
          <xdr:colOff>152400</xdr:colOff>
          <xdr:row>0</xdr:row>
          <xdr:rowOff>247650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Deverouiller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0</xdr:row>
          <xdr:rowOff>276225</xdr:rowOff>
        </xdr:from>
        <xdr:to>
          <xdr:col>15</xdr:col>
          <xdr:colOff>152400</xdr:colOff>
          <xdr:row>0</xdr:row>
          <xdr:rowOff>485775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Verouiller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14</xdr:row>
      <xdr:rowOff>10590</xdr:rowOff>
    </xdr:from>
    <xdr:to>
      <xdr:col>5</xdr:col>
      <xdr:colOff>495300</xdr:colOff>
      <xdr:row>29</xdr:row>
      <xdr:rowOff>114300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504825</xdr:colOff>
      <xdr:row>14</xdr:row>
      <xdr:rowOff>10584</xdr:rowOff>
    </xdr:from>
    <xdr:to>
      <xdr:col>13</xdr:col>
      <xdr:colOff>9525</xdr:colOff>
      <xdr:row>29</xdr:row>
      <xdr:rowOff>114300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6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O33"/>
  <sheetViews>
    <sheetView showGridLines="0" showRowColHeaders="0" zoomScaleNormal="100" workbookViewId="0">
      <pane ySplit="1" topLeftCell="A2" activePane="bottomLeft" state="frozen"/>
      <selection pane="bottomLeft" activeCell="S13" sqref="S13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0" max="10" width="9.42578125" bestFit="1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4">
        <v>42736</v>
      </c>
      <c r="B2" s="10">
        <f>C2+D2+E2</f>
        <v>0</v>
      </c>
      <c r="C2" s="27"/>
      <c r="D2" s="27"/>
      <c r="E2" s="28"/>
      <c r="F2" s="13">
        <f>G2+H2+I2</f>
        <v>0</v>
      </c>
      <c r="G2" s="27"/>
      <c r="H2" s="27"/>
      <c r="I2" s="28"/>
      <c r="J2" s="29"/>
      <c r="K2" s="30"/>
      <c r="L2" s="31"/>
      <c r="M2" s="32"/>
      <c r="N2" s="33"/>
      <c r="O2" s="34">
        <f>B2+F2+J2+K2+L2+M2</f>
        <v>0</v>
      </c>
    </row>
    <row r="3" spans="1:15" ht="16.5" x14ac:dyDescent="0.3">
      <c r="A3" s="4">
        <v>42737</v>
      </c>
      <c r="B3" s="10">
        <f t="shared" ref="B3:B32" si="0">C3+D3+E3</f>
        <v>0</v>
      </c>
      <c r="C3" s="27"/>
      <c r="D3" s="27"/>
      <c r="E3" s="28"/>
      <c r="F3" s="13">
        <f t="shared" ref="F3:F32" si="1">G3+H3+I3</f>
        <v>0</v>
      </c>
      <c r="G3" s="27"/>
      <c r="H3" s="27"/>
      <c r="I3" s="28"/>
      <c r="J3" s="29"/>
      <c r="K3" s="30"/>
      <c r="L3" s="31"/>
      <c r="M3" s="32"/>
      <c r="N3" s="33"/>
      <c r="O3" s="34">
        <f t="shared" ref="O3:O32" si="2">B3+F3+J3+K3+L3+M3</f>
        <v>0</v>
      </c>
    </row>
    <row r="4" spans="1:15" ht="16.5" x14ac:dyDescent="0.3">
      <c r="A4" s="4">
        <v>42738</v>
      </c>
      <c r="B4" s="10">
        <f t="shared" si="0"/>
        <v>0</v>
      </c>
      <c r="C4" s="27"/>
      <c r="D4" s="27"/>
      <c r="E4" s="28"/>
      <c r="F4" s="13">
        <f t="shared" si="1"/>
        <v>0</v>
      </c>
      <c r="G4" s="27"/>
      <c r="H4" s="27"/>
      <c r="I4" s="28"/>
      <c r="J4" s="29"/>
      <c r="K4" s="30"/>
      <c r="L4" s="31"/>
      <c r="M4" s="32"/>
      <c r="N4" s="33"/>
      <c r="O4" s="34">
        <f t="shared" si="2"/>
        <v>0</v>
      </c>
    </row>
    <row r="5" spans="1:15" ht="16.5" x14ac:dyDescent="0.3">
      <c r="A5" s="4">
        <v>42739</v>
      </c>
      <c r="B5" s="10">
        <f t="shared" si="0"/>
        <v>0</v>
      </c>
      <c r="C5" s="27"/>
      <c r="D5" s="27"/>
      <c r="E5" s="28"/>
      <c r="F5" s="13">
        <f t="shared" si="1"/>
        <v>0</v>
      </c>
      <c r="G5" s="27"/>
      <c r="H5" s="27"/>
      <c r="I5" s="28"/>
      <c r="J5" s="29"/>
      <c r="K5" s="30"/>
      <c r="L5" s="31"/>
      <c r="M5" s="32"/>
      <c r="N5" s="33"/>
      <c r="O5" s="34">
        <f t="shared" si="2"/>
        <v>0</v>
      </c>
    </row>
    <row r="6" spans="1:15" ht="16.5" x14ac:dyDescent="0.3">
      <c r="A6" s="4">
        <v>42740</v>
      </c>
      <c r="B6" s="10">
        <f t="shared" si="0"/>
        <v>0</v>
      </c>
      <c r="C6" s="27"/>
      <c r="D6" s="27"/>
      <c r="E6" s="28"/>
      <c r="F6" s="13">
        <f t="shared" si="1"/>
        <v>0</v>
      </c>
      <c r="G6" s="27"/>
      <c r="H6" s="27"/>
      <c r="I6" s="28"/>
      <c r="J6" s="29"/>
      <c r="K6" s="30"/>
      <c r="L6" s="31"/>
      <c r="M6" s="32"/>
      <c r="N6" s="33"/>
      <c r="O6" s="34">
        <f t="shared" si="2"/>
        <v>0</v>
      </c>
    </row>
    <row r="7" spans="1:15" ht="16.5" x14ac:dyDescent="0.3">
      <c r="A7" s="4">
        <v>42741</v>
      </c>
      <c r="B7" s="10">
        <f t="shared" si="0"/>
        <v>0</v>
      </c>
      <c r="C7" s="27"/>
      <c r="D7" s="27"/>
      <c r="E7" s="28"/>
      <c r="F7" s="13">
        <f t="shared" si="1"/>
        <v>0</v>
      </c>
      <c r="G7" s="27"/>
      <c r="H7" s="27"/>
      <c r="I7" s="28"/>
      <c r="J7" s="29"/>
      <c r="K7" s="30"/>
      <c r="L7" s="31"/>
      <c r="M7" s="32"/>
      <c r="N7" s="33"/>
      <c r="O7" s="34">
        <f t="shared" si="2"/>
        <v>0</v>
      </c>
    </row>
    <row r="8" spans="1:15" ht="16.5" x14ac:dyDescent="0.3">
      <c r="A8" s="4">
        <v>42742</v>
      </c>
      <c r="B8" s="10">
        <f t="shared" si="0"/>
        <v>0</v>
      </c>
      <c r="C8" s="27"/>
      <c r="D8" s="27"/>
      <c r="E8" s="28"/>
      <c r="F8" s="13">
        <f t="shared" si="1"/>
        <v>0</v>
      </c>
      <c r="G8" s="27"/>
      <c r="H8" s="27"/>
      <c r="I8" s="28"/>
      <c r="J8" s="29"/>
      <c r="K8" s="30"/>
      <c r="L8" s="31"/>
      <c r="M8" s="32"/>
      <c r="N8" s="33"/>
      <c r="O8" s="34">
        <f t="shared" si="2"/>
        <v>0</v>
      </c>
    </row>
    <row r="9" spans="1:15" ht="16.5" x14ac:dyDescent="0.3">
      <c r="A9" s="4">
        <v>42743</v>
      </c>
      <c r="B9" s="10">
        <f t="shared" si="0"/>
        <v>0</v>
      </c>
      <c r="C9" s="27"/>
      <c r="D9" s="27"/>
      <c r="E9" s="28"/>
      <c r="F9" s="13">
        <f t="shared" si="1"/>
        <v>0</v>
      </c>
      <c r="G9" s="27"/>
      <c r="H9" s="27"/>
      <c r="I9" s="28"/>
      <c r="J9" s="29"/>
      <c r="K9" s="30"/>
      <c r="L9" s="31"/>
      <c r="M9" s="32"/>
      <c r="N9" s="33"/>
      <c r="O9" s="34">
        <f t="shared" si="2"/>
        <v>0</v>
      </c>
    </row>
    <row r="10" spans="1:15" ht="16.5" x14ac:dyDescent="0.3">
      <c r="A10" s="4">
        <v>42744</v>
      </c>
      <c r="B10" s="10">
        <f t="shared" si="0"/>
        <v>0</v>
      </c>
      <c r="C10" s="27"/>
      <c r="D10" s="27"/>
      <c r="E10" s="28"/>
      <c r="F10" s="13">
        <f t="shared" si="1"/>
        <v>0</v>
      </c>
      <c r="G10" s="27"/>
      <c r="H10" s="27"/>
      <c r="I10" s="28"/>
      <c r="J10" s="29"/>
      <c r="K10" s="30"/>
      <c r="L10" s="31"/>
      <c r="M10" s="32"/>
      <c r="N10" s="33"/>
      <c r="O10" s="34">
        <f t="shared" si="2"/>
        <v>0</v>
      </c>
    </row>
    <row r="11" spans="1:15" ht="16.5" x14ac:dyDescent="0.3">
      <c r="A11" s="4">
        <v>42745</v>
      </c>
      <c r="B11" s="10">
        <f t="shared" si="0"/>
        <v>0</v>
      </c>
      <c r="C11" s="27"/>
      <c r="D11" s="27"/>
      <c r="E11" s="28"/>
      <c r="F11" s="13">
        <f t="shared" si="1"/>
        <v>0</v>
      </c>
      <c r="G11" s="27"/>
      <c r="H11" s="27"/>
      <c r="I11" s="28"/>
      <c r="J11" s="29"/>
      <c r="K11" s="30"/>
      <c r="L11" s="31"/>
      <c r="M11" s="32"/>
      <c r="N11" s="33"/>
      <c r="O11" s="34">
        <f t="shared" si="2"/>
        <v>0</v>
      </c>
    </row>
    <row r="12" spans="1:15" ht="16.5" x14ac:dyDescent="0.3">
      <c r="A12" s="4">
        <v>42746</v>
      </c>
      <c r="B12" s="10">
        <f t="shared" si="0"/>
        <v>0</v>
      </c>
      <c r="C12" s="27"/>
      <c r="D12" s="27"/>
      <c r="E12" s="28"/>
      <c r="F12" s="13">
        <f t="shared" si="1"/>
        <v>0</v>
      </c>
      <c r="G12" s="27"/>
      <c r="H12" s="27"/>
      <c r="I12" s="28"/>
      <c r="J12" s="29"/>
      <c r="K12" s="30"/>
      <c r="L12" s="31"/>
      <c r="M12" s="32"/>
      <c r="N12" s="33"/>
      <c r="O12" s="34">
        <f t="shared" si="2"/>
        <v>0</v>
      </c>
    </row>
    <row r="13" spans="1:15" ht="16.5" x14ac:dyDescent="0.3">
      <c r="A13" s="4">
        <v>42747</v>
      </c>
      <c r="B13" s="10">
        <f t="shared" si="0"/>
        <v>0</v>
      </c>
      <c r="C13" s="27"/>
      <c r="D13" s="27"/>
      <c r="E13" s="28"/>
      <c r="F13" s="13">
        <f t="shared" si="1"/>
        <v>0</v>
      </c>
      <c r="G13" s="27"/>
      <c r="H13" s="27"/>
      <c r="I13" s="28"/>
      <c r="J13" s="29"/>
      <c r="K13" s="30"/>
      <c r="L13" s="31"/>
      <c r="M13" s="32"/>
      <c r="N13" s="33"/>
      <c r="O13" s="34">
        <f t="shared" si="2"/>
        <v>0</v>
      </c>
    </row>
    <row r="14" spans="1:15" ht="16.5" x14ac:dyDescent="0.3">
      <c r="A14" s="4">
        <v>42748</v>
      </c>
      <c r="B14" s="10">
        <f t="shared" si="0"/>
        <v>0</v>
      </c>
      <c r="C14" s="27"/>
      <c r="D14" s="27"/>
      <c r="E14" s="28"/>
      <c r="F14" s="13">
        <f t="shared" si="1"/>
        <v>0</v>
      </c>
      <c r="G14" s="27"/>
      <c r="H14" s="27"/>
      <c r="I14" s="28"/>
      <c r="J14" s="29"/>
      <c r="K14" s="30"/>
      <c r="L14" s="31"/>
      <c r="M14" s="32"/>
      <c r="N14" s="33"/>
      <c r="O14" s="34">
        <f t="shared" si="2"/>
        <v>0</v>
      </c>
    </row>
    <row r="15" spans="1:15" ht="16.5" x14ac:dyDescent="0.3">
      <c r="A15" s="4">
        <v>42749</v>
      </c>
      <c r="B15" s="10">
        <f t="shared" si="0"/>
        <v>0</v>
      </c>
      <c r="C15" s="27"/>
      <c r="D15" s="27"/>
      <c r="E15" s="28"/>
      <c r="F15" s="13">
        <f t="shared" si="1"/>
        <v>0</v>
      </c>
      <c r="G15" s="27"/>
      <c r="H15" s="27"/>
      <c r="I15" s="28"/>
      <c r="J15" s="29"/>
      <c r="K15" s="30"/>
      <c r="L15" s="31"/>
      <c r="M15" s="32"/>
      <c r="N15" s="33"/>
      <c r="O15" s="34">
        <f t="shared" si="2"/>
        <v>0</v>
      </c>
    </row>
    <row r="16" spans="1:15" ht="16.5" x14ac:dyDescent="0.3">
      <c r="A16" s="4">
        <v>42750</v>
      </c>
      <c r="B16" s="10">
        <f t="shared" si="0"/>
        <v>0</v>
      </c>
      <c r="C16" s="27"/>
      <c r="D16" s="27"/>
      <c r="E16" s="28"/>
      <c r="F16" s="13">
        <f t="shared" si="1"/>
        <v>0</v>
      </c>
      <c r="G16" s="27"/>
      <c r="H16" s="27"/>
      <c r="I16" s="28"/>
      <c r="J16" s="29"/>
      <c r="K16" s="30"/>
      <c r="L16" s="31"/>
      <c r="M16" s="32"/>
      <c r="N16" s="33"/>
      <c r="O16" s="34">
        <f t="shared" si="2"/>
        <v>0</v>
      </c>
    </row>
    <row r="17" spans="1:15" ht="16.5" x14ac:dyDescent="0.3">
      <c r="A17" s="4">
        <v>42751</v>
      </c>
      <c r="B17" s="10">
        <f t="shared" si="0"/>
        <v>0</v>
      </c>
      <c r="C17" s="27"/>
      <c r="D17" s="27"/>
      <c r="E17" s="28"/>
      <c r="F17" s="13">
        <f t="shared" si="1"/>
        <v>0</v>
      </c>
      <c r="G17" s="27"/>
      <c r="H17" s="27"/>
      <c r="I17" s="28"/>
      <c r="J17" s="29"/>
      <c r="K17" s="30"/>
      <c r="L17" s="31"/>
      <c r="M17" s="32"/>
      <c r="N17" s="33"/>
      <c r="O17" s="34">
        <f t="shared" si="2"/>
        <v>0</v>
      </c>
    </row>
    <row r="18" spans="1:15" ht="16.5" x14ac:dyDescent="0.3">
      <c r="A18" s="4">
        <v>42752</v>
      </c>
      <c r="B18" s="10">
        <f t="shared" si="0"/>
        <v>0</v>
      </c>
      <c r="C18" s="27"/>
      <c r="D18" s="27"/>
      <c r="E18" s="28"/>
      <c r="F18" s="13">
        <f t="shared" si="1"/>
        <v>0</v>
      </c>
      <c r="G18" s="27"/>
      <c r="H18" s="27"/>
      <c r="I18" s="28"/>
      <c r="J18" s="29"/>
      <c r="K18" s="30"/>
      <c r="L18" s="31"/>
      <c r="M18" s="32"/>
      <c r="N18" s="33"/>
      <c r="O18" s="34">
        <f t="shared" si="2"/>
        <v>0</v>
      </c>
    </row>
    <row r="19" spans="1:15" ht="16.5" x14ac:dyDescent="0.3">
      <c r="A19" s="4">
        <v>42753</v>
      </c>
      <c r="B19" s="10">
        <f t="shared" si="0"/>
        <v>0</v>
      </c>
      <c r="C19" s="27"/>
      <c r="D19" s="27"/>
      <c r="E19" s="28"/>
      <c r="F19" s="13">
        <f t="shared" si="1"/>
        <v>0</v>
      </c>
      <c r="G19" s="27"/>
      <c r="H19" s="27"/>
      <c r="I19" s="28"/>
      <c r="J19" s="29"/>
      <c r="K19" s="30"/>
      <c r="L19" s="31"/>
      <c r="M19" s="32"/>
      <c r="N19" s="33"/>
      <c r="O19" s="34">
        <f t="shared" si="2"/>
        <v>0</v>
      </c>
    </row>
    <row r="20" spans="1:15" ht="16.5" x14ac:dyDescent="0.3">
      <c r="A20" s="4">
        <v>42754</v>
      </c>
      <c r="B20" s="10">
        <f t="shared" si="0"/>
        <v>0</v>
      </c>
      <c r="C20" s="27"/>
      <c r="D20" s="27"/>
      <c r="E20" s="28"/>
      <c r="F20" s="13">
        <f t="shared" si="1"/>
        <v>0</v>
      </c>
      <c r="G20" s="27"/>
      <c r="H20" s="27"/>
      <c r="I20" s="28"/>
      <c r="J20" s="29"/>
      <c r="K20" s="30"/>
      <c r="L20" s="31"/>
      <c r="M20" s="32"/>
      <c r="N20" s="33"/>
      <c r="O20" s="34">
        <f t="shared" si="2"/>
        <v>0</v>
      </c>
    </row>
    <row r="21" spans="1:15" ht="16.5" x14ac:dyDescent="0.3">
      <c r="A21" s="4">
        <v>42755</v>
      </c>
      <c r="B21" s="10">
        <f t="shared" si="0"/>
        <v>0</v>
      </c>
      <c r="C21" s="27"/>
      <c r="D21" s="27"/>
      <c r="E21" s="28"/>
      <c r="F21" s="13">
        <f t="shared" si="1"/>
        <v>0</v>
      </c>
      <c r="G21" s="27"/>
      <c r="H21" s="27"/>
      <c r="I21" s="28"/>
      <c r="J21" s="29"/>
      <c r="K21" s="30"/>
      <c r="L21" s="31"/>
      <c r="M21" s="32"/>
      <c r="N21" s="33"/>
      <c r="O21" s="34">
        <f t="shared" si="2"/>
        <v>0</v>
      </c>
    </row>
    <row r="22" spans="1:15" ht="16.5" x14ac:dyDescent="0.3">
      <c r="A22" s="4">
        <v>42756</v>
      </c>
      <c r="B22" s="10">
        <f t="shared" si="0"/>
        <v>0</v>
      </c>
      <c r="C22" s="27"/>
      <c r="D22" s="27"/>
      <c r="E22" s="28"/>
      <c r="F22" s="13">
        <f t="shared" si="1"/>
        <v>0</v>
      </c>
      <c r="G22" s="27"/>
      <c r="H22" s="27"/>
      <c r="I22" s="28"/>
      <c r="J22" s="29"/>
      <c r="K22" s="30"/>
      <c r="L22" s="31"/>
      <c r="M22" s="32"/>
      <c r="N22" s="33"/>
      <c r="O22" s="34">
        <f t="shared" si="2"/>
        <v>0</v>
      </c>
    </row>
    <row r="23" spans="1:15" ht="16.5" x14ac:dyDescent="0.3">
      <c r="A23" s="4">
        <v>42757</v>
      </c>
      <c r="B23" s="10">
        <f t="shared" si="0"/>
        <v>0</v>
      </c>
      <c r="C23" s="27"/>
      <c r="D23" s="27"/>
      <c r="E23" s="28"/>
      <c r="F23" s="13">
        <f t="shared" si="1"/>
        <v>0</v>
      </c>
      <c r="G23" s="27"/>
      <c r="H23" s="27"/>
      <c r="I23" s="28"/>
      <c r="J23" s="29"/>
      <c r="K23" s="30"/>
      <c r="L23" s="31"/>
      <c r="M23" s="32"/>
      <c r="N23" s="33"/>
      <c r="O23" s="34">
        <f t="shared" si="2"/>
        <v>0</v>
      </c>
    </row>
    <row r="24" spans="1:15" ht="16.5" x14ac:dyDescent="0.3">
      <c r="A24" s="4">
        <v>42758</v>
      </c>
      <c r="B24" s="10">
        <f t="shared" si="0"/>
        <v>0</v>
      </c>
      <c r="C24" s="27"/>
      <c r="D24" s="27"/>
      <c r="E24" s="28"/>
      <c r="F24" s="13">
        <f t="shared" si="1"/>
        <v>0</v>
      </c>
      <c r="G24" s="27"/>
      <c r="H24" s="27"/>
      <c r="I24" s="28"/>
      <c r="J24" s="29"/>
      <c r="K24" s="30"/>
      <c r="L24" s="31"/>
      <c r="M24" s="32"/>
      <c r="N24" s="33"/>
      <c r="O24" s="34">
        <f t="shared" si="2"/>
        <v>0</v>
      </c>
    </row>
    <row r="25" spans="1:15" ht="16.5" x14ac:dyDescent="0.3">
      <c r="A25" s="4">
        <v>42759</v>
      </c>
      <c r="B25" s="10">
        <f t="shared" si="0"/>
        <v>0</v>
      </c>
      <c r="C25" s="27"/>
      <c r="D25" s="27"/>
      <c r="E25" s="28"/>
      <c r="F25" s="13">
        <f t="shared" si="1"/>
        <v>0</v>
      </c>
      <c r="G25" s="27"/>
      <c r="H25" s="27"/>
      <c r="I25" s="28"/>
      <c r="J25" s="29"/>
      <c r="K25" s="30"/>
      <c r="L25" s="31"/>
      <c r="M25" s="32"/>
      <c r="N25" s="33"/>
      <c r="O25" s="34">
        <f t="shared" si="2"/>
        <v>0</v>
      </c>
    </row>
    <row r="26" spans="1:15" ht="16.5" x14ac:dyDescent="0.3">
      <c r="A26" s="4">
        <v>42760</v>
      </c>
      <c r="B26" s="10">
        <f t="shared" si="0"/>
        <v>0</v>
      </c>
      <c r="C26" s="27"/>
      <c r="D26" s="27"/>
      <c r="E26" s="28"/>
      <c r="F26" s="13">
        <f t="shared" si="1"/>
        <v>0</v>
      </c>
      <c r="G26" s="27"/>
      <c r="H26" s="27"/>
      <c r="I26" s="28"/>
      <c r="J26" s="29"/>
      <c r="K26" s="30"/>
      <c r="L26" s="31"/>
      <c r="M26" s="32"/>
      <c r="N26" s="33"/>
      <c r="O26" s="34">
        <f t="shared" si="2"/>
        <v>0</v>
      </c>
    </row>
    <row r="27" spans="1:15" ht="16.5" x14ac:dyDescent="0.3">
      <c r="A27" s="4">
        <v>42761</v>
      </c>
      <c r="B27" s="10">
        <f t="shared" si="0"/>
        <v>0</v>
      </c>
      <c r="C27" s="27"/>
      <c r="D27" s="27"/>
      <c r="E27" s="28"/>
      <c r="F27" s="13">
        <f t="shared" si="1"/>
        <v>0</v>
      </c>
      <c r="G27" s="27"/>
      <c r="H27" s="27"/>
      <c r="I27" s="28"/>
      <c r="J27" s="29"/>
      <c r="K27" s="30"/>
      <c r="L27" s="31"/>
      <c r="M27" s="32"/>
      <c r="N27" s="33"/>
      <c r="O27" s="34">
        <f t="shared" si="2"/>
        <v>0</v>
      </c>
    </row>
    <row r="28" spans="1:15" ht="16.5" x14ac:dyDescent="0.3">
      <c r="A28" s="4">
        <v>42762</v>
      </c>
      <c r="B28" s="10">
        <f t="shared" si="0"/>
        <v>0</v>
      </c>
      <c r="C28" s="27"/>
      <c r="D28" s="27"/>
      <c r="E28" s="28"/>
      <c r="F28" s="13">
        <f t="shared" si="1"/>
        <v>0</v>
      </c>
      <c r="G28" s="27"/>
      <c r="H28" s="27"/>
      <c r="I28" s="28"/>
      <c r="J28" s="29"/>
      <c r="K28" s="30"/>
      <c r="L28" s="31"/>
      <c r="M28" s="32"/>
      <c r="N28" s="33"/>
      <c r="O28" s="34">
        <f t="shared" si="2"/>
        <v>0</v>
      </c>
    </row>
    <row r="29" spans="1:15" ht="16.5" x14ac:dyDescent="0.3">
      <c r="A29" s="4">
        <v>42763</v>
      </c>
      <c r="B29" s="10">
        <f t="shared" si="0"/>
        <v>0</v>
      </c>
      <c r="C29" s="27"/>
      <c r="D29" s="27"/>
      <c r="E29" s="28"/>
      <c r="F29" s="13">
        <f t="shared" si="1"/>
        <v>0</v>
      </c>
      <c r="G29" s="27"/>
      <c r="H29" s="27"/>
      <c r="I29" s="28"/>
      <c r="J29" s="29"/>
      <c r="K29" s="30"/>
      <c r="L29" s="31"/>
      <c r="M29" s="32"/>
      <c r="N29" s="33"/>
      <c r="O29" s="34">
        <f t="shared" si="2"/>
        <v>0</v>
      </c>
    </row>
    <row r="30" spans="1:15" ht="16.5" x14ac:dyDescent="0.3">
      <c r="A30" s="4">
        <v>42764</v>
      </c>
      <c r="B30" s="10">
        <f t="shared" si="0"/>
        <v>0</v>
      </c>
      <c r="C30" s="27"/>
      <c r="D30" s="27"/>
      <c r="E30" s="28"/>
      <c r="F30" s="13">
        <f t="shared" si="1"/>
        <v>0</v>
      </c>
      <c r="G30" s="27"/>
      <c r="H30" s="27"/>
      <c r="I30" s="28"/>
      <c r="J30" s="29"/>
      <c r="K30" s="30"/>
      <c r="L30" s="31"/>
      <c r="M30" s="32"/>
      <c r="N30" s="33"/>
      <c r="O30" s="34">
        <f t="shared" si="2"/>
        <v>0</v>
      </c>
    </row>
    <row r="31" spans="1:15" ht="16.5" x14ac:dyDescent="0.3">
      <c r="A31" s="4">
        <v>42765</v>
      </c>
      <c r="B31" s="10">
        <f t="shared" si="0"/>
        <v>0</v>
      </c>
      <c r="C31" s="27"/>
      <c r="D31" s="27"/>
      <c r="E31" s="28"/>
      <c r="F31" s="13">
        <f t="shared" si="1"/>
        <v>0</v>
      </c>
      <c r="G31" s="27"/>
      <c r="H31" s="27"/>
      <c r="I31" s="28"/>
      <c r="J31" s="29"/>
      <c r="K31" s="30"/>
      <c r="L31" s="31"/>
      <c r="M31" s="32"/>
      <c r="N31" s="33"/>
      <c r="O31" s="34">
        <f t="shared" si="2"/>
        <v>0</v>
      </c>
    </row>
    <row r="32" spans="1:15" ht="17.25" thickBot="1" x14ac:dyDescent="0.35">
      <c r="A32" s="4">
        <v>42766</v>
      </c>
      <c r="B32" s="35">
        <f t="shared" si="0"/>
        <v>805</v>
      </c>
      <c r="C32" s="36">
        <v>328</v>
      </c>
      <c r="D32" s="36">
        <v>256</v>
      </c>
      <c r="E32" s="37">
        <v>221</v>
      </c>
      <c r="F32" s="38">
        <f t="shared" si="1"/>
        <v>195</v>
      </c>
      <c r="G32" s="36">
        <v>119</v>
      </c>
      <c r="H32" s="36">
        <v>75</v>
      </c>
      <c r="I32" s="37">
        <v>1</v>
      </c>
      <c r="J32" s="29">
        <v>183</v>
      </c>
      <c r="K32" s="30">
        <v>118</v>
      </c>
      <c r="L32" s="31">
        <v>1</v>
      </c>
      <c r="M32" s="32">
        <v>14</v>
      </c>
      <c r="N32" s="33"/>
      <c r="O32" s="39">
        <f t="shared" si="2"/>
        <v>1316</v>
      </c>
    </row>
    <row r="33" spans="1:15" ht="17.25" thickBot="1" x14ac:dyDescent="0.35">
      <c r="A33" s="26" t="s">
        <v>10</v>
      </c>
      <c r="B33" s="17">
        <v>805</v>
      </c>
      <c r="C33" s="17">
        <v>328</v>
      </c>
      <c r="D33" s="17">
        <v>256</v>
      </c>
      <c r="E33" s="17">
        <v>221</v>
      </c>
      <c r="F33" s="18">
        <f>SUM(F2:F32)</f>
        <v>195</v>
      </c>
      <c r="G33" s="18">
        <f t="shared" ref="G33:I33" si="3">SUM(G2:G32)</f>
        <v>119</v>
      </c>
      <c r="H33" s="18">
        <f t="shared" si="3"/>
        <v>75</v>
      </c>
      <c r="I33" s="18">
        <f t="shared" si="3"/>
        <v>1</v>
      </c>
      <c r="J33" s="11">
        <f>SUM(J2:J32)</f>
        <v>183</v>
      </c>
      <c r="K33" s="11">
        <f t="shared" ref="K33:M33" si="4">SUM(K2:K32)</f>
        <v>118</v>
      </c>
      <c r="L33" s="11">
        <f t="shared" si="4"/>
        <v>1</v>
      </c>
      <c r="M33" s="11">
        <f t="shared" si="4"/>
        <v>14</v>
      </c>
      <c r="N33" s="33"/>
      <c r="O33" s="40">
        <f>SUM(O2:O32)</f>
        <v>1316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O31"/>
  <sheetViews>
    <sheetView showGridLines="0" showRowColHeaders="0" workbookViewId="0">
      <pane ySplit="1" topLeftCell="A2" activePane="bottomLeft" state="frozen"/>
      <selection pane="bottomLeft" activeCell="A2" sqref="A2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47" t="s">
        <v>0</v>
      </c>
      <c r="C1" s="48" t="s">
        <v>1</v>
      </c>
      <c r="D1" s="48" t="s">
        <v>2</v>
      </c>
      <c r="E1" s="48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42767</v>
      </c>
      <c r="B2" s="10">
        <f>C2+D2+E2</f>
        <v>41</v>
      </c>
      <c r="C2" s="27">
        <v>15</v>
      </c>
      <c r="D2" s="27">
        <v>19</v>
      </c>
      <c r="E2" s="28">
        <v>7</v>
      </c>
      <c r="F2" s="13">
        <f>G2+H2+I2</f>
        <v>9</v>
      </c>
      <c r="G2" s="27">
        <v>6</v>
      </c>
      <c r="H2" s="27">
        <v>3</v>
      </c>
      <c r="I2" s="28"/>
      <c r="J2" s="29">
        <v>11</v>
      </c>
      <c r="K2" s="30">
        <v>2</v>
      </c>
      <c r="L2" s="31"/>
      <c r="M2" s="32">
        <v>1</v>
      </c>
      <c r="N2" s="33"/>
      <c r="O2" s="34">
        <f>B2+F2+J2+K2+L2+M2</f>
        <v>64</v>
      </c>
    </row>
    <row r="3" spans="1:15" ht="16.5" x14ac:dyDescent="0.3">
      <c r="A3" s="2">
        <v>42768</v>
      </c>
      <c r="B3" s="10">
        <f t="shared" ref="B3:B29" si="0">C3+D3+E3</f>
        <v>23</v>
      </c>
      <c r="C3" s="27">
        <v>11</v>
      </c>
      <c r="D3" s="27">
        <v>8</v>
      </c>
      <c r="E3" s="28">
        <v>4</v>
      </c>
      <c r="F3" s="13">
        <f t="shared" ref="F3:F29" si="1">G3+H3+I3</f>
        <v>16</v>
      </c>
      <c r="G3" s="27">
        <v>10</v>
      </c>
      <c r="H3" s="27">
        <v>6</v>
      </c>
      <c r="I3" s="28"/>
      <c r="J3" s="29">
        <v>8</v>
      </c>
      <c r="K3" s="30">
        <v>2</v>
      </c>
      <c r="L3" s="31"/>
      <c r="M3" s="32">
        <v>1</v>
      </c>
      <c r="N3" s="33"/>
      <c r="O3" s="34">
        <f t="shared" ref="O3:O29" si="2">B3+F3+J3+K3+L3+M3</f>
        <v>50</v>
      </c>
    </row>
    <row r="4" spans="1:15" ht="16.5" x14ac:dyDescent="0.3">
      <c r="A4" s="2">
        <v>42769</v>
      </c>
      <c r="B4" s="10">
        <f t="shared" si="0"/>
        <v>44</v>
      </c>
      <c r="C4" s="27">
        <v>16</v>
      </c>
      <c r="D4" s="27">
        <v>13</v>
      </c>
      <c r="E4" s="28">
        <v>15</v>
      </c>
      <c r="F4" s="13">
        <f t="shared" si="1"/>
        <v>9</v>
      </c>
      <c r="G4" s="27">
        <v>7</v>
      </c>
      <c r="H4" s="27">
        <v>2</v>
      </c>
      <c r="I4" s="28"/>
      <c r="J4" s="29">
        <v>4</v>
      </c>
      <c r="K4" s="30">
        <v>7</v>
      </c>
      <c r="L4" s="31"/>
      <c r="M4" s="32">
        <v>1</v>
      </c>
      <c r="N4" s="33"/>
      <c r="O4" s="34">
        <f t="shared" si="2"/>
        <v>65</v>
      </c>
    </row>
    <row r="5" spans="1:15" ht="16.5" x14ac:dyDescent="0.3">
      <c r="A5" s="2">
        <v>42770</v>
      </c>
      <c r="B5" s="10">
        <f t="shared" si="0"/>
        <v>4</v>
      </c>
      <c r="C5" s="27">
        <v>4</v>
      </c>
      <c r="D5" s="27"/>
      <c r="E5" s="28"/>
      <c r="F5" s="13">
        <f t="shared" si="1"/>
        <v>0</v>
      </c>
      <c r="G5" s="27"/>
      <c r="H5" s="27"/>
      <c r="I5" s="28"/>
      <c r="J5" s="29">
        <v>1</v>
      </c>
      <c r="K5" s="30"/>
      <c r="L5" s="31"/>
      <c r="M5" s="32">
        <v>1</v>
      </c>
      <c r="N5" s="33"/>
      <c r="O5" s="34">
        <f t="shared" si="2"/>
        <v>6</v>
      </c>
    </row>
    <row r="6" spans="1:15" ht="16.5" x14ac:dyDescent="0.3">
      <c r="A6" s="2">
        <v>42771</v>
      </c>
      <c r="B6" s="10">
        <f t="shared" si="0"/>
        <v>0</v>
      </c>
      <c r="C6" s="27"/>
      <c r="D6" s="27"/>
      <c r="E6" s="28"/>
      <c r="F6" s="13">
        <f t="shared" si="1"/>
        <v>0</v>
      </c>
      <c r="G6" s="27"/>
      <c r="H6" s="27"/>
      <c r="I6" s="28"/>
      <c r="J6" s="29"/>
      <c r="K6" s="30"/>
      <c r="L6" s="31"/>
      <c r="M6" s="32"/>
      <c r="N6" s="33"/>
      <c r="O6" s="34">
        <f t="shared" si="2"/>
        <v>0</v>
      </c>
    </row>
    <row r="7" spans="1:15" ht="16.5" x14ac:dyDescent="0.3">
      <c r="A7" s="2">
        <v>42772</v>
      </c>
      <c r="B7" s="10">
        <f t="shared" si="0"/>
        <v>37</v>
      </c>
      <c r="C7" s="27">
        <v>13</v>
      </c>
      <c r="D7" s="27">
        <v>17</v>
      </c>
      <c r="E7" s="28">
        <v>7</v>
      </c>
      <c r="F7" s="13">
        <f t="shared" si="1"/>
        <v>14</v>
      </c>
      <c r="G7" s="27">
        <v>8</v>
      </c>
      <c r="H7" s="27">
        <v>6</v>
      </c>
      <c r="I7" s="28"/>
      <c r="J7" s="29">
        <v>8</v>
      </c>
      <c r="K7" s="30">
        <v>3</v>
      </c>
      <c r="L7" s="31"/>
      <c r="M7" s="32">
        <v>1</v>
      </c>
      <c r="N7" s="33"/>
      <c r="O7" s="34">
        <f t="shared" si="2"/>
        <v>63</v>
      </c>
    </row>
    <row r="8" spans="1:15" ht="16.5" x14ac:dyDescent="0.3">
      <c r="A8" s="2">
        <v>42773</v>
      </c>
      <c r="B8" s="10">
        <f t="shared" si="0"/>
        <v>26</v>
      </c>
      <c r="C8" s="27">
        <v>12</v>
      </c>
      <c r="D8" s="27">
        <v>8</v>
      </c>
      <c r="E8" s="28">
        <v>6</v>
      </c>
      <c r="F8" s="13">
        <f t="shared" si="1"/>
        <v>10</v>
      </c>
      <c r="G8" s="27">
        <v>4</v>
      </c>
      <c r="H8" s="27">
        <v>5</v>
      </c>
      <c r="I8" s="28">
        <v>1</v>
      </c>
      <c r="J8" s="29">
        <v>9</v>
      </c>
      <c r="K8" s="30">
        <v>3</v>
      </c>
      <c r="L8" s="31"/>
      <c r="M8" s="32"/>
      <c r="N8" s="33"/>
      <c r="O8" s="34">
        <f t="shared" si="2"/>
        <v>48</v>
      </c>
    </row>
    <row r="9" spans="1:15" ht="16.5" x14ac:dyDescent="0.3">
      <c r="A9" s="2">
        <v>42774</v>
      </c>
      <c r="B9" s="10">
        <f t="shared" si="0"/>
        <v>30</v>
      </c>
      <c r="C9" s="27">
        <v>7</v>
      </c>
      <c r="D9" s="27">
        <v>14</v>
      </c>
      <c r="E9" s="28">
        <v>9</v>
      </c>
      <c r="F9" s="13">
        <f t="shared" si="1"/>
        <v>7</v>
      </c>
      <c r="G9" s="27">
        <v>4</v>
      </c>
      <c r="H9" s="27">
        <v>3</v>
      </c>
      <c r="I9" s="28"/>
      <c r="J9" s="29">
        <v>13</v>
      </c>
      <c r="K9" s="30">
        <v>2</v>
      </c>
      <c r="L9" s="31">
        <v>1</v>
      </c>
      <c r="M9" s="32">
        <v>1</v>
      </c>
      <c r="N9" s="33"/>
      <c r="O9" s="34">
        <f t="shared" si="2"/>
        <v>54</v>
      </c>
    </row>
    <row r="10" spans="1:15" ht="16.5" x14ac:dyDescent="0.3">
      <c r="A10" s="2">
        <v>42775</v>
      </c>
      <c r="B10" s="10">
        <f t="shared" si="0"/>
        <v>28</v>
      </c>
      <c r="C10" s="27">
        <v>12</v>
      </c>
      <c r="D10" s="27">
        <v>9</v>
      </c>
      <c r="E10" s="28">
        <v>7</v>
      </c>
      <c r="F10" s="13">
        <f t="shared" si="1"/>
        <v>8</v>
      </c>
      <c r="G10" s="27">
        <v>5</v>
      </c>
      <c r="H10" s="27">
        <v>3</v>
      </c>
      <c r="I10" s="28"/>
      <c r="J10" s="29">
        <v>10</v>
      </c>
      <c r="K10" s="30">
        <v>2</v>
      </c>
      <c r="L10" s="31">
        <v>1</v>
      </c>
      <c r="M10" s="32">
        <v>1</v>
      </c>
      <c r="N10" s="33"/>
      <c r="O10" s="34">
        <f t="shared" si="2"/>
        <v>50</v>
      </c>
    </row>
    <row r="11" spans="1:15" ht="16.5" x14ac:dyDescent="0.3">
      <c r="A11" s="2">
        <v>42776</v>
      </c>
      <c r="B11" s="10">
        <f t="shared" si="0"/>
        <v>44</v>
      </c>
      <c r="C11" s="27">
        <v>17</v>
      </c>
      <c r="D11" s="27">
        <v>16</v>
      </c>
      <c r="E11" s="28">
        <v>11</v>
      </c>
      <c r="F11" s="13">
        <f t="shared" si="1"/>
        <v>4</v>
      </c>
      <c r="G11" s="27">
        <v>3</v>
      </c>
      <c r="H11" s="27">
        <v>1</v>
      </c>
      <c r="I11" s="28"/>
      <c r="J11" s="29">
        <v>15</v>
      </c>
      <c r="K11" s="30">
        <v>4</v>
      </c>
      <c r="L11" s="31"/>
      <c r="M11" s="32">
        <v>1</v>
      </c>
      <c r="N11" s="33"/>
      <c r="O11" s="34">
        <f t="shared" si="2"/>
        <v>68</v>
      </c>
    </row>
    <row r="12" spans="1:15" ht="16.5" x14ac:dyDescent="0.3">
      <c r="A12" s="2">
        <v>42777</v>
      </c>
      <c r="B12" s="10">
        <f t="shared" si="0"/>
        <v>2</v>
      </c>
      <c r="C12" s="27">
        <v>2</v>
      </c>
      <c r="D12" s="27"/>
      <c r="E12" s="28"/>
      <c r="F12" s="13">
        <f t="shared" si="1"/>
        <v>0</v>
      </c>
      <c r="G12" s="27"/>
      <c r="H12" s="27"/>
      <c r="I12" s="28"/>
      <c r="J12" s="29"/>
      <c r="K12" s="30"/>
      <c r="L12" s="31"/>
      <c r="M12" s="32"/>
      <c r="N12" s="33"/>
      <c r="O12" s="34">
        <f t="shared" si="2"/>
        <v>2</v>
      </c>
    </row>
    <row r="13" spans="1:15" ht="16.5" x14ac:dyDescent="0.3">
      <c r="A13" s="2">
        <v>42778</v>
      </c>
      <c r="B13" s="10">
        <f t="shared" si="0"/>
        <v>0</v>
      </c>
      <c r="C13" s="27"/>
      <c r="D13" s="27"/>
      <c r="E13" s="28"/>
      <c r="F13" s="13">
        <f t="shared" si="1"/>
        <v>0</v>
      </c>
      <c r="G13" s="27"/>
      <c r="H13" s="27"/>
      <c r="I13" s="28"/>
      <c r="J13" s="29"/>
      <c r="K13" s="30"/>
      <c r="L13" s="31"/>
      <c r="M13" s="32"/>
      <c r="N13" s="33"/>
      <c r="O13" s="34">
        <f t="shared" si="2"/>
        <v>0</v>
      </c>
    </row>
    <row r="14" spans="1:15" ht="16.5" x14ac:dyDescent="0.3">
      <c r="A14" s="2">
        <v>42779</v>
      </c>
      <c r="B14" s="10">
        <f t="shared" si="0"/>
        <v>36</v>
      </c>
      <c r="C14" s="27">
        <v>13</v>
      </c>
      <c r="D14" s="27">
        <v>14</v>
      </c>
      <c r="E14" s="28">
        <v>9</v>
      </c>
      <c r="F14" s="13">
        <f t="shared" si="1"/>
        <v>5</v>
      </c>
      <c r="G14" s="27">
        <v>3</v>
      </c>
      <c r="H14" s="27">
        <v>2</v>
      </c>
      <c r="I14" s="28"/>
      <c r="J14" s="29">
        <v>8</v>
      </c>
      <c r="K14" s="30">
        <v>4</v>
      </c>
      <c r="L14" s="31"/>
      <c r="M14" s="32">
        <v>1</v>
      </c>
      <c r="N14" s="33"/>
      <c r="O14" s="34">
        <f t="shared" si="2"/>
        <v>54</v>
      </c>
    </row>
    <row r="15" spans="1:15" ht="16.5" x14ac:dyDescent="0.3">
      <c r="A15" s="2">
        <v>42780</v>
      </c>
      <c r="B15" s="10">
        <f t="shared" si="0"/>
        <v>37</v>
      </c>
      <c r="C15" s="27">
        <v>13</v>
      </c>
      <c r="D15" s="27">
        <v>14</v>
      </c>
      <c r="E15" s="28">
        <v>10</v>
      </c>
      <c r="F15" s="13">
        <f t="shared" si="1"/>
        <v>6</v>
      </c>
      <c r="G15" s="27">
        <v>4</v>
      </c>
      <c r="H15" s="27">
        <v>2</v>
      </c>
      <c r="I15" s="28"/>
      <c r="J15" s="29">
        <v>18</v>
      </c>
      <c r="K15" s="30">
        <v>2</v>
      </c>
      <c r="L15" s="31"/>
      <c r="M15" s="32">
        <v>3</v>
      </c>
      <c r="N15" s="33"/>
      <c r="O15" s="34">
        <f t="shared" si="2"/>
        <v>66</v>
      </c>
    </row>
    <row r="16" spans="1:15" ht="16.5" x14ac:dyDescent="0.3">
      <c r="A16" s="2">
        <v>42781</v>
      </c>
      <c r="B16" s="10">
        <f t="shared" si="0"/>
        <v>38</v>
      </c>
      <c r="C16" s="27">
        <v>16</v>
      </c>
      <c r="D16" s="27">
        <v>12</v>
      </c>
      <c r="E16" s="28">
        <v>10</v>
      </c>
      <c r="F16" s="13">
        <f t="shared" si="1"/>
        <v>3</v>
      </c>
      <c r="G16" s="27">
        <v>2</v>
      </c>
      <c r="H16" s="27"/>
      <c r="I16" s="28">
        <v>1</v>
      </c>
      <c r="J16" s="29">
        <v>11</v>
      </c>
      <c r="K16" s="30">
        <v>5</v>
      </c>
      <c r="L16" s="31">
        <v>1</v>
      </c>
      <c r="M16" s="32"/>
      <c r="N16" s="33"/>
      <c r="O16" s="34">
        <f t="shared" si="2"/>
        <v>58</v>
      </c>
    </row>
    <row r="17" spans="1:15" ht="16.5" x14ac:dyDescent="0.3">
      <c r="A17" s="2">
        <v>42782</v>
      </c>
      <c r="B17" s="10">
        <f t="shared" si="0"/>
        <v>32</v>
      </c>
      <c r="C17" s="27">
        <v>10</v>
      </c>
      <c r="D17" s="27">
        <v>13</v>
      </c>
      <c r="E17" s="28">
        <v>9</v>
      </c>
      <c r="F17" s="13">
        <f t="shared" si="1"/>
        <v>9</v>
      </c>
      <c r="G17" s="27">
        <v>5</v>
      </c>
      <c r="H17" s="27">
        <v>3</v>
      </c>
      <c r="I17" s="28">
        <v>1</v>
      </c>
      <c r="J17" s="29">
        <v>14</v>
      </c>
      <c r="K17" s="30">
        <v>2</v>
      </c>
      <c r="L17" s="31"/>
      <c r="M17" s="32">
        <v>1</v>
      </c>
      <c r="N17" s="33"/>
      <c r="O17" s="34">
        <f t="shared" si="2"/>
        <v>58</v>
      </c>
    </row>
    <row r="18" spans="1:15" ht="16.5" x14ac:dyDescent="0.3">
      <c r="A18" s="2">
        <v>42783</v>
      </c>
      <c r="B18" s="10">
        <f t="shared" si="0"/>
        <v>38</v>
      </c>
      <c r="C18" s="27">
        <v>13</v>
      </c>
      <c r="D18" s="27">
        <v>13</v>
      </c>
      <c r="E18" s="28">
        <v>12</v>
      </c>
      <c r="F18" s="13">
        <f t="shared" si="1"/>
        <v>4</v>
      </c>
      <c r="G18" s="27">
        <v>3</v>
      </c>
      <c r="H18" s="27">
        <v>1</v>
      </c>
      <c r="I18" s="28"/>
      <c r="J18" s="29">
        <v>11</v>
      </c>
      <c r="K18" s="30">
        <v>2</v>
      </c>
      <c r="L18" s="31"/>
      <c r="M18" s="32"/>
      <c r="N18" s="33"/>
      <c r="O18" s="34">
        <f t="shared" si="2"/>
        <v>55</v>
      </c>
    </row>
    <row r="19" spans="1:15" ht="16.5" x14ac:dyDescent="0.3">
      <c r="A19" s="2">
        <v>42784</v>
      </c>
      <c r="B19" s="10">
        <f t="shared" si="0"/>
        <v>5</v>
      </c>
      <c r="C19" s="27">
        <v>5</v>
      </c>
      <c r="D19" s="27"/>
      <c r="E19" s="28"/>
      <c r="F19" s="13">
        <f t="shared" si="1"/>
        <v>0</v>
      </c>
      <c r="G19" s="27"/>
      <c r="H19" s="27"/>
      <c r="I19" s="28"/>
      <c r="J19" s="29">
        <v>1</v>
      </c>
      <c r="K19" s="30"/>
      <c r="L19" s="31"/>
      <c r="M19" s="32">
        <v>1</v>
      </c>
      <c r="N19" s="33"/>
      <c r="O19" s="34">
        <f t="shared" si="2"/>
        <v>7</v>
      </c>
    </row>
    <row r="20" spans="1:15" ht="16.5" x14ac:dyDescent="0.3">
      <c r="A20" s="2">
        <v>42785</v>
      </c>
      <c r="B20" s="10">
        <f t="shared" si="0"/>
        <v>0</v>
      </c>
      <c r="C20" s="27"/>
      <c r="D20" s="27"/>
      <c r="E20" s="28"/>
      <c r="F20" s="13">
        <f t="shared" si="1"/>
        <v>0</v>
      </c>
      <c r="G20" s="27"/>
      <c r="H20" s="27"/>
      <c r="I20" s="28"/>
      <c r="J20" s="29"/>
      <c r="K20" s="30"/>
      <c r="L20" s="31"/>
      <c r="M20" s="32"/>
      <c r="N20" s="33"/>
      <c r="O20" s="34">
        <f t="shared" si="2"/>
        <v>0</v>
      </c>
    </row>
    <row r="21" spans="1:15" ht="16.5" x14ac:dyDescent="0.3">
      <c r="A21" s="2">
        <v>42786</v>
      </c>
      <c r="B21" s="10">
        <f t="shared" si="0"/>
        <v>47</v>
      </c>
      <c r="C21" s="27">
        <v>15</v>
      </c>
      <c r="D21" s="27">
        <v>20</v>
      </c>
      <c r="E21" s="28">
        <v>12</v>
      </c>
      <c r="F21" s="13">
        <f t="shared" si="1"/>
        <v>7</v>
      </c>
      <c r="G21" s="27">
        <v>6</v>
      </c>
      <c r="H21" s="27">
        <v>1</v>
      </c>
      <c r="I21" s="28"/>
      <c r="J21" s="29">
        <v>15</v>
      </c>
      <c r="K21" s="30">
        <v>3</v>
      </c>
      <c r="L21" s="31">
        <v>1</v>
      </c>
      <c r="M21" s="32">
        <v>1</v>
      </c>
      <c r="N21" s="33"/>
      <c r="O21" s="34">
        <f t="shared" si="2"/>
        <v>74</v>
      </c>
    </row>
    <row r="22" spans="1:15" ht="16.5" x14ac:dyDescent="0.3">
      <c r="A22" s="2">
        <v>42787</v>
      </c>
      <c r="B22" s="10">
        <f t="shared" si="0"/>
        <v>35</v>
      </c>
      <c r="C22" s="27">
        <v>21</v>
      </c>
      <c r="D22" s="27">
        <v>10</v>
      </c>
      <c r="E22" s="28">
        <v>4</v>
      </c>
      <c r="F22" s="13">
        <f t="shared" si="1"/>
        <v>7</v>
      </c>
      <c r="G22" s="27">
        <v>4</v>
      </c>
      <c r="H22" s="27">
        <v>3</v>
      </c>
      <c r="I22" s="28"/>
      <c r="J22" s="29">
        <v>12</v>
      </c>
      <c r="K22" s="30">
        <v>4</v>
      </c>
      <c r="L22" s="31"/>
      <c r="M22" s="32">
        <v>1</v>
      </c>
      <c r="N22" s="33"/>
      <c r="O22" s="34">
        <f t="shared" si="2"/>
        <v>59</v>
      </c>
    </row>
    <row r="23" spans="1:15" ht="16.5" x14ac:dyDescent="0.3">
      <c r="A23" s="2">
        <v>42788</v>
      </c>
      <c r="B23" s="10">
        <f t="shared" si="0"/>
        <v>44</v>
      </c>
      <c r="C23" s="27">
        <v>22</v>
      </c>
      <c r="D23" s="27">
        <v>15</v>
      </c>
      <c r="E23" s="28">
        <v>7</v>
      </c>
      <c r="F23" s="13">
        <f t="shared" si="1"/>
        <v>8</v>
      </c>
      <c r="G23" s="27">
        <v>5</v>
      </c>
      <c r="H23" s="27">
        <v>3</v>
      </c>
      <c r="I23" s="28"/>
      <c r="J23" s="29">
        <v>19</v>
      </c>
      <c r="K23" s="30">
        <v>10</v>
      </c>
      <c r="L23" s="31"/>
      <c r="M23" s="32">
        <v>2</v>
      </c>
      <c r="N23" s="33"/>
      <c r="O23" s="34">
        <f t="shared" si="2"/>
        <v>83</v>
      </c>
    </row>
    <row r="24" spans="1:15" ht="16.5" x14ac:dyDescent="0.3">
      <c r="A24" s="2">
        <v>42789</v>
      </c>
      <c r="B24" s="10">
        <f t="shared" si="0"/>
        <v>46</v>
      </c>
      <c r="C24" s="27">
        <v>18</v>
      </c>
      <c r="D24" s="27">
        <v>13</v>
      </c>
      <c r="E24" s="28">
        <v>15</v>
      </c>
      <c r="F24" s="13">
        <f t="shared" si="1"/>
        <v>5</v>
      </c>
      <c r="G24" s="27">
        <v>4</v>
      </c>
      <c r="H24" s="27">
        <v>1</v>
      </c>
      <c r="I24" s="28"/>
      <c r="J24" s="29">
        <v>11</v>
      </c>
      <c r="K24" s="30">
        <v>7</v>
      </c>
      <c r="L24" s="31"/>
      <c r="M24" s="32"/>
      <c r="N24" s="33"/>
      <c r="O24" s="34">
        <f t="shared" si="2"/>
        <v>69</v>
      </c>
    </row>
    <row r="25" spans="1:15" ht="16.5" x14ac:dyDescent="0.3">
      <c r="A25" s="2">
        <v>42790</v>
      </c>
      <c r="B25" s="10">
        <f t="shared" si="0"/>
        <v>41</v>
      </c>
      <c r="C25" s="27">
        <v>19</v>
      </c>
      <c r="D25" s="27">
        <v>10</v>
      </c>
      <c r="E25" s="28">
        <v>12</v>
      </c>
      <c r="F25" s="13">
        <f t="shared" si="1"/>
        <v>8</v>
      </c>
      <c r="G25" s="27">
        <v>5</v>
      </c>
      <c r="H25" s="27">
        <v>2</v>
      </c>
      <c r="I25" s="28">
        <v>1</v>
      </c>
      <c r="J25" s="29">
        <v>11</v>
      </c>
      <c r="K25" s="30">
        <v>3</v>
      </c>
      <c r="L25" s="31">
        <v>1</v>
      </c>
      <c r="M25" s="32">
        <v>2</v>
      </c>
      <c r="N25" s="33"/>
      <c r="O25" s="34">
        <f t="shared" si="2"/>
        <v>66</v>
      </c>
    </row>
    <row r="26" spans="1:15" ht="16.5" x14ac:dyDescent="0.3">
      <c r="A26" s="2">
        <v>42791</v>
      </c>
      <c r="B26" s="10">
        <f t="shared" si="0"/>
        <v>6</v>
      </c>
      <c r="C26" s="27">
        <v>6</v>
      </c>
      <c r="D26" s="27"/>
      <c r="E26" s="28"/>
      <c r="F26" s="13">
        <f t="shared" si="1"/>
        <v>0</v>
      </c>
      <c r="G26" s="27"/>
      <c r="H26" s="27"/>
      <c r="I26" s="28"/>
      <c r="J26" s="29">
        <v>1</v>
      </c>
      <c r="K26" s="30"/>
      <c r="L26" s="31"/>
      <c r="M26" s="32"/>
      <c r="N26" s="33"/>
      <c r="O26" s="34">
        <f t="shared" si="2"/>
        <v>7</v>
      </c>
    </row>
    <row r="27" spans="1:15" ht="16.5" x14ac:dyDescent="0.3">
      <c r="A27" s="2">
        <v>42792</v>
      </c>
      <c r="B27" s="10">
        <f t="shared" si="0"/>
        <v>0</v>
      </c>
      <c r="C27" s="27"/>
      <c r="D27" s="27"/>
      <c r="E27" s="28"/>
      <c r="F27" s="13">
        <f t="shared" si="1"/>
        <v>0</v>
      </c>
      <c r="G27" s="27"/>
      <c r="H27" s="27"/>
      <c r="I27" s="28"/>
      <c r="J27" s="29"/>
      <c r="K27" s="30"/>
      <c r="L27" s="31"/>
      <c r="M27" s="32"/>
      <c r="N27" s="33"/>
      <c r="O27" s="34">
        <f t="shared" si="2"/>
        <v>0</v>
      </c>
    </row>
    <row r="28" spans="1:15" ht="16.5" x14ac:dyDescent="0.3">
      <c r="A28" s="2">
        <v>42793</v>
      </c>
      <c r="B28" s="10">
        <f t="shared" si="0"/>
        <v>39</v>
      </c>
      <c r="C28" s="27">
        <v>17</v>
      </c>
      <c r="D28" s="27">
        <v>14</v>
      </c>
      <c r="E28" s="28">
        <v>8</v>
      </c>
      <c r="F28" s="13">
        <f t="shared" si="1"/>
        <v>8</v>
      </c>
      <c r="G28" s="27">
        <v>6</v>
      </c>
      <c r="H28" s="27">
        <v>2</v>
      </c>
      <c r="I28" s="28"/>
      <c r="J28" s="29">
        <v>13</v>
      </c>
      <c r="K28" s="30">
        <v>6</v>
      </c>
      <c r="L28" s="31">
        <v>1</v>
      </c>
      <c r="M28" s="32">
        <v>1</v>
      </c>
      <c r="N28" s="33"/>
      <c r="O28" s="34">
        <f t="shared" si="2"/>
        <v>68</v>
      </c>
    </row>
    <row r="29" spans="1:15" ht="17.25" thickBot="1" x14ac:dyDescent="0.35">
      <c r="A29" s="3">
        <v>42794</v>
      </c>
      <c r="B29" s="35">
        <f t="shared" si="0"/>
        <v>36</v>
      </c>
      <c r="C29" s="36">
        <v>14</v>
      </c>
      <c r="D29" s="36">
        <v>17</v>
      </c>
      <c r="E29" s="37">
        <v>5</v>
      </c>
      <c r="F29" s="38">
        <f t="shared" si="1"/>
        <v>7</v>
      </c>
      <c r="G29" s="36">
        <v>5</v>
      </c>
      <c r="H29" s="36">
        <v>2</v>
      </c>
      <c r="I29" s="37"/>
      <c r="J29" s="42">
        <v>9</v>
      </c>
      <c r="K29" s="43">
        <v>4</v>
      </c>
      <c r="L29" s="44"/>
      <c r="M29" s="45">
        <v>1</v>
      </c>
      <c r="N29" s="33"/>
      <c r="O29" s="39">
        <f t="shared" si="2"/>
        <v>57</v>
      </c>
    </row>
    <row r="30" spans="1:15" ht="17.25" thickBot="1" x14ac:dyDescent="0.35">
      <c r="A30" s="49" t="s">
        <v>10</v>
      </c>
      <c r="B30" s="17">
        <f>SUM(B2:B29)</f>
        <v>759</v>
      </c>
      <c r="C30" s="17">
        <f t="shared" ref="C30:E30" si="3">SUM(C2:C29)</f>
        <v>311</v>
      </c>
      <c r="D30" s="17">
        <f t="shared" si="3"/>
        <v>269</v>
      </c>
      <c r="E30" s="17">
        <f t="shared" si="3"/>
        <v>179</v>
      </c>
      <c r="F30" s="18">
        <f>SUM(F2:F29)</f>
        <v>154</v>
      </c>
      <c r="G30" s="18">
        <f t="shared" ref="G30:I30" si="4">SUM(G2:G29)</f>
        <v>99</v>
      </c>
      <c r="H30" s="18">
        <f t="shared" si="4"/>
        <v>51</v>
      </c>
      <c r="I30" s="18">
        <f t="shared" si="4"/>
        <v>4</v>
      </c>
      <c r="J30" s="11">
        <f>SUM(J2:J29)</f>
        <v>233</v>
      </c>
      <c r="K30" s="11">
        <f t="shared" ref="K30:M30" si="5">SUM(K2:K29)</f>
        <v>77</v>
      </c>
      <c r="L30" s="11">
        <f t="shared" si="5"/>
        <v>6</v>
      </c>
      <c r="M30" s="11">
        <f t="shared" si="5"/>
        <v>22</v>
      </c>
      <c r="N30" s="46"/>
      <c r="O30" s="40">
        <f>SUM(O2:O29)</f>
        <v>1251</v>
      </c>
    </row>
    <row r="31" spans="1:15" x14ac:dyDescent="0.25">
      <c r="A31" s="7"/>
      <c r="B31" s="8"/>
      <c r="C31" s="9"/>
    </row>
  </sheetData>
  <conditionalFormatting sqref="B2:B4 B7:B11 B14:B18 B21:B25 B28:B29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A1:O33"/>
  <sheetViews>
    <sheetView showGridLines="0" showRowColHeaders="0" zoomScaleNormal="100" workbookViewId="0">
      <pane ySplit="1" topLeftCell="A2" activePane="bottomLeft" state="frozen"/>
      <selection pane="bottomLeft" activeCell="B17" sqref="B17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42795</v>
      </c>
      <c r="B2" s="10">
        <f>C2+D2+E2</f>
        <v>39</v>
      </c>
      <c r="C2" s="27">
        <v>17</v>
      </c>
      <c r="D2" s="27">
        <v>13</v>
      </c>
      <c r="E2" s="28">
        <v>9</v>
      </c>
      <c r="F2" s="13">
        <f>G2+H2+I2</f>
        <v>11</v>
      </c>
      <c r="G2" s="27">
        <v>6</v>
      </c>
      <c r="H2" s="27">
        <v>5</v>
      </c>
      <c r="I2" s="28"/>
      <c r="J2" s="29">
        <v>8</v>
      </c>
      <c r="K2" s="30">
        <v>5</v>
      </c>
      <c r="L2" s="31"/>
      <c r="M2" s="32"/>
      <c r="N2" s="33"/>
      <c r="O2" s="34">
        <f>B2+F2+J2+K2+L2+M2</f>
        <v>63</v>
      </c>
    </row>
    <row r="3" spans="1:15" ht="16.5" x14ac:dyDescent="0.3">
      <c r="A3" s="2">
        <v>42796</v>
      </c>
      <c r="B3" s="10">
        <f t="shared" ref="B3:B32" si="0">C3+D3+E3</f>
        <v>43</v>
      </c>
      <c r="C3" s="27">
        <v>16</v>
      </c>
      <c r="D3" s="27">
        <v>16</v>
      </c>
      <c r="E3" s="28">
        <v>11</v>
      </c>
      <c r="F3" s="13">
        <f t="shared" ref="F3:F32" si="1">G3+H3+I3</f>
        <v>10</v>
      </c>
      <c r="G3" s="27">
        <v>9</v>
      </c>
      <c r="H3" s="27">
        <v>1</v>
      </c>
      <c r="I3" s="28"/>
      <c r="J3" s="29">
        <v>9</v>
      </c>
      <c r="K3" s="30">
        <v>2</v>
      </c>
      <c r="L3" s="31"/>
      <c r="M3" s="32">
        <v>1</v>
      </c>
      <c r="N3" s="33"/>
      <c r="O3" s="34">
        <f t="shared" ref="O3:O32" si="2">B3+F3+J3+K3+L3+M3</f>
        <v>65</v>
      </c>
    </row>
    <row r="4" spans="1:15" ht="16.5" x14ac:dyDescent="0.3">
      <c r="A4" s="2">
        <v>42797</v>
      </c>
      <c r="B4" s="10">
        <f t="shared" si="0"/>
        <v>41</v>
      </c>
      <c r="C4" s="27">
        <v>14</v>
      </c>
      <c r="D4" s="27">
        <v>20</v>
      </c>
      <c r="E4" s="28">
        <v>7</v>
      </c>
      <c r="F4" s="13">
        <f t="shared" si="1"/>
        <v>9</v>
      </c>
      <c r="G4" s="27">
        <v>7</v>
      </c>
      <c r="H4" s="27">
        <v>2</v>
      </c>
      <c r="I4" s="28"/>
      <c r="J4" s="29">
        <v>15</v>
      </c>
      <c r="K4" s="30">
        <v>4</v>
      </c>
      <c r="L4" s="31"/>
      <c r="M4" s="32">
        <v>1</v>
      </c>
      <c r="N4" s="33"/>
      <c r="O4" s="34">
        <f t="shared" si="2"/>
        <v>70</v>
      </c>
    </row>
    <row r="5" spans="1:15" ht="16.5" x14ac:dyDescent="0.3">
      <c r="A5" s="2">
        <v>42798</v>
      </c>
      <c r="B5" s="10">
        <f t="shared" si="0"/>
        <v>5</v>
      </c>
      <c r="C5" s="27">
        <v>3</v>
      </c>
      <c r="D5" s="27">
        <v>1</v>
      </c>
      <c r="E5" s="28">
        <v>1</v>
      </c>
      <c r="F5" s="13">
        <f t="shared" si="1"/>
        <v>0</v>
      </c>
      <c r="G5" s="27"/>
      <c r="H5" s="27"/>
      <c r="I5" s="28"/>
      <c r="J5" s="29"/>
      <c r="K5" s="30"/>
      <c r="L5" s="31"/>
      <c r="M5" s="32">
        <v>1</v>
      </c>
      <c r="N5" s="33"/>
      <c r="O5" s="34">
        <f t="shared" si="2"/>
        <v>6</v>
      </c>
    </row>
    <row r="6" spans="1:15" ht="16.5" x14ac:dyDescent="0.3">
      <c r="A6" s="2">
        <v>42799</v>
      </c>
      <c r="B6" s="10">
        <f t="shared" si="0"/>
        <v>0</v>
      </c>
      <c r="C6" s="27"/>
      <c r="D6" s="27"/>
      <c r="E6" s="28"/>
      <c r="F6" s="13">
        <f t="shared" si="1"/>
        <v>0</v>
      </c>
      <c r="G6" s="27"/>
      <c r="H6" s="27"/>
      <c r="I6" s="28"/>
      <c r="J6" s="29"/>
      <c r="K6" s="30"/>
      <c r="L6" s="31"/>
      <c r="M6" s="32"/>
      <c r="N6" s="33"/>
      <c r="O6" s="34">
        <f t="shared" si="2"/>
        <v>0</v>
      </c>
    </row>
    <row r="7" spans="1:15" ht="16.5" x14ac:dyDescent="0.3">
      <c r="A7" s="2">
        <v>42800</v>
      </c>
      <c r="B7" s="10">
        <f t="shared" si="0"/>
        <v>40</v>
      </c>
      <c r="C7" s="27">
        <v>13</v>
      </c>
      <c r="D7" s="27">
        <v>15</v>
      </c>
      <c r="E7" s="28">
        <v>12</v>
      </c>
      <c r="F7" s="13">
        <f t="shared" si="1"/>
        <v>6</v>
      </c>
      <c r="G7" s="27">
        <v>5</v>
      </c>
      <c r="H7" s="27">
        <v>1</v>
      </c>
      <c r="I7" s="28"/>
      <c r="J7" s="29">
        <v>11</v>
      </c>
      <c r="K7" s="30">
        <v>8</v>
      </c>
      <c r="L7" s="31"/>
      <c r="M7" s="32">
        <v>2</v>
      </c>
      <c r="N7" s="33"/>
      <c r="O7" s="34">
        <f t="shared" si="2"/>
        <v>67</v>
      </c>
    </row>
    <row r="8" spans="1:15" ht="16.5" x14ac:dyDescent="0.3">
      <c r="A8" s="2">
        <v>42801</v>
      </c>
      <c r="B8" s="10">
        <f t="shared" si="0"/>
        <v>38</v>
      </c>
      <c r="C8" s="27">
        <v>17</v>
      </c>
      <c r="D8" s="27">
        <v>11</v>
      </c>
      <c r="E8" s="28">
        <v>10</v>
      </c>
      <c r="F8" s="13">
        <f t="shared" si="1"/>
        <v>8</v>
      </c>
      <c r="G8" s="27">
        <v>5</v>
      </c>
      <c r="H8" s="27">
        <v>3</v>
      </c>
      <c r="I8" s="28"/>
      <c r="J8" s="29">
        <v>9</v>
      </c>
      <c r="K8" s="30">
        <v>5</v>
      </c>
      <c r="L8" s="31">
        <v>1</v>
      </c>
      <c r="M8" s="32"/>
      <c r="N8" s="33"/>
      <c r="O8" s="34">
        <f t="shared" si="2"/>
        <v>61</v>
      </c>
    </row>
    <row r="9" spans="1:15" ht="16.5" x14ac:dyDescent="0.3">
      <c r="A9" s="2">
        <v>42802</v>
      </c>
      <c r="B9" s="10">
        <f t="shared" si="0"/>
        <v>46</v>
      </c>
      <c r="C9" s="27">
        <v>17</v>
      </c>
      <c r="D9" s="27">
        <v>17</v>
      </c>
      <c r="E9" s="28">
        <v>12</v>
      </c>
      <c r="F9" s="13">
        <f t="shared" si="1"/>
        <v>7</v>
      </c>
      <c r="G9" s="27">
        <v>4</v>
      </c>
      <c r="H9" s="27">
        <v>3</v>
      </c>
      <c r="I9" s="28"/>
      <c r="J9" s="29">
        <v>14</v>
      </c>
      <c r="K9" s="30">
        <v>8</v>
      </c>
      <c r="L9" s="31"/>
      <c r="M9" s="32">
        <v>1</v>
      </c>
      <c r="N9" s="33"/>
      <c r="O9" s="34">
        <f t="shared" si="2"/>
        <v>76</v>
      </c>
    </row>
    <row r="10" spans="1:15" ht="16.5" x14ac:dyDescent="0.3">
      <c r="A10" s="2">
        <v>42803</v>
      </c>
      <c r="B10" s="10">
        <f t="shared" si="0"/>
        <v>41</v>
      </c>
      <c r="C10" s="27">
        <v>20</v>
      </c>
      <c r="D10" s="27">
        <v>15</v>
      </c>
      <c r="E10" s="28">
        <v>6</v>
      </c>
      <c r="F10" s="13">
        <f t="shared" si="1"/>
        <v>10</v>
      </c>
      <c r="G10" s="27">
        <v>3</v>
      </c>
      <c r="H10" s="27">
        <v>7</v>
      </c>
      <c r="I10" s="28"/>
      <c r="J10" s="29">
        <v>10</v>
      </c>
      <c r="K10" s="30">
        <v>3</v>
      </c>
      <c r="L10" s="31"/>
      <c r="M10" s="32">
        <v>1</v>
      </c>
      <c r="N10" s="33"/>
      <c r="O10" s="34">
        <f t="shared" si="2"/>
        <v>65</v>
      </c>
    </row>
    <row r="11" spans="1:15" ht="16.5" x14ac:dyDescent="0.3">
      <c r="A11" s="2">
        <v>42804</v>
      </c>
      <c r="B11" s="10">
        <f t="shared" si="0"/>
        <v>40</v>
      </c>
      <c r="C11" s="27">
        <v>17</v>
      </c>
      <c r="D11" s="27">
        <v>12</v>
      </c>
      <c r="E11" s="28">
        <v>11</v>
      </c>
      <c r="F11" s="13">
        <f t="shared" si="1"/>
        <v>11</v>
      </c>
      <c r="G11" s="27">
        <v>6</v>
      </c>
      <c r="H11" s="27">
        <v>5</v>
      </c>
      <c r="I11" s="28"/>
      <c r="J11" s="29">
        <v>13</v>
      </c>
      <c r="K11" s="30">
        <v>3</v>
      </c>
      <c r="L11" s="31">
        <v>1</v>
      </c>
      <c r="M11" s="32">
        <v>2</v>
      </c>
      <c r="N11" s="33"/>
      <c r="O11" s="34">
        <f t="shared" si="2"/>
        <v>70</v>
      </c>
    </row>
    <row r="12" spans="1:15" ht="16.5" x14ac:dyDescent="0.3">
      <c r="A12" s="2">
        <v>42805</v>
      </c>
      <c r="B12" s="10">
        <f t="shared" si="0"/>
        <v>3</v>
      </c>
      <c r="C12" s="27">
        <v>3</v>
      </c>
      <c r="D12" s="27"/>
      <c r="E12" s="28"/>
      <c r="F12" s="13">
        <f t="shared" si="1"/>
        <v>2</v>
      </c>
      <c r="G12" s="27">
        <v>2</v>
      </c>
      <c r="H12" s="27"/>
      <c r="I12" s="28"/>
      <c r="J12" s="29"/>
      <c r="K12" s="30"/>
      <c r="L12" s="31"/>
      <c r="M12" s="32"/>
      <c r="N12" s="33"/>
      <c r="O12" s="34">
        <f t="shared" si="2"/>
        <v>5</v>
      </c>
    </row>
    <row r="13" spans="1:15" ht="16.5" x14ac:dyDescent="0.3">
      <c r="A13" s="2">
        <v>42806</v>
      </c>
      <c r="B13" s="10">
        <f t="shared" si="0"/>
        <v>0</v>
      </c>
      <c r="C13" s="27"/>
      <c r="D13" s="27"/>
      <c r="E13" s="28"/>
      <c r="F13" s="13">
        <f t="shared" si="1"/>
        <v>0</v>
      </c>
      <c r="G13" s="27"/>
      <c r="H13" s="27"/>
      <c r="I13" s="28"/>
      <c r="J13" s="29"/>
      <c r="K13" s="30"/>
      <c r="L13" s="31"/>
      <c r="M13" s="32"/>
      <c r="N13" s="33"/>
      <c r="O13" s="34">
        <f t="shared" si="2"/>
        <v>0</v>
      </c>
    </row>
    <row r="14" spans="1:15" ht="16.5" x14ac:dyDescent="0.3">
      <c r="A14" s="2">
        <v>42807</v>
      </c>
      <c r="B14" s="10">
        <f t="shared" si="0"/>
        <v>51</v>
      </c>
      <c r="C14" s="27">
        <v>19</v>
      </c>
      <c r="D14" s="27">
        <v>20</v>
      </c>
      <c r="E14" s="28">
        <v>12</v>
      </c>
      <c r="F14" s="13">
        <f t="shared" si="1"/>
        <v>2</v>
      </c>
      <c r="G14" s="27">
        <v>1</v>
      </c>
      <c r="H14" s="27">
        <v>1</v>
      </c>
      <c r="I14" s="28"/>
      <c r="J14" s="29">
        <v>12</v>
      </c>
      <c r="K14" s="30">
        <v>6</v>
      </c>
      <c r="L14" s="31"/>
      <c r="M14" s="32">
        <v>2</v>
      </c>
      <c r="N14" s="33"/>
      <c r="O14" s="34">
        <f t="shared" si="2"/>
        <v>73</v>
      </c>
    </row>
    <row r="15" spans="1:15" ht="16.5" x14ac:dyDescent="0.3">
      <c r="A15" s="2">
        <v>42808</v>
      </c>
      <c r="B15" s="10">
        <f t="shared" si="0"/>
        <v>35</v>
      </c>
      <c r="C15" s="27">
        <v>10</v>
      </c>
      <c r="D15" s="27">
        <v>13</v>
      </c>
      <c r="E15" s="28">
        <v>12</v>
      </c>
      <c r="F15" s="13">
        <f t="shared" si="1"/>
        <v>12</v>
      </c>
      <c r="G15" s="27">
        <v>10</v>
      </c>
      <c r="H15" s="27">
        <v>2</v>
      </c>
      <c r="I15" s="28"/>
      <c r="J15" s="29">
        <v>9</v>
      </c>
      <c r="K15" s="30">
        <v>3</v>
      </c>
      <c r="L15" s="31"/>
      <c r="M15" s="32">
        <v>1</v>
      </c>
      <c r="N15" s="33"/>
      <c r="O15" s="34">
        <f t="shared" si="2"/>
        <v>60</v>
      </c>
    </row>
    <row r="16" spans="1:15" ht="16.5" x14ac:dyDescent="0.3">
      <c r="A16" s="2">
        <v>42809</v>
      </c>
      <c r="B16" s="10">
        <f t="shared" si="0"/>
        <v>43</v>
      </c>
      <c r="C16" s="27">
        <v>14</v>
      </c>
      <c r="D16" s="27">
        <v>14</v>
      </c>
      <c r="E16" s="28">
        <v>15</v>
      </c>
      <c r="F16" s="13">
        <f t="shared" si="1"/>
        <v>7</v>
      </c>
      <c r="G16" s="27">
        <v>5</v>
      </c>
      <c r="H16" s="27">
        <v>2</v>
      </c>
      <c r="I16" s="28"/>
      <c r="J16" s="29">
        <v>15</v>
      </c>
      <c r="K16" s="30">
        <v>4</v>
      </c>
      <c r="L16" s="31"/>
      <c r="M16" s="32"/>
      <c r="N16" s="33"/>
      <c r="O16" s="34">
        <f t="shared" si="2"/>
        <v>69</v>
      </c>
    </row>
    <row r="17" spans="1:15" ht="16.5" x14ac:dyDescent="0.3">
      <c r="A17" s="2">
        <v>42810</v>
      </c>
      <c r="B17" s="10">
        <f t="shared" si="0"/>
        <v>34</v>
      </c>
      <c r="C17" s="27">
        <v>13</v>
      </c>
      <c r="D17" s="27">
        <v>12</v>
      </c>
      <c r="E17" s="28">
        <v>9</v>
      </c>
      <c r="F17" s="13">
        <f t="shared" si="1"/>
        <v>12</v>
      </c>
      <c r="G17" s="27">
        <v>7</v>
      </c>
      <c r="H17" s="27">
        <v>5</v>
      </c>
      <c r="I17" s="28"/>
      <c r="J17" s="29">
        <v>14</v>
      </c>
      <c r="K17" s="30">
        <v>6</v>
      </c>
      <c r="L17" s="31">
        <v>1</v>
      </c>
      <c r="M17" s="32">
        <v>1</v>
      </c>
      <c r="N17" s="33"/>
      <c r="O17" s="34">
        <f t="shared" si="2"/>
        <v>68</v>
      </c>
    </row>
    <row r="18" spans="1:15" ht="16.5" x14ac:dyDescent="0.3">
      <c r="A18" s="2">
        <v>42811</v>
      </c>
      <c r="B18" s="10">
        <f t="shared" si="0"/>
        <v>49</v>
      </c>
      <c r="C18" s="27">
        <v>16</v>
      </c>
      <c r="D18" s="27">
        <v>22</v>
      </c>
      <c r="E18" s="28">
        <v>11</v>
      </c>
      <c r="F18" s="13">
        <f t="shared" si="1"/>
        <v>9</v>
      </c>
      <c r="G18" s="27">
        <v>6</v>
      </c>
      <c r="H18" s="27">
        <v>3</v>
      </c>
      <c r="I18" s="28"/>
      <c r="J18" s="29">
        <v>17</v>
      </c>
      <c r="K18" s="30">
        <v>3</v>
      </c>
      <c r="L18" s="31">
        <v>1</v>
      </c>
      <c r="M18" s="32">
        <v>1</v>
      </c>
      <c r="N18" s="33"/>
      <c r="O18" s="34">
        <f t="shared" si="2"/>
        <v>80</v>
      </c>
    </row>
    <row r="19" spans="1:15" ht="16.5" x14ac:dyDescent="0.3">
      <c r="A19" s="2">
        <v>42812</v>
      </c>
      <c r="B19" s="10">
        <f t="shared" si="0"/>
        <v>5</v>
      </c>
      <c r="C19" s="27">
        <v>3</v>
      </c>
      <c r="D19" s="27">
        <v>1</v>
      </c>
      <c r="E19" s="28">
        <v>1</v>
      </c>
      <c r="F19" s="13">
        <f t="shared" si="1"/>
        <v>1</v>
      </c>
      <c r="G19" s="27">
        <v>1</v>
      </c>
      <c r="H19" s="27"/>
      <c r="I19" s="28"/>
      <c r="J19" s="29"/>
      <c r="K19" s="30">
        <v>1</v>
      </c>
      <c r="L19" s="31"/>
      <c r="M19" s="32"/>
      <c r="N19" s="33"/>
      <c r="O19" s="34">
        <f t="shared" si="2"/>
        <v>7</v>
      </c>
    </row>
    <row r="20" spans="1:15" ht="16.5" x14ac:dyDescent="0.3">
      <c r="A20" s="2">
        <v>42813</v>
      </c>
      <c r="B20" s="10">
        <f t="shared" si="0"/>
        <v>0</v>
      </c>
      <c r="C20" s="27"/>
      <c r="D20" s="27"/>
      <c r="E20" s="28"/>
      <c r="F20" s="13">
        <f t="shared" si="1"/>
        <v>0</v>
      </c>
      <c r="G20" s="27"/>
      <c r="H20" s="27"/>
      <c r="I20" s="28"/>
      <c r="J20" s="29"/>
      <c r="K20" s="30"/>
      <c r="L20" s="31"/>
      <c r="M20" s="32"/>
      <c r="N20" s="33"/>
      <c r="O20" s="34">
        <f t="shared" si="2"/>
        <v>0</v>
      </c>
    </row>
    <row r="21" spans="1:15" ht="16.5" x14ac:dyDescent="0.3">
      <c r="A21" s="2">
        <v>42814</v>
      </c>
      <c r="B21" s="10">
        <f t="shared" si="0"/>
        <v>46</v>
      </c>
      <c r="C21" s="27">
        <v>19</v>
      </c>
      <c r="D21" s="27">
        <v>16</v>
      </c>
      <c r="E21" s="28">
        <v>11</v>
      </c>
      <c r="F21" s="13">
        <f t="shared" si="1"/>
        <v>12</v>
      </c>
      <c r="G21" s="27">
        <v>5</v>
      </c>
      <c r="H21" s="27">
        <v>7</v>
      </c>
      <c r="I21" s="28"/>
      <c r="J21" s="29">
        <v>16</v>
      </c>
      <c r="K21" s="30">
        <v>1</v>
      </c>
      <c r="L21" s="31"/>
      <c r="M21" s="32">
        <v>1</v>
      </c>
      <c r="N21" s="33"/>
      <c r="O21" s="34">
        <f t="shared" si="2"/>
        <v>76</v>
      </c>
    </row>
    <row r="22" spans="1:15" ht="16.5" x14ac:dyDescent="0.3">
      <c r="A22" s="2">
        <v>42815</v>
      </c>
      <c r="B22" s="10">
        <f t="shared" si="0"/>
        <v>37</v>
      </c>
      <c r="C22" s="27">
        <v>15</v>
      </c>
      <c r="D22" s="27">
        <v>12</v>
      </c>
      <c r="E22" s="28">
        <v>10</v>
      </c>
      <c r="F22" s="13">
        <f t="shared" si="1"/>
        <v>9</v>
      </c>
      <c r="G22" s="27">
        <v>4</v>
      </c>
      <c r="H22" s="27">
        <v>5</v>
      </c>
      <c r="I22" s="28"/>
      <c r="J22" s="29">
        <v>15</v>
      </c>
      <c r="K22" s="30">
        <v>7</v>
      </c>
      <c r="L22" s="31"/>
      <c r="M22" s="32">
        <v>1</v>
      </c>
      <c r="N22" s="33"/>
      <c r="O22" s="34">
        <f t="shared" si="2"/>
        <v>69</v>
      </c>
    </row>
    <row r="23" spans="1:15" ht="16.5" x14ac:dyDescent="0.3">
      <c r="A23" s="2">
        <v>42816</v>
      </c>
      <c r="B23" s="10">
        <f t="shared" si="0"/>
        <v>48</v>
      </c>
      <c r="C23" s="27">
        <v>16</v>
      </c>
      <c r="D23" s="27">
        <v>17</v>
      </c>
      <c r="E23" s="28">
        <v>15</v>
      </c>
      <c r="F23" s="13">
        <f t="shared" si="1"/>
        <v>7</v>
      </c>
      <c r="G23" s="27">
        <v>4</v>
      </c>
      <c r="H23" s="27">
        <v>3</v>
      </c>
      <c r="I23" s="28"/>
      <c r="J23" s="29">
        <v>14</v>
      </c>
      <c r="K23" s="30">
        <v>6</v>
      </c>
      <c r="L23" s="31">
        <v>1</v>
      </c>
      <c r="M23" s="32">
        <v>1</v>
      </c>
      <c r="N23" s="33"/>
      <c r="O23" s="34">
        <f t="shared" si="2"/>
        <v>77</v>
      </c>
    </row>
    <row r="24" spans="1:15" ht="16.5" x14ac:dyDescent="0.3">
      <c r="A24" s="2">
        <v>42817</v>
      </c>
      <c r="B24" s="10">
        <f t="shared" si="0"/>
        <v>39</v>
      </c>
      <c r="C24" s="27">
        <v>12</v>
      </c>
      <c r="D24" s="27">
        <v>12</v>
      </c>
      <c r="E24" s="28">
        <v>15</v>
      </c>
      <c r="F24" s="13">
        <f t="shared" si="1"/>
        <v>6</v>
      </c>
      <c r="G24" s="27">
        <v>5</v>
      </c>
      <c r="H24" s="27">
        <v>1</v>
      </c>
      <c r="I24" s="28"/>
      <c r="J24" s="29">
        <v>12</v>
      </c>
      <c r="K24" s="30">
        <v>5</v>
      </c>
      <c r="L24" s="31">
        <v>2</v>
      </c>
      <c r="M24" s="32"/>
      <c r="N24" s="33"/>
      <c r="O24" s="34">
        <f t="shared" si="2"/>
        <v>64</v>
      </c>
    </row>
    <row r="25" spans="1:15" ht="16.5" x14ac:dyDescent="0.3">
      <c r="A25" s="2">
        <v>42818</v>
      </c>
      <c r="B25" s="10">
        <f t="shared" si="0"/>
        <v>46</v>
      </c>
      <c r="C25" s="27">
        <v>20</v>
      </c>
      <c r="D25" s="27">
        <v>11</v>
      </c>
      <c r="E25" s="28">
        <v>15</v>
      </c>
      <c r="F25" s="13">
        <f t="shared" si="1"/>
        <v>4</v>
      </c>
      <c r="G25" s="27">
        <v>3</v>
      </c>
      <c r="H25" s="27">
        <v>1</v>
      </c>
      <c r="I25" s="28"/>
      <c r="J25" s="29">
        <v>12</v>
      </c>
      <c r="K25" s="30">
        <v>4</v>
      </c>
      <c r="L25" s="31">
        <v>1</v>
      </c>
      <c r="M25" s="32"/>
      <c r="N25" s="33"/>
      <c r="O25" s="34">
        <f t="shared" si="2"/>
        <v>67</v>
      </c>
    </row>
    <row r="26" spans="1:15" ht="16.5" x14ac:dyDescent="0.3">
      <c r="A26" s="2">
        <v>42819</v>
      </c>
      <c r="B26" s="10">
        <f t="shared" si="0"/>
        <v>6</v>
      </c>
      <c r="C26" s="27">
        <v>6</v>
      </c>
      <c r="D26" s="27"/>
      <c r="E26" s="28"/>
      <c r="F26" s="13">
        <f t="shared" si="1"/>
        <v>0</v>
      </c>
      <c r="G26" s="27"/>
      <c r="H26" s="27"/>
      <c r="I26" s="28"/>
      <c r="J26" s="29">
        <v>1</v>
      </c>
      <c r="K26" s="30">
        <v>1</v>
      </c>
      <c r="L26" s="31"/>
      <c r="M26" s="32"/>
      <c r="N26" s="33"/>
      <c r="O26" s="34">
        <f t="shared" si="2"/>
        <v>8</v>
      </c>
    </row>
    <row r="27" spans="1:15" ht="16.5" x14ac:dyDescent="0.3">
      <c r="A27" s="2">
        <v>42820</v>
      </c>
      <c r="B27" s="10">
        <f t="shared" si="0"/>
        <v>0</v>
      </c>
      <c r="C27" s="27"/>
      <c r="D27" s="27"/>
      <c r="E27" s="28"/>
      <c r="F27" s="13">
        <f t="shared" si="1"/>
        <v>0</v>
      </c>
      <c r="G27" s="27"/>
      <c r="H27" s="27"/>
      <c r="I27" s="28"/>
      <c r="J27" s="29"/>
      <c r="K27" s="30"/>
      <c r="L27" s="31"/>
      <c r="M27" s="32"/>
      <c r="N27" s="33"/>
      <c r="O27" s="34">
        <f t="shared" si="2"/>
        <v>0</v>
      </c>
    </row>
    <row r="28" spans="1:15" ht="16.5" x14ac:dyDescent="0.3">
      <c r="A28" s="2">
        <v>42821</v>
      </c>
      <c r="B28" s="10">
        <f t="shared" si="0"/>
        <v>47</v>
      </c>
      <c r="C28" s="27">
        <v>15</v>
      </c>
      <c r="D28" s="27">
        <v>15</v>
      </c>
      <c r="E28" s="28">
        <v>17</v>
      </c>
      <c r="F28" s="13">
        <f t="shared" si="1"/>
        <v>4</v>
      </c>
      <c r="G28" s="27">
        <v>3</v>
      </c>
      <c r="H28" s="27">
        <v>1</v>
      </c>
      <c r="I28" s="28"/>
      <c r="J28" s="29">
        <v>17</v>
      </c>
      <c r="K28" s="30">
        <v>4</v>
      </c>
      <c r="L28" s="31"/>
      <c r="M28" s="32">
        <v>1</v>
      </c>
      <c r="N28" s="33"/>
      <c r="O28" s="34">
        <f t="shared" si="2"/>
        <v>73</v>
      </c>
    </row>
    <row r="29" spans="1:15" ht="16.5" x14ac:dyDescent="0.3">
      <c r="A29" s="2">
        <v>42822</v>
      </c>
      <c r="B29" s="10">
        <f t="shared" si="0"/>
        <v>40</v>
      </c>
      <c r="C29" s="27">
        <v>10</v>
      </c>
      <c r="D29" s="27">
        <v>13</v>
      </c>
      <c r="E29" s="28">
        <v>17</v>
      </c>
      <c r="F29" s="13">
        <f t="shared" si="1"/>
        <v>5</v>
      </c>
      <c r="G29" s="27">
        <v>4</v>
      </c>
      <c r="H29" s="27">
        <v>1</v>
      </c>
      <c r="I29" s="28"/>
      <c r="J29" s="29">
        <v>10</v>
      </c>
      <c r="K29" s="30">
        <v>2</v>
      </c>
      <c r="L29" s="31">
        <v>1</v>
      </c>
      <c r="M29" s="32"/>
      <c r="N29" s="33"/>
      <c r="O29" s="34">
        <f t="shared" si="2"/>
        <v>58</v>
      </c>
    </row>
    <row r="30" spans="1:15" ht="16.5" x14ac:dyDescent="0.3">
      <c r="A30" s="2">
        <v>42823</v>
      </c>
      <c r="B30" s="10">
        <f t="shared" si="0"/>
        <v>45</v>
      </c>
      <c r="C30" s="27">
        <v>19</v>
      </c>
      <c r="D30" s="27">
        <v>12</v>
      </c>
      <c r="E30" s="28">
        <v>14</v>
      </c>
      <c r="F30" s="13">
        <f t="shared" si="1"/>
        <v>7</v>
      </c>
      <c r="G30" s="27">
        <v>7</v>
      </c>
      <c r="H30" s="27"/>
      <c r="I30" s="28"/>
      <c r="J30" s="29">
        <v>15</v>
      </c>
      <c r="K30" s="30">
        <v>4</v>
      </c>
      <c r="L30" s="31"/>
      <c r="M30" s="32">
        <v>2</v>
      </c>
      <c r="N30" s="33"/>
      <c r="O30" s="34">
        <f t="shared" si="2"/>
        <v>73</v>
      </c>
    </row>
    <row r="31" spans="1:15" ht="16.5" x14ac:dyDescent="0.3">
      <c r="A31" s="2">
        <v>42824</v>
      </c>
      <c r="B31" s="10">
        <f t="shared" si="0"/>
        <v>39</v>
      </c>
      <c r="C31" s="27">
        <v>14</v>
      </c>
      <c r="D31" s="27">
        <v>13</v>
      </c>
      <c r="E31" s="28">
        <v>12</v>
      </c>
      <c r="F31" s="13">
        <f t="shared" si="1"/>
        <v>10</v>
      </c>
      <c r="G31" s="27">
        <v>7</v>
      </c>
      <c r="H31" s="27">
        <v>3</v>
      </c>
      <c r="I31" s="28"/>
      <c r="J31" s="29">
        <v>16</v>
      </c>
      <c r="K31" s="30">
        <v>3</v>
      </c>
      <c r="L31" s="31"/>
      <c r="M31" s="32">
        <v>1</v>
      </c>
      <c r="N31" s="33"/>
      <c r="O31" s="34">
        <f t="shared" si="2"/>
        <v>69</v>
      </c>
    </row>
    <row r="32" spans="1:15" ht="17.25" thickBot="1" x14ac:dyDescent="0.35">
      <c r="A32" s="3">
        <v>42825</v>
      </c>
      <c r="B32" s="35">
        <f t="shared" si="0"/>
        <v>46</v>
      </c>
      <c r="C32" s="36">
        <v>19</v>
      </c>
      <c r="D32" s="36">
        <v>14</v>
      </c>
      <c r="E32" s="37">
        <v>13</v>
      </c>
      <c r="F32" s="38">
        <f t="shared" si="1"/>
        <v>3</v>
      </c>
      <c r="G32" s="36">
        <v>2</v>
      </c>
      <c r="H32" s="36">
        <v>1</v>
      </c>
      <c r="I32" s="37"/>
      <c r="J32" s="29">
        <v>16</v>
      </c>
      <c r="K32" s="30">
        <v>2</v>
      </c>
      <c r="L32" s="31"/>
      <c r="M32" s="32"/>
      <c r="N32" s="33"/>
      <c r="O32" s="39">
        <f t="shared" si="2"/>
        <v>67</v>
      </c>
    </row>
    <row r="33" spans="1:15" ht="17.25" thickBot="1" x14ac:dyDescent="0.35">
      <c r="A33" s="26" t="s">
        <v>10</v>
      </c>
      <c r="B33" s="17">
        <f>SUM(B2:B32)</f>
        <v>992</v>
      </c>
      <c r="C33" s="17">
        <f t="shared" ref="C33:D33" si="3">SUM(C2:C32)</f>
        <v>377</v>
      </c>
      <c r="D33" s="17">
        <f t="shared" si="3"/>
        <v>337</v>
      </c>
      <c r="E33" s="17">
        <f>SUM(E2:E32)</f>
        <v>278</v>
      </c>
      <c r="F33" s="18">
        <f>SUM(F2:F32)</f>
        <v>184</v>
      </c>
      <c r="G33" s="18">
        <f t="shared" ref="G33:I33" si="4">SUM(G2:G32)</f>
        <v>121</v>
      </c>
      <c r="H33" s="18">
        <f t="shared" si="4"/>
        <v>63</v>
      </c>
      <c r="I33" s="18">
        <f t="shared" si="4"/>
        <v>0</v>
      </c>
      <c r="J33" s="11">
        <f>SUM(J2:J32)</f>
        <v>300</v>
      </c>
      <c r="K33" s="11">
        <f t="shared" ref="K33:M33" si="5">SUM(K2:K32)</f>
        <v>100</v>
      </c>
      <c r="L33" s="11">
        <f t="shared" si="5"/>
        <v>9</v>
      </c>
      <c r="M33" s="11">
        <f t="shared" si="5"/>
        <v>21</v>
      </c>
      <c r="N33" s="33"/>
      <c r="O33" s="40">
        <f>SUM(O2:O32)</f>
        <v>1606</v>
      </c>
    </row>
  </sheetData>
  <conditionalFormatting sqref="B2:B4 B7:B11 B14:B18 B21:B25 B28:B32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A1:Q33"/>
  <sheetViews>
    <sheetView showGridLines="0" showRowColHeaders="0" zoomScaleNormal="100" workbookViewId="0">
      <pane ySplit="1" topLeftCell="A20" activePane="bottomLeft" state="frozen"/>
      <selection pane="bottomLeft" activeCell="E30" sqref="E30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7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7" ht="16.5" x14ac:dyDescent="0.3">
      <c r="A2" s="2">
        <v>42826</v>
      </c>
      <c r="B2" s="10">
        <f>C2+D2+E2</f>
        <v>8</v>
      </c>
      <c r="C2" s="27">
        <v>8</v>
      </c>
      <c r="D2" s="27"/>
      <c r="E2" s="28"/>
      <c r="F2" s="13">
        <f>G2+H2+I2</f>
        <v>2</v>
      </c>
      <c r="G2" s="27">
        <v>2</v>
      </c>
      <c r="H2" s="27"/>
      <c r="I2" s="28"/>
      <c r="J2" s="29">
        <v>1</v>
      </c>
      <c r="K2" s="30"/>
      <c r="L2" s="31"/>
      <c r="M2" s="32"/>
      <c r="N2" s="33"/>
      <c r="O2" s="34">
        <f>B2+F2+J2+K2+L2+M2</f>
        <v>11</v>
      </c>
    </row>
    <row r="3" spans="1:17" ht="16.5" x14ac:dyDescent="0.3">
      <c r="A3" s="2">
        <v>42827</v>
      </c>
      <c r="B3" s="10">
        <f t="shared" ref="B3:B32" si="0">C3+D3+E3</f>
        <v>0</v>
      </c>
      <c r="C3" s="27"/>
      <c r="D3" s="27"/>
      <c r="E3" s="28"/>
      <c r="F3" s="13">
        <f t="shared" ref="F3:F32" si="1">G3+H3+I3</f>
        <v>0</v>
      </c>
      <c r="G3" s="27"/>
      <c r="H3" s="27"/>
      <c r="I3" s="28"/>
      <c r="J3" s="29"/>
      <c r="K3" s="30"/>
      <c r="L3" s="31"/>
      <c r="M3" s="32"/>
      <c r="N3" s="33"/>
      <c r="O3" s="34">
        <f t="shared" ref="O3:O32" si="2">B3+F3+J3+K3+L3+M3</f>
        <v>0</v>
      </c>
      <c r="Q3" t="s">
        <v>27</v>
      </c>
    </row>
    <row r="4" spans="1:17" ht="16.5" x14ac:dyDescent="0.3">
      <c r="A4" s="2">
        <v>42828</v>
      </c>
      <c r="B4" s="10">
        <f t="shared" si="0"/>
        <v>38</v>
      </c>
      <c r="C4" s="27">
        <v>18</v>
      </c>
      <c r="D4" s="27">
        <v>10</v>
      </c>
      <c r="E4" s="28">
        <v>10</v>
      </c>
      <c r="F4" s="13">
        <f t="shared" si="1"/>
        <v>8</v>
      </c>
      <c r="G4" s="27">
        <v>5</v>
      </c>
      <c r="H4" s="27">
        <v>2</v>
      </c>
      <c r="I4" s="28">
        <v>1</v>
      </c>
      <c r="J4" s="29">
        <v>9</v>
      </c>
      <c r="K4" s="30">
        <v>2</v>
      </c>
      <c r="L4" s="31"/>
      <c r="M4" s="32"/>
      <c r="N4" s="33"/>
      <c r="O4" s="34">
        <f t="shared" si="2"/>
        <v>57</v>
      </c>
    </row>
    <row r="5" spans="1:17" ht="16.5" x14ac:dyDescent="0.3">
      <c r="A5" s="2">
        <v>42829</v>
      </c>
      <c r="B5" s="10">
        <f t="shared" si="0"/>
        <v>40</v>
      </c>
      <c r="C5" s="27">
        <v>19</v>
      </c>
      <c r="D5" s="27">
        <v>15</v>
      </c>
      <c r="E5" s="28">
        <v>6</v>
      </c>
      <c r="F5" s="13">
        <f t="shared" si="1"/>
        <v>9</v>
      </c>
      <c r="G5" s="27">
        <v>5</v>
      </c>
      <c r="H5" s="27">
        <v>4</v>
      </c>
      <c r="I5" s="28"/>
      <c r="J5" s="29">
        <v>6</v>
      </c>
      <c r="K5" s="30">
        <v>6</v>
      </c>
      <c r="L5" s="31"/>
      <c r="M5" s="32">
        <v>2</v>
      </c>
      <c r="N5" s="33"/>
      <c r="O5" s="34">
        <f t="shared" si="2"/>
        <v>63</v>
      </c>
    </row>
    <row r="6" spans="1:17" ht="16.5" x14ac:dyDescent="0.3">
      <c r="A6" s="2">
        <v>42830</v>
      </c>
      <c r="B6" s="10">
        <f t="shared" si="0"/>
        <v>45</v>
      </c>
      <c r="C6" s="27">
        <v>13</v>
      </c>
      <c r="D6" s="27">
        <v>16</v>
      </c>
      <c r="E6" s="28">
        <v>16</v>
      </c>
      <c r="F6" s="13">
        <f t="shared" si="1"/>
        <v>11</v>
      </c>
      <c r="G6" s="27">
        <v>7</v>
      </c>
      <c r="H6" s="27">
        <v>4</v>
      </c>
      <c r="I6" s="28"/>
      <c r="J6" s="29">
        <v>14</v>
      </c>
      <c r="K6" s="30"/>
      <c r="L6" s="31"/>
      <c r="M6" s="32">
        <v>2</v>
      </c>
      <c r="N6" s="33"/>
      <c r="O6" s="34">
        <f t="shared" si="2"/>
        <v>72</v>
      </c>
    </row>
    <row r="7" spans="1:17" ht="16.5" x14ac:dyDescent="0.3">
      <c r="A7" s="2">
        <v>42831</v>
      </c>
      <c r="B7" s="10">
        <f t="shared" si="0"/>
        <v>53</v>
      </c>
      <c r="C7" s="27">
        <v>21</v>
      </c>
      <c r="D7" s="27">
        <v>18</v>
      </c>
      <c r="E7" s="28">
        <v>14</v>
      </c>
      <c r="F7" s="13">
        <f t="shared" si="1"/>
        <v>9</v>
      </c>
      <c r="G7" s="27">
        <v>5</v>
      </c>
      <c r="H7" s="27">
        <v>4</v>
      </c>
      <c r="I7" s="28"/>
      <c r="J7" s="29">
        <v>8</v>
      </c>
      <c r="K7" s="30">
        <v>4</v>
      </c>
      <c r="L7" s="31">
        <v>1</v>
      </c>
      <c r="M7" s="32">
        <v>3</v>
      </c>
      <c r="N7" s="33"/>
      <c r="O7" s="34">
        <f t="shared" si="2"/>
        <v>78</v>
      </c>
    </row>
    <row r="8" spans="1:17" ht="16.5" x14ac:dyDescent="0.3">
      <c r="A8" s="2">
        <v>42832</v>
      </c>
      <c r="B8" s="10">
        <f t="shared" si="0"/>
        <v>55</v>
      </c>
      <c r="C8" s="27">
        <v>21</v>
      </c>
      <c r="D8" s="27">
        <v>22</v>
      </c>
      <c r="E8" s="28">
        <v>12</v>
      </c>
      <c r="F8" s="13">
        <f t="shared" si="1"/>
        <v>6</v>
      </c>
      <c r="G8" s="27">
        <v>5</v>
      </c>
      <c r="H8" s="27">
        <v>1</v>
      </c>
      <c r="I8" s="28"/>
      <c r="J8" s="29">
        <v>11</v>
      </c>
      <c r="K8" s="30">
        <v>2</v>
      </c>
      <c r="L8" s="31"/>
      <c r="M8" s="32"/>
      <c r="N8" s="33"/>
      <c r="O8" s="34">
        <f t="shared" si="2"/>
        <v>74</v>
      </c>
    </row>
    <row r="9" spans="1:17" ht="16.5" x14ac:dyDescent="0.3">
      <c r="A9" s="2">
        <v>42833</v>
      </c>
      <c r="B9" s="10">
        <f t="shared" si="0"/>
        <v>7</v>
      </c>
      <c r="C9" s="27">
        <v>4</v>
      </c>
      <c r="D9" s="27">
        <v>2</v>
      </c>
      <c r="E9" s="28">
        <v>1</v>
      </c>
      <c r="F9" s="13">
        <f t="shared" si="1"/>
        <v>1</v>
      </c>
      <c r="G9" s="27">
        <v>1</v>
      </c>
      <c r="H9" s="27"/>
      <c r="I9" s="28"/>
      <c r="J9" s="29"/>
      <c r="K9" s="30"/>
      <c r="L9" s="31"/>
      <c r="M9" s="32"/>
      <c r="N9" s="33"/>
      <c r="O9" s="34">
        <f t="shared" si="2"/>
        <v>8</v>
      </c>
    </row>
    <row r="10" spans="1:17" ht="16.5" x14ac:dyDescent="0.3">
      <c r="A10" s="2">
        <v>42834</v>
      </c>
      <c r="B10" s="10">
        <f t="shared" si="0"/>
        <v>0</v>
      </c>
      <c r="C10" s="27"/>
      <c r="D10" s="27"/>
      <c r="E10" s="28"/>
      <c r="F10" s="13">
        <f t="shared" si="1"/>
        <v>0</v>
      </c>
      <c r="G10" s="27"/>
      <c r="H10" s="27"/>
      <c r="I10" s="28"/>
      <c r="J10" s="29"/>
      <c r="K10" s="30"/>
      <c r="L10" s="31"/>
      <c r="M10" s="32"/>
      <c r="N10" s="33"/>
      <c r="O10" s="34">
        <f t="shared" si="2"/>
        <v>0</v>
      </c>
    </row>
    <row r="11" spans="1:17" ht="16.5" x14ac:dyDescent="0.3">
      <c r="A11" s="2">
        <v>42835</v>
      </c>
      <c r="B11" s="10">
        <f t="shared" si="0"/>
        <v>48</v>
      </c>
      <c r="C11" s="27">
        <v>18</v>
      </c>
      <c r="D11" s="27">
        <v>17</v>
      </c>
      <c r="E11" s="28">
        <v>13</v>
      </c>
      <c r="F11" s="13">
        <f t="shared" si="1"/>
        <v>6</v>
      </c>
      <c r="G11" s="27">
        <v>4</v>
      </c>
      <c r="H11" s="27">
        <v>2</v>
      </c>
      <c r="I11" s="28"/>
      <c r="J11" s="29">
        <v>12</v>
      </c>
      <c r="K11" s="30">
        <v>2</v>
      </c>
      <c r="L11" s="31"/>
      <c r="M11" s="32">
        <v>1</v>
      </c>
      <c r="N11" s="33"/>
      <c r="O11" s="34">
        <f t="shared" si="2"/>
        <v>69</v>
      </c>
    </row>
    <row r="12" spans="1:17" ht="16.5" x14ac:dyDescent="0.3">
      <c r="A12" s="2">
        <v>42836</v>
      </c>
      <c r="B12" s="10">
        <f t="shared" si="0"/>
        <v>50</v>
      </c>
      <c r="C12" s="27">
        <v>25</v>
      </c>
      <c r="D12" s="27">
        <v>14</v>
      </c>
      <c r="E12" s="28">
        <v>11</v>
      </c>
      <c r="F12" s="13">
        <f t="shared" si="1"/>
        <v>5</v>
      </c>
      <c r="G12" s="27">
        <v>3</v>
      </c>
      <c r="H12" s="27">
        <v>2</v>
      </c>
      <c r="I12" s="28"/>
      <c r="J12" s="29">
        <v>13</v>
      </c>
      <c r="K12" s="30">
        <v>3</v>
      </c>
      <c r="L12" s="31">
        <v>1</v>
      </c>
      <c r="M12" s="32">
        <v>2</v>
      </c>
      <c r="N12" s="33"/>
      <c r="O12" s="34">
        <f t="shared" si="2"/>
        <v>74</v>
      </c>
    </row>
    <row r="13" spans="1:17" ht="16.5" x14ac:dyDescent="0.3">
      <c r="A13" s="2">
        <v>42837</v>
      </c>
      <c r="B13" s="10">
        <f t="shared" si="0"/>
        <v>59</v>
      </c>
      <c r="C13" s="27">
        <v>25</v>
      </c>
      <c r="D13" s="27">
        <v>20</v>
      </c>
      <c r="E13" s="28">
        <v>14</v>
      </c>
      <c r="F13" s="13">
        <f t="shared" si="1"/>
        <v>4</v>
      </c>
      <c r="G13" s="27">
        <v>2</v>
      </c>
      <c r="H13" s="27">
        <v>2</v>
      </c>
      <c r="I13" s="28"/>
      <c r="J13" s="29">
        <v>10</v>
      </c>
      <c r="K13" s="30">
        <v>5</v>
      </c>
      <c r="L13" s="31"/>
      <c r="M13" s="32">
        <v>1</v>
      </c>
      <c r="N13" s="33"/>
      <c r="O13" s="34">
        <f t="shared" si="2"/>
        <v>79</v>
      </c>
    </row>
    <row r="14" spans="1:17" ht="16.5" x14ac:dyDescent="0.3">
      <c r="A14" s="2">
        <v>42838</v>
      </c>
      <c r="B14" s="10">
        <f t="shared" si="0"/>
        <v>53</v>
      </c>
      <c r="C14" s="27">
        <v>24</v>
      </c>
      <c r="D14" s="27">
        <v>18</v>
      </c>
      <c r="E14" s="28">
        <v>11</v>
      </c>
      <c r="F14" s="13">
        <f t="shared" si="1"/>
        <v>8</v>
      </c>
      <c r="G14" s="27">
        <v>3</v>
      </c>
      <c r="H14" s="27">
        <v>5</v>
      </c>
      <c r="I14" s="28"/>
      <c r="J14" s="29">
        <v>6</v>
      </c>
      <c r="K14" s="30">
        <v>3</v>
      </c>
      <c r="L14" s="31">
        <v>1</v>
      </c>
      <c r="M14" s="32">
        <v>3</v>
      </c>
      <c r="N14" s="33"/>
      <c r="O14" s="34">
        <f t="shared" si="2"/>
        <v>74</v>
      </c>
    </row>
    <row r="15" spans="1:17" ht="16.5" x14ac:dyDescent="0.3">
      <c r="A15" s="2">
        <v>42839</v>
      </c>
      <c r="B15" s="10">
        <f t="shared" si="0"/>
        <v>45</v>
      </c>
      <c r="C15" s="27">
        <v>14</v>
      </c>
      <c r="D15" s="27">
        <v>21</v>
      </c>
      <c r="E15" s="28">
        <v>10</v>
      </c>
      <c r="F15" s="13">
        <f t="shared" si="1"/>
        <v>10</v>
      </c>
      <c r="G15" s="27">
        <v>8</v>
      </c>
      <c r="H15" s="27">
        <v>2</v>
      </c>
      <c r="I15" s="28"/>
      <c r="J15" s="29">
        <v>5</v>
      </c>
      <c r="K15" s="30">
        <v>6</v>
      </c>
      <c r="L15" s="31"/>
      <c r="M15" s="32">
        <v>2</v>
      </c>
      <c r="N15" s="33"/>
      <c r="O15" s="34">
        <f t="shared" si="2"/>
        <v>68</v>
      </c>
    </row>
    <row r="16" spans="1:17" ht="16.5" x14ac:dyDescent="0.3">
      <c r="A16" s="2">
        <v>42840</v>
      </c>
      <c r="B16" s="10">
        <f t="shared" si="0"/>
        <v>5</v>
      </c>
      <c r="C16" s="27">
        <v>4</v>
      </c>
      <c r="D16" s="27">
        <v>1</v>
      </c>
      <c r="E16" s="28"/>
      <c r="F16" s="13">
        <f t="shared" si="1"/>
        <v>2</v>
      </c>
      <c r="G16" s="27">
        <v>2</v>
      </c>
      <c r="H16" s="27"/>
      <c r="I16" s="28"/>
      <c r="J16" s="29"/>
      <c r="K16" s="30"/>
      <c r="L16" s="31"/>
      <c r="M16" s="32"/>
      <c r="N16" s="33"/>
      <c r="O16" s="34">
        <f t="shared" si="2"/>
        <v>7</v>
      </c>
    </row>
    <row r="17" spans="1:15" ht="16.5" x14ac:dyDescent="0.3">
      <c r="A17" s="2">
        <v>42841</v>
      </c>
      <c r="B17" s="10">
        <f t="shared" si="0"/>
        <v>0</v>
      </c>
      <c r="C17" s="27"/>
      <c r="D17" s="27"/>
      <c r="E17" s="28"/>
      <c r="F17" s="13">
        <f t="shared" si="1"/>
        <v>0</v>
      </c>
      <c r="G17" s="27"/>
      <c r="H17" s="27"/>
      <c r="I17" s="28"/>
      <c r="J17" s="29"/>
      <c r="K17" s="30"/>
      <c r="L17" s="31"/>
      <c r="M17" s="32"/>
      <c r="N17" s="33"/>
      <c r="O17" s="34">
        <f t="shared" si="2"/>
        <v>0</v>
      </c>
    </row>
    <row r="18" spans="1:15" ht="16.5" x14ac:dyDescent="0.3">
      <c r="A18" s="2">
        <v>42842</v>
      </c>
      <c r="B18" s="10">
        <f t="shared" si="0"/>
        <v>0</v>
      </c>
      <c r="C18" s="27"/>
      <c r="D18" s="27"/>
      <c r="E18" s="28"/>
      <c r="F18" s="13">
        <f t="shared" si="1"/>
        <v>0</v>
      </c>
      <c r="G18" s="27"/>
      <c r="H18" s="27"/>
      <c r="I18" s="28"/>
      <c r="J18" s="29"/>
      <c r="K18" s="30"/>
      <c r="L18" s="31"/>
      <c r="M18" s="32"/>
      <c r="N18" s="33"/>
      <c r="O18" s="34">
        <f t="shared" si="2"/>
        <v>0</v>
      </c>
    </row>
    <row r="19" spans="1:15" ht="16.5" x14ac:dyDescent="0.3">
      <c r="A19" s="2">
        <v>42843</v>
      </c>
      <c r="B19" s="10">
        <f t="shared" si="0"/>
        <v>33</v>
      </c>
      <c r="C19" s="27">
        <v>10</v>
      </c>
      <c r="D19" s="27">
        <v>13</v>
      </c>
      <c r="E19" s="28">
        <v>10</v>
      </c>
      <c r="F19" s="13">
        <f t="shared" si="1"/>
        <v>9</v>
      </c>
      <c r="G19" s="27">
        <v>7</v>
      </c>
      <c r="H19" s="27">
        <v>2</v>
      </c>
      <c r="I19" s="28"/>
      <c r="J19" s="29">
        <v>10</v>
      </c>
      <c r="K19" s="30">
        <v>5</v>
      </c>
      <c r="L19" s="31"/>
      <c r="M19" s="32"/>
      <c r="N19" s="33"/>
      <c r="O19" s="34">
        <f t="shared" si="2"/>
        <v>57</v>
      </c>
    </row>
    <row r="20" spans="1:15" ht="16.5" x14ac:dyDescent="0.3">
      <c r="A20" s="2">
        <v>42844</v>
      </c>
      <c r="B20" s="10">
        <f t="shared" si="0"/>
        <v>39</v>
      </c>
      <c r="C20" s="27">
        <v>14</v>
      </c>
      <c r="D20" s="27">
        <v>16</v>
      </c>
      <c r="E20" s="28">
        <v>9</v>
      </c>
      <c r="F20" s="13">
        <f t="shared" si="1"/>
        <v>8</v>
      </c>
      <c r="G20" s="27">
        <v>6</v>
      </c>
      <c r="H20" s="27">
        <v>1</v>
      </c>
      <c r="I20" s="28">
        <v>1</v>
      </c>
      <c r="J20" s="29">
        <v>6</v>
      </c>
      <c r="K20" s="30">
        <v>2</v>
      </c>
      <c r="L20" s="31"/>
      <c r="M20" s="32">
        <v>1</v>
      </c>
      <c r="N20" s="33"/>
      <c r="O20" s="34">
        <f t="shared" si="2"/>
        <v>56</v>
      </c>
    </row>
    <row r="21" spans="1:15" ht="16.5" x14ac:dyDescent="0.3">
      <c r="A21" s="2">
        <v>42845</v>
      </c>
      <c r="B21" s="10">
        <f t="shared" si="0"/>
        <v>36</v>
      </c>
      <c r="C21" s="27">
        <v>12</v>
      </c>
      <c r="D21" s="27">
        <v>17</v>
      </c>
      <c r="E21" s="28">
        <v>7</v>
      </c>
      <c r="F21" s="13">
        <f t="shared" si="1"/>
        <v>12</v>
      </c>
      <c r="G21" s="27">
        <v>7</v>
      </c>
      <c r="H21" s="27">
        <v>5</v>
      </c>
      <c r="I21" s="28"/>
      <c r="J21" s="29">
        <v>14</v>
      </c>
      <c r="K21" s="30">
        <v>4</v>
      </c>
      <c r="L21" s="31">
        <v>1</v>
      </c>
      <c r="M21" s="32">
        <v>3</v>
      </c>
      <c r="N21" s="33"/>
      <c r="O21" s="34">
        <f t="shared" si="2"/>
        <v>70</v>
      </c>
    </row>
    <row r="22" spans="1:15" ht="16.5" x14ac:dyDescent="0.3">
      <c r="A22" s="2">
        <v>42846</v>
      </c>
      <c r="B22" s="10">
        <f t="shared" si="0"/>
        <v>45</v>
      </c>
      <c r="C22" s="27">
        <v>26</v>
      </c>
      <c r="D22" s="27">
        <v>13</v>
      </c>
      <c r="E22" s="28">
        <v>6</v>
      </c>
      <c r="F22" s="13">
        <f t="shared" si="1"/>
        <v>9</v>
      </c>
      <c r="G22" s="27">
        <v>5</v>
      </c>
      <c r="H22" s="27">
        <v>4</v>
      </c>
      <c r="I22" s="28"/>
      <c r="J22" s="29">
        <v>6</v>
      </c>
      <c r="K22" s="30">
        <v>4</v>
      </c>
      <c r="L22" s="31"/>
      <c r="M22" s="32"/>
      <c r="N22" s="33"/>
      <c r="O22" s="34">
        <f t="shared" si="2"/>
        <v>64</v>
      </c>
    </row>
    <row r="23" spans="1:15" ht="16.5" x14ac:dyDescent="0.3">
      <c r="A23" s="2">
        <v>42847</v>
      </c>
      <c r="B23" s="10">
        <f t="shared" si="0"/>
        <v>5</v>
      </c>
      <c r="C23" s="27">
        <v>5</v>
      </c>
      <c r="D23" s="27"/>
      <c r="E23" s="28"/>
      <c r="F23" s="13">
        <f t="shared" si="1"/>
        <v>1</v>
      </c>
      <c r="G23" s="27">
        <v>1</v>
      </c>
      <c r="H23" s="27"/>
      <c r="I23" s="28"/>
      <c r="J23" s="29"/>
      <c r="K23" s="30"/>
      <c r="L23" s="31"/>
      <c r="M23" s="32"/>
      <c r="N23" s="33"/>
      <c r="O23" s="34">
        <f t="shared" si="2"/>
        <v>6</v>
      </c>
    </row>
    <row r="24" spans="1:15" ht="16.5" x14ac:dyDescent="0.3">
      <c r="A24" s="2">
        <v>42848</v>
      </c>
      <c r="B24" s="10">
        <f t="shared" si="0"/>
        <v>0</v>
      </c>
      <c r="C24" s="27"/>
      <c r="D24" s="27"/>
      <c r="E24" s="28"/>
      <c r="F24" s="13">
        <f t="shared" si="1"/>
        <v>0</v>
      </c>
      <c r="G24" s="27"/>
      <c r="H24" s="27"/>
      <c r="I24" s="28"/>
      <c r="J24" s="29"/>
      <c r="K24" s="30"/>
      <c r="L24" s="31"/>
      <c r="M24" s="32"/>
      <c r="N24" s="33"/>
      <c r="O24" s="34">
        <f t="shared" si="2"/>
        <v>0</v>
      </c>
    </row>
    <row r="25" spans="1:15" ht="16.5" x14ac:dyDescent="0.3">
      <c r="A25" s="2">
        <v>42849</v>
      </c>
      <c r="B25" s="10">
        <f t="shared" si="0"/>
        <v>46</v>
      </c>
      <c r="C25" s="27">
        <v>18</v>
      </c>
      <c r="D25" s="27">
        <v>15</v>
      </c>
      <c r="E25" s="28">
        <v>13</v>
      </c>
      <c r="F25" s="13">
        <f t="shared" si="1"/>
        <v>7</v>
      </c>
      <c r="G25" s="27">
        <v>5</v>
      </c>
      <c r="H25" s="27">
        <v>2</v>
      </c>
      <c r="I25" s="28"/>
      <c r="J25" s="29">
        <v>11</v>
      </c>
      <c r="K25" s="30">
        <v>6</v>
      </c>
      <c r="L25" s="31">
        <v>1</v>
      </c>
      <c r="M25" s="32"/>
      <c r="N25" s="33"/>
      <c r="O25" s="34">
        <f t="shared" si="2"/>
        <v>71</v>
      </c>
    </row>
    <row r="26" spans="1:15" ht="16.5" x14ac:dyDescent="0.3">
      <c r="A26" s="2">
        <v>42850</v>
      </c>
      <c r="B26" s="10">
        <f t="shared" si="0"/>
        <v>48</v>
      </c>
      <c r="C26" s="27">
        <v>18</v>
      </c>
      <c r="D26" s="27">
        <v>18</v>
      </c>
      <c r="E26" s="28">
        <v>12</v>
      </c>
      <c r="F26" s="13">
        <f t="shared" si="1"/>
        <v>5</v>
      </c>
      <c r="G26" s="27">
        <v>1</v>
      </c>
      <c r="H26" s="27">
        <v>4</v>
      </c>
      <c r="I26" s="28"/>
      <c r="J26" s="29">
        <v>5</v>
      </c>
      <c r="K26" s="30">
        <v>6</v>
      </c>
      <c r="L26" s="31"/>
      <c r="M26" s="32">
        <v>2</v>
      </c>
      <c r="N26" s="33"/>
      <c r="O26" s="34">
        <f t="shared" si="2"/>
        <v>66</v>
      </c>
    </row>
    <row r="27" spans="1:15" ht="16.5" x14ac:dyDescent="0.3">
      <c r="A27" s="2">
        <v>42851</v>
      </c>
      <c r="B27" s="10">
        <f t="shared" si="0"/>
        <v>47</v>
      </c>
      <c r="C27" s="27">
        <v>19</v>
      </c>
      <c r="D27" s="27">
        <v>17</v>
      </c>
      <c r="E27" s="28">
        <v>11</v>
      </c>
      <c r="F27" s="13">
        <f t="shared" si="1"/>
        <v>14</v>
      </c>
      <c r="G27" s="27">
        <v>6</v>
      </c>
      <c r="H27" s="27">
        <v>8</v>
      </c>
      <c r="I27" s="28"/>
      <c r="J27" s="29">
        <v>12</v>
      </c>
      <c r="K27" s="30">
        <v>1</v>
      </c>
      <c r="L27" s="31">
        <v>2</v>
      </c>
      <c r="M27" s="32">
        <v>1</v>
      </c>
      <c r="N27" s="33"/>
      <c r="O27" s="34">
        <f t="shared" si="2"/>
        <v>77</v>
      </c>
    </row>
    <row r="28" spans="1:15" ht="16.5" x14ac:dyDescent="0.3">
      <c r="A28" s="2">
        <v>42852</v>
      </c>
      <c r="B28" s="10">
        <f t="shared" si="0"/>
        <v>43</v>
      </c>
      <c r="C28" s="27">
        <v>16</v>
      </c>
      <c r="D28" s="27">
        <v>16</v>
      </c>
      <c r="E28" s="28">
        <v>11</v>
      </c>
      <c r="F28" s="13">
        <f t="shared" si="1"/>
        <v>11</v>
      </c>
      <c r="G28" s="27">
        <v>8</v>
      </c>
      <c r="H28" s="27">
        <v>3</v>
      </c>
      <c r="I28" s="28"/>
      <c r="J28" s="29">
        <v>6</v>
      </c>
      <c r="K28" s="30">
        <v>3</v>
      </c>
      <c r="L28" s="31"/>
      <c r="M28" s="32"/>
      <c r="N28" s="33"/>
      <c r="O28" s="34">
        <f t="shared" si="2"/>
        <v>63</v>
      </c>
    </row>
    <row r="29" spans="1:15" ht="16.5" x14ac:dyDescent="0.3">
      <c r="A29" s="2">
        <v>42853</v>
      </c>
      <c r="B29" s="10">
        <f t="shared" si="0"/>
        <v>47</v>
      </c>
      <c r="C29" s="27">
        <v>21</v>
      </c>
      <c r="D29" s="27">
        <v>14</v>
      </c>
      <c r="E29" s="28">
        <v>12</v>
      </c>
      <c r="F29" s="13">
        <f t="shared" si="1"/>
        <v>10</v>
      </c>
      <c r="G29" s="27">
        <v>6</v>
      </c>
      <c r="H29" s="27">
        <v>4</v>
      </c>
      <c r="I29" s="28"/>
      <c r="J29" s="29">
        <v>10</v>
      </c>
      <c r="K29" s="30">
        <v>3</v>
      </c>
      <c r="L29" s="31"/>
      <c r="M29" s="32">
        <v>4</v>
      </c>
      <c r="N29" s="33"/>
      <c r="O29" s="34">
        <f t="shared" si="2"/>
        <v>74</v>
      </c>
    </row>
    <row r="30" spans="1:15" ht="16.5" x14ac:dyDescent="0.3">
      <c r="A30" s="2">
        <v>42854</v>
      </c>
      <c r="B30" s="10">
        <f t="shared" si="0"/>
        <v>5</v>
      </c>
      <c r="C30" s="27">
        <v>4</v>
      </c>
      <c r="D30" s="27">
        <v>1</v>
      </c>
      <c r="E30" s="28"/>
      <c r="F30" s="13">
        <f t="shared" si="1"/>
        <v>0</v>
      </c>
      <c r="G30" s="27"/>
      <c r="H30" s="27"/>
      <c r="I30" s="28"/>
      <c r="J30" s="29"/>
      <c r="K30" s="30"/>
      <c r="L30" s="31"/>
      <c r="M30" s="32"/>
      <c r="N30" s="33"/>
      <c r="O30" s="34">
        <f t="shared" si="2"/>
        <v>5</v>
      </c>
    </row>
    <row r="31" spans="1:15" ht="16.5" x14ac:dyDescent="0.3">
      <c r="A31" s="2">
        <v>42855</v>
      </c>
      <c r="B31" s="10">
        <f t="shared" si="0"/>
        <v>0</v>
      </c>
      <c r="C31" s="27"/>
      <c r="D31" s="27"/>
      <c r="E31" s="28"/>
      <c r="F31" s="13">
        <f t="shared" si="1"/>
        <v>0</v>
      </c>
      <c r="G31" s="27"/>
      <c r="H31" s="27"/>
      <c r="I31" s="28"/>
      <c r="J31" s="29"/>
      <c r="K31" s="30"/>
      <c r="L31" s="31"/>
      <c r="M31" s="32"/>
      <c r="N31" s="33"/>
      <c r="O31" s="34">
        <f t="shared" si="2"/>
        <v>0</v>
      </c>
    </row>
    <row r="32" spans="1:15" ht="17.25" thickBot="1" x14ac:dyDescent="0.35">
      <c r="A32" s="3"/>
      <c r="B32" s="35">
        <f t="shared" si="0"/>
        <v>0</v>
      </c>
      <c r="C32" s="36"/>
      <c r="D32" s="36"/>
      <c r="E32" s="37"/>
      <c r="F32" s="38">
        <f t="shared" si="1"/>
        <v>0</v>
      </c>
      <c r="G32" s="36"/>
      <c r="H32" s="36"/>
      <c r="I32" s="37"/>
      <c r="J32" s="29"/>
      <c r="K32" s="30"/>
      <c r="L32" s="31"/>
      <c r="M32" s="32"/>
      <c r="N32" s="33"/>
      <c r="O32" s="39">
        <f t="shared" si="2"/>
        <v>0</v>
      </c>
    </row>
    <row r="33" spans="1:15" ht="17.25" thickBot="1" x14ac:dyDescent="0.35">
      <c r="A33" s="26" t="s">
        <v>10</v>
      </c>
      <c r="B33" s="17">
        <f>SUM(B2:B32)</f>
        <v>900</v>
      </c>
      <c r="C33" s="17">
        <f t="shared" ref="C33:E33" si="3">SUM(C2:C32)</f>
        <v>377</v>
      </c>
      <c r="D33" s="17">
        <f t="shared" si="3"/>
        <v>314</v>
      </c>
      <c r="E33" s="17">
        <f t="shared" si="3"/>
        <v>209</v>
      </c>
      <c r="F33" s="18">
        <f>SUM(F2:F32)</f>
        <v>167</v>
      </c>
      <c r="G33" s="18">
        <f t="shared" ref="G33:I33" si="4">SUM(G2:G32)</f>
        <v>104</v>
      </c>
      <c r="H33" s="18">
        <f t="shared" si="4"/>
        <v>61</v>
      </c>
      <c r="I33" s="18">
        <f t="shared" si="4"/>
        <v>2</v>
      </c>
      <c r="J33" s="11">
        <f>SUM(J2:J32)</f>
        <v>175</v>
      </c>
      <c r="K33" s="11">
        <f t="shared" ref="K33:M33" si="5">SUM(K2:K32)</f>
        <v>67</v>
      </c>
      <c r="L33" s="11">
        <f t="shared" si="5"/>
        <v>7</v>
      </c>
      <c r="M33" s="11">
        <f t="shared" si="5"/>
        <v>27</v>
      </c>
      <c r="N33" s="33"/>
      <c r="O33" s="40">
        <f>SUM(O2:O32)</f>
        <v>1343</v>
      </c>
    </row>
  </sheetData>
  <conditionalFormatting sqref="B4:B8 B11:B15 B19:B22 B25:B29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A1:O33"/>
  <sheetViews>
    <sheetView showGridLines="0" showRowColHeaders="0" zoomScaleNormal="100" workbookViewId="0">
      <pane ySplit="1" topLeftCell="A14" activePane="bottomLeft" state="frozen"/>
      <selection pane="bottomLeft" activeCell="W49" sqref="W49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42856</v>
      </c>
      <c r="B2" s="10">
        <f>C2+D2+E2</f>
        <v>0</v>
      </c>
      <c r="C2" s="27"/>
      <c r="D2" s="27"/>
      <c r="E2" s="28"/>
      <c r="F2" s="13">
        <f>G2+H2+I2</f>
        <v>0</v>
      </c>
      <c r="G2" s="27"/>
      <c r="H2" s="27"/>
      <c r="I2" s="28"/>
      <c r="J2" s="29"/>
      <c r="K2" s="30"/>
      <c r="L2" s="31"/>
      <c r="M2" s="32"/>
      <c r="N2" s="33"/>
      <c r="O2" s="34">
        <f>B2+F2+J2+K2+L2+M2</f>
        <v>0</v>
      </c>
    </row>
    <row r="3" spans="1:15" ht="16.5" x14ac:dyDescent="0.3">
      <c r="A3" s="2">
        <v>42857</v>
      </c>
      <c r="B3" s="10">
        <f t="shared" ref="B3:B32" si="0">C3+D3+E3</f>
        <v>40</v>
      </c>
      <c r="C3" s="27">
        <v>16</v>
      </c>
      <c r="D3" s="27">
        <v>13</v>
      </c>
      <c r="E3" s="28">
        <v>11</v>
      </c>
      <c r="F3" s="13">
        <f t="shared" ref="F3:F32" si="1">G3+H3+I3</f>
        <v>6</v>
      </c>
      <c r="G3" s="27">
        <v>3</v>
      </c>
      <c r="H3" s="27">
        <v>3</v>
      </c>
      <c r="I3" s="28"/>
      <c r="J3" s="29">
        <v>12</v>
      </c>
      <c r="K3" s="30">
        <v>3</v>
      </c>
      <c r="L3" s="31"/>
      <c r="M3" s="32">
        <v>2</v>
      </c>
      <c r="N3" s="33"/>
      <c r="O3" s="34">
        <f t="shared" ref="O3:O32" si="2">B3+F3+J3+K3+L3+M3</f>
        <v>63</v>
      </c>
    </row>
    <row r="4" spans="1:15" ht="16.5" x14ac:dyDescent="0.3">
      <c r="A4" s="2">
        <v>42858</v>
      </c>
      <c r="B4" s="10">
        <f t="shared" si="0"/>
        <v>43</v>
      </c>
      <c r="C4" s="27">
        <v>16</v>
      </c>
      <c r="D4" s="27">
        <v>16</v>
      </c>
      <c r="E4" s="28">
        <v>11</v>
      </c>
      <c r="F4" s="13">
        <f t="shared" si="1"/>
        <v>10</v>
      </c>
      <c r="G4" s="27">
        <v>6</v>
      </c>
      <c r="H4" s="27">
        <v>4</v>
      </c>
      <c r="I4" s="28"/>
      <c r="J4" s="29">
        <v>15</v>
      </c>
      <c r="K4" s="30">
        <v>2</v>
      </c>
      <c r="L4" s="31">
        <v>1</v>
      </c>
      <c r="M4" s="32">
        <v>3</v>
      </c>
      <c r="N4" s="33"/>
      <c r="O4" s="34">
        <f t="shared" si="2"/>
        <v>74</v>
      </c>
    </row>
    <row r="5" spans="1:15" ht="16.5" x14ac:dyDescent="0.3">
      <c r="A5" s="2">
        <v>42859</v>
      </c>
      <c r="B5" s="10">
        <f t="shared" si="0"/>
        <v>56</v>
      </c>
      <c r="C5" s="27">
        <v>23</v>
      </c>
      <c r="D5" s="27">
        <v>20</v>
      </c>
      <c r="E5" s="28">
        <v>13</v>
      </c>
      <c r="F5" s="13">
        <f t="shared" si="1"/>
        <v>4</v>
      </c>
      <c r="G5" s="27">
        <v>3</v>
      </c>
      <c r="H5" s="27">
        <v>1</v>
      </c>
      <c r="I5" s="28"/>
      <c r="J5" s="29">
        <v>15</v>
      </c>
      <c r="K5" s="30">
        <v>2</v>
      </c>
      <c r="L5" s="31"/>
      <c r="M5" s="32"/>
      <c r="N5" s="33"/>
      <c r="O5" s="34">
        <f t="shared" si="2"/>
        <v>77</v>
      </c>
    </row>
    <row r="6" spans="1:15" ht="16.5" x14ac:dyDescent="0.3">
      <c r="A6" s="2">
        <v>42860</v>
      </c>
      <c r="B6" s="10">
        <f t="shared" si="0"/>
        <v>45</v>
      </c>
      <c r="C6" s="27">
        <v>18</v>
      </c>
      <c r="D6" s="27">
        <v>13</v>
      </c>
      <c r="E6" s="28">
        <v>14</v>
      </c>
      <c r="F6" s="13">
        <f t="shared" si="1"/>
        <v>7</v>
      </c>
      <c r="G6" s="27">
        <v>4</v>
      </c>
      <c r="H6" s="27">
        <v>3</v>
      </c>
      <c r="I6" s="28"/>
      <c r="J6" s="29">
        <v>15</v>
      </c>
      <c r="K6" s="30">
        <v>2</v>
      </c>
      <c r="L6" s="31">
        <v>1</v>
      </c>
      <c r="M6" s="32"/>
      <c r="N6" s="33"/>
      <c r="O6" s="34">
        <f t="shared" si="2"/>
        <v>70</v>
      </c>
    </row>
    <row r="7" spans="1:15" ht="16.5" x14ac:dyDescent="0.3">
      <c r="A7" s="2">
        <v>42861</v>
      </c>
      <c r="B7" s="10">
        <f t="shared" si="0"/>
        <v>5</v>
      </c>
      <c r="C7" s="27">
        <v>5</v>
      </c>
      <c r="D7" s="27"/>
      <c r="E7" s="28"/>
      <c r="F7" s="13">
        <f t="shared" si="1"/>
        <v>1</v>
      </c>
      <c r="G7" s="27">
        <v>1</v>
      </c>
      <c r="H7" s="27"/>
      <c r="I7" s="28"/>
      <c r="J7" s="29"/>
      <c r="K7" s="30"/>
      <c r="L7" s="31"/>
      <c r="M7" s="32">
        <v>1</v>
      </c>
      <c r="N7" s="33"/>
      <c r="O7" s="34">
        <f t="shared" si="2"/>
        <v>7</v>
      </c>
    </row>
    <row r="8" spans="1:15" ht="16.5" x14ac:dyDescent="0.3">
      <c r="A8" s="2">
        <v>42862</v>
      </c>
      <c r="B8" s="10">
        <f t="shared" si="0"/>
        <v>0</v>
      </c>
      <c r="C8" s="27"/>
      <c r="D8" s="27"/>
      <c r="E8" s="28"/>
      <c r="F8" s="13">
        <f t="shared" si="1"/>
        <v>0</v>
      </c>
      <c r="G8" s="27"/>
      <c r="H8" s="27"/>
      <c r="I8" s="28"/>
      <c r="J8" s="29"/>
      <c r="K8" s="30"/>
      <c r="L8" s="31"/>
      <c r="M8" s="32"/>
      <c r="N8" s="33"/>
      <c r="O8" s="34">
        <f t="shared" si="2"/>
        <v>0</v>
      </c>
    </row>
    <row r="9" spans="1:15" ht="16.5" x14ac:dyDescent="0.3">
      <c r="A9" s="2">
        <v>42863</v>
      </c>
      <c r="B9" s="10">
        <f t="shared" si="0"/>
        <v>0</v>
      </c>
      <c r="C9" s="27"/>
      <c r="D9" s="27"/>
      <c r="E9" s="28"/>
      <c r="F9" s="13">
        <f t="shared" si="1"/>
        <v>0</v>
      </c>
      <c r="G9" s="27"/>
      <c r="H9" s="27"/>
      <c r="I9" s="28"/>
      <c r="J9" s="29"/>
      <c r="K9" s="30"/>
      <c r="L9" s="31"/>
      <c r="M9" s="32"/>
      <c r="N9" s="33"/>
      <c r="O9" s="34">
        <f t="shared" si="2"/>
        <v>0</v>
      </c>
    </row>
    <row r="10" spans="1:15" ht="16.5" x14ac:dyDescent="0.3">
      <c r="A10" s="2">
        <v>42864</v>
      </c>
      <c r="B10" s="10">
        <f t="shared" si="0"/>
        <v>36</v>
      </c>
      <c r="C10" s="27">
        <v>16</v>
      </c>
      <c r="D10" s="27">
        <v>14</v>
      </c>
      <c r="E10" s="28">
        <v>6</v>
      </c>
      <c r="F10" s="13">
        <f t="shared" si="1"/>
        <v>8</v>
      </c>
      <c r="G10" s="27">
        <v>6</v>
      </c>
      <c r="H10" s="27">
        <v>2</v>
      </c>
      <c r="I10" s="28"/>
      <c r="J10" s="29">
        <v>16</v>
      </c>
      <c r="K10" s="30">
        <v>6</v>
      </c>
      <c r="L10" s="31"/>
      <c r="M10" s="32">
        <v>2</v>
      </c>
      <c r="N10" s="33"/>
      <c r="O10" s="34">
        <f t="shared" si="2"/>
        <v>68</v>
      </c>
    </row>
    <row r="11" spans="1:15" ht="16.5" x14ac:dyDescent="0.3">
      <c r="A11" s="2">
        <v>42865</v>
      </c>
      <c r="B11" s="10">
        <f t="shared" si="0"/>
        <v>42</v>
      </c>
      <c r="C11" s="27">
        <v>15</v>
      </c>
      <c r="D11" s="27">
        <v>15</v>
      </c>
      <c r="E11" s="28">
        <v>12</v>
      </c>
      <c r="F11" s="13">
        <f t="shared" si="1"/>
        <v>7</v>
      </c>
      <c r="G11" s="27">
        <v>6</v>
      </c>
      <c r="H11" s="27">
        <v>1</v>
      </c>
      <c r="I11" s="28"/>
      <c r="J11" s="29">
        <v>13</v>
      </c>
      <c r="K11" s="30">
        <v>3</v>
      </c>
      <c r="L11" s="31"/>
      <c r="M11" s="32"/>
      <c r="N11" s="33"/>
      <c r="O11" s="34">
        <f t="shared" si="2"/>
        <v>65</v>
      </c>
    </row>
    <row r="12" spans="1:15" ht="16.5" x14ac:dyDescent="0.3">
      <c r="A12" s="2">
        <v>42866</v>
      </c>
      <c r="B12" s="10">
        <f t="shared" si="0"/>
        <v>44</v>
      </c>
      <c r="C12" s="27">
        <v>24</v>
      </c>
      <c r="D12" s="27">
        <v>10</v>
      </c>
      <c r="E12" s="28">
        <v>10</v>
      </c>
      <c r="F12" s="13">
        <f t="shared" si="1"/>
        <v>11</v>
      </c>
      <c r="G12" s="27">
        <v>4</v>
      </c>
      <c r="H12" s="27">
        <v>7</v>
      </c>
      <c r="I12" s="28"/>
      <c r="J12" s="29">
        <v>15</v>
      </c>
      <c r="K12" s="30">
        <v>2</v>
      </c>
      <c r="L12" s="31"/>
      <c r="M12" s="32">
        <v>1</v>
      </c>
      <c r="N12" s="33"/>
      <c r="O12" s="34">
        <f t="shared" si="2"/>
        <v>73</v>
      </c>
    </row>
    <row r="13" spans="1:15" ht="16.5" x14ac:dyDescent="0.3">
      <c r="A13" s="2">
        <v>42867</v>
      </c>
      <c r="B13" s="10">
        <f t="shared" si="0"/>
        <v>46</v>
      </c>
      <c r="C13" s="27">
        <v>21</v>
      </c>
      <c r="D13" s="27">
        <v>17</v>
      </c>
      <c r="E13" s="28">
        <v>8</v>
      </c>
      <c r="F13" s="13">
        <f t="shared" si="1"/>
        <v>10</v>
      </c>
      <c r="G13" s="27">
        <v>7</v>
      </c>
      <c r="H13" s="27">
        <v>2</v>
      </c>
      <c r="I13" s="28">
        <v>1</v>
      </c>
      <c r="J13" s="29">
        <v>8</v>
      </c>
      <c r="K13" s="30">
        <v>5</v>
      </c>
      <c r="L13" s="31"/>
      <c r="M13" s="32">
        <v>2</v>
      </c>
      <c r="N13" s="33"/>
      <c r="O13" s="34">
        <f t="shared" si="2"/>
        <v>71</v>
      </c>
    </row>
    <row r="14" spans="1:15" ht="16.5" x14ac:dyDescent="0.3">
      <c r="A14" s="2">
        <v>42868</v>
      </c>
      <c r="B14" s="10">
        <f t="shared" si="0"/>
        <v>6</v>
      </c>
      <c r="C14" s="27">
        <v>5</v>
      </c>
      <c r="D14" s="27"/>
      <c r="E14" s="28">
        <v>1</v>
      </c>
      <c r="F14" s="13">
        <f t="shared" si="1"/>
        <v>0</v>
      </c>
      <c r="G14" s="27"/>
      <c r="H14" s="27"/>
      <c r="I14" s="28"/>
      <c r="J14" s="29">
        <v>1</v>
      </c>
      <c r="K14" s="30"/>
      <c r="L14" s="31"/>
      <c r="M14" s="32"/>
      <c r="N14" s="33"/>
      <c r="O14" s="34">
        <f t="shared" si="2"/>
        <v>7</v>
      </c>
    </row>
    <row r="15" spans="1:15" ht="16.5" x14ac:dyDescent="0.3">
      <c r="A15" s="2">
        <v>42869</v>
      </c>
      <c r="B15" s="10">
        <f t="shared" si="0"/>
        <v>0</v>
      </c>
      <c r="C15" s="27"/>
      <c r="D15" s="27"/>
      <c r="E15" s="28"/>
      <c r="F15" s="13">
        <f t="shared" si="1"/>
        <v>0</v>
      </c>
      <c r="G15" s="27"/>
      <c r="H15" s="27"/>
      <c r="I15" s="28"/>
      <c r="J15" s="29"/>
      <c r="K15" s="30"/>
      <c r="L15" s="31"/>
      <c r="M15" s="32"/>
      <c r="N15" s="33"/>
      <c r="O15" s="34">
        <f t="shared" si="2"/>
        <v>0</v>
      </c>
    </row>
    <row r="16" spans="1:15" ht="16.5" x14ac:dyDescent="0.3">
      <c r="A16" s="2">
        <v>42870</v>
      </c>
      <c r="B16" s="10">
        <f t="shared" si="0"/>
        <v>44</v>
      </c>
      <c r="C16" s="27">
        <v>20</v>
      </c>
      <c r="D16" s="27">
        <v>15</v>
      </c>
      <c r="E16" s="28">
        <v>9</v>
      </c>
      <c r="F16" s="13">
        <f t="shared" si="1"/>
        <v>7</v>
      </c>
      <c r="G16" s="27">
        <v>2</v>
      </c>
      <c r="H16" s="27">
        <v>5</v>
      </c>
      <c r="I16" s="28"/>
      <c r="J16" s="29">
        <v>11</v>
      </c>
      <c r="K16" s="30">
        <v>6</v>
      </c>
      <c r="L16" s="31">
        <v>1</v>
      </c>
      <c r="M16" s="32">
        <v>2</v>
      </c>
      <c r="N16" s="33"/>
      <c r="O16" s="34">
        <f t="shared" si="2"/>
        <v>71</v>
      </c>
    </row>
    <row r="17" spans="1:15" ht="16.5" x14ac:dyDescent="0.3">
      <c r="A17" s="2">
        <v>42871</v>
      </c>
      <c r="B17" s="10">
        <f t="shared" si="0"/>
        <v>43</v>
      </c>
      <c r="C17" s="27">
        <v>15</v>
      </c>
      <c r="D17" s="27">
        <v>15</v>
      </c>
      <c r="E17" s="28">
        <v>13</v>
      </c>
      <c r="F17" s="13">
        <f t="shared" si="1"/>
        <v>10</v>
      </c>
      <c r="G17" s="27">
        <v>7</v>
      </c>
      <c r="H17" s="27">
        <v>3</v>
      </c>
      <c r="I17" s="28"/>
      <c r="J17" s="29">
        <v>6</v>
      </c>
      <c r="K17" s="30">
        <v>6</v>
      </c>
      <c r="L17" s="31">
        <v>1</v>
      </c>
      <c r="M17" s="32">
        <v>1</v>
      </c>
      <c r="N17" s="33"/>
      <c r="O17" s="34">
        <f t="shared" si="2"/>
        <v>67</v>
      </c>
    </row>
    <row r="18" spans="1:15" ht="16.5" x14ac:dyDescent="0.3">
      <c r="A18" s="2">
        <v>42872</v>
      </c>
      <c r="B18" s="10">
        <f t="shared" si="0"/>
        <v>41</v>
      </c>
      <c r="C18" s="27">
        <v>13</v>
      </c>
      <c r="D18" s="27">
        <v>16</v>
      </c>
      <c r="E18" s="28">
        <v>12</v>
      </c>
      <c r="F18" s="13">
        <f t="shared" si="1"/>
        <v>11</v>
      </c>
      <c r="G18" s="27">
        <v>7</v>
      </c>
      <c r="H18" s="27">
        <v>4</v>
      </c>
      <c r="I18" s="28"/>
      <c r="J18" s="29">
        <v>5</v>
      </c>
      <c r="K18" s="30">
        <v>7</v>
      </c>
      <c r="L18" s="31">
        <v>1</v>
      </c>
      <c r="M18" s="32">
        <v>1</v>
      </c>
      <c r="N18" s="33"/>
      <c r="O18" s="34">
        <f t="shared" si="2"/>
        <v>66</v>
      </c>
    </row>
    <row r="19" spans="1:15" ht="16.5" x14ac:dyDescent="0.3">
      <c r="A19" s="2">
        <v>42873</v>
      </c>
      <c r="B19" s="10">
        <f t="shared" si="0"/>
        <v>44</v>
      </c>
      <c r="C19" s="27">
        <v>18</v>
      </c>
      <c r="D19" s="27">
        <v>17</v>
      </c>
      <c r="E19" s="28">
        <v>9</v>
      </c>
      <c r="F19" s="13">
        <f t="shared" si="1"/>
        <v>6</v>
      </c>
      <c r="G19" s="27">
        <v>4</v>
      </c>
      <c r="H19" s="27">
        <v>2</v>
      </c>
      <c r="I19" s="28"/>
      <c r="J19" s="29">
        <v>17</v>
      </c>
      <c r="K19" s="30">
        <v>7</v>
      </c>
      <c r="L19" s="31"/>
      <c r="M19" s="32"/>
      <c r="N19" s="33"/>
      <c r="O19" s="34">
        <f t="shared" si="2"/>
        <v>74</v>
      </c>
    </row>
    <row r="20" spans="1:15" ht="16.5" x14ac:dyDescent="0.3">
      <c r="A20" s="2">
        <v>42874</v>
      </c>
      <c r="B20" s="10">
        <f t="shared" si="0"/>
        <v>46</v>
      </c>
      <c r="C20" s="27">
        <v>20</v>
      </c>
      <c r="D20" s="27">
        <v>17</v>
      </c>
      <c r="E20" s="28">
        <v>9</v>
      </c>
      <c r="F20" s="13">
        <f t="shared" si="1"/>
        <v>5</v>
      </c>
      <c r="G20" s="27">
        <v>4</v>
      </c>
      <c r="H20" s="27">
        <v>1</v>
      </c>
      <c r="I20" s="28"/>
      <c r="J20" s="29">
        <v>13</v>
      </c>
      <c r="K20" s="30">
        <v>6</v>
      </c>
      <c r="L20" s="31">
        <v>1</v>
      </c>
      <c r="M20" s="32">
        <v>3</v>
      </c>
      <c r="N20" s="33"/>
      <c r="O20" s="34">
        <f t="shared" si="2"/>
        <v>74</v>
      </c>
    </row>
    <row r="21" spans="1:15" ht="16.5" x14ac:dyDescent="0.3">
      <c r="A21" s="2">
        <v>42875</v>
      </c>
      <c r="B21" s="10">
        <f t="shared" si="0"/>
        <v>7</v>
      </c>
      <c r="C21" s="27">
        <v>5</v>
      </c>
      <c r="D21" s="27"/>
      <c r="E21" s="28">
        <v>2</v>
      </c>
      <c r="F21" s="13">
        <f t="shared" si="1"/>
        <v>1</v>
      </c>
      <c r="G21" s="27"/>
      <c r="H21" s="27">
        <v>1</v>
      </c>
      <c r="I21" s="28"/>
      <c r="J21" s="29">
        <v>1</v>
      </c>
      <c r="K21" s="30"/>
      <c r="L21" s="31"/>
      <c r="M21" s="32"/>
      <c r="N21" s="33"/>
      <c r="O21" s="34">
        <f t="shared" si="2"/>
        <v>9</v>
      </c>
    </row>
    <row r="22" spans="1:15" ht="16.5" x14ac:dyDescent="0.3">
      <c r="A22" s="2">
        <v>42876</v>
      </c>
      <c r="B22" s="10">
        <f t="shared" si="0"/>
        <v>0</v>
      </c>
      <c r="C22" s="27"/>
      <c r="D22" s="27"/>
      <c r="E22" s="28"/>
      <c r="F22" s="13">
        <f t="shared" si="1"/>
        <v>0</v>
      </c>
      <c r="G22" s="27"/>
      <c r="H22" s="27"/>
      <c r="I22" s="28"/>
      <c r="J22" s="29"/>
      <c r="K22" s="30"/>
      <c r="L22" s="31"/>
      <c r="M22" s="32"/>
      <c r="N22" s="33"/>
      <c r="O22" s="34">
        <f t="shared" si="2"/>
        <v>0</v>
      </c>
    </row>
    <row r="23" spans="1:15" ht="16.5" x14ac:dyDescent="0.3">
      <c r="A23" s="2">
        <v>42877</v>
      </c>
      <c r="B23" s="10">
        <f t="shared" si="0"/>
        <v>53</v>
      </c>
      <c r="C23" s="27">
        <v>18</v>
      </c>
      <c r="D23" s="27">
        <v>19</v>
      </c>
      <c r="E23" s="28">
        <v>16</v>
      </c>
      <c r="F23" s="13">
        <f t="shared" si="1"/>
        <v>7</v>
      </c>
      <c r="G23" s="27">
        <v>5</v>
      </c>
      <c r="H23" s="27">
        <v>2</v>
      </c>
      <c r="I23" s="28"/>
      <c r="J23" s="29">
        <v>12</v>
      </c>
      <c r="K23" s="30">
        <v>2</v>
      </c>
      <c r="L23" s="31">
        <v>1</v>
      </c>
      <c r="M23" s="32">
        <v>1</v>
      </c>
      <c r="N23" s="33"/>
      <c r="O23" s="34">
        <f t="shared" si="2"/>
        <v>76</v>
      </c>
    </row>
    <row r="24" spans="1:15" ht="16.5" x14ac:dyDescent="0.3">
      <c r="A24" s="2">
        <v>42878</v>
      </c>
      <c r="B24" s="10">
        <f t="shared" si="0"/>
        <v>44</v>
      </c>
      <c r="C24" s="27">
        <v>21</v>
      </c>
      <c r="D24" s="27">
        <v>13</v>
      </c>
      <c r="E24" s="28">
        <v>10</v>
      </c>
      <c r="F24" s="13">
        <f t="shared" si="1"/>
        <v>4</v>
      </c>
      <c r="G24" s="27">
        <v>2</v>
      </c>
      <c r="H24" s="27">
        <v>2</v>
      </c>
      <c r="I24" s="28"/>
      <c r="J24" s="29">
        <v>9</v>
      </c>
      <c r="K24" s="30">
        <v>5</v>
      </c>
      <c r="L24" s="31"/>
      <c r="M24" s="32">
        <v>2</v>
      </c>
      <c r="N24" s="33"/>
      <c r="O24" s="34">
        <f t="shared" si="2"/>
        <v>64</v>
      </c>
    </row>
    <row r="25" spans="1:15" ht="16.5" x14ac:dyDescent="0.3">
      <c r="A25" s="2">
        <v>42879</v>
      </c>
      <c r="B25" s="10">
        <f t="shared" si="0"/>
        <v>56</v>
      </c>
      <c r="C25" s="27">
        <v>22</v>
      </c>
      <c r="D25" s="27">
        <v>19</v>
      </c>
      <c r="E25" s="28">
        <v>15</v>
      </c>
      <c r="F25" s="13">
        <f t="shared" si="1"/>
        <v>6</v>
      </c>
      <c r="G25" s="27">
        <v>3</v>
      </c>
      <c r="H25" s="27">
        <v>3</v>
      </c>
      <c r="I25" s="28"/>
      <c r="J25" s="29">
        <v>10</v>
      </c>
      <c r="K25" s="30">
        <v>6</v>
      </c>
      <c r="L25" s="31"/>
      <c r="M25" s="32">
        <v>2</v>
      </c>
      <c r="N25" s="33"/>
      <c r="O25" s="34">
        <f t="shared" si="2"/>
        <v>80</v>
      </c>
    </row>
    <row r="26" spans="1:15" ht="16.5" x14ac:dyDescent="0.3">
      <c r="A26" s="2">
        <v>42880</v>
      </c>
      <c r="B26" s="10">
        <f t="shared" si="0"/>
        <v>0</v>
      </c>
      <c r="C26" s="27"/>
      <c r="D26" s="27"/>
      <c r="E26" s="28"/>
      <c r="F26" s="13">
        <f t="shared" si="1"/>
        <v>0</v>
      </c>
      <c r="G26" s="27"/>
      <c r="H26" s="27"/>
      <c r="I26" s="28"/>
      <c r="J26" s="29"/>
      <c r="K26" s="30"/>
      <c r="L26" s="31"/>
      <c r="M26" s="32"/>
      <c r="N26" s="33"/>
      <c r="O26" s="34">
        <f t="shared" si="2"/>
        <v>0</v>
      </c>
    </row>
    <row r="27" spans="1:15" ht="16.5" x14ac:dyDescent="0.3">
      <c r="A27" s="2">
        <v>42881</v>
      </c>
      <c r="B27" s="10">
        <f t="shared" si="0"/>
        <v>38</v>
      </c>
      <c r="C27" s="27">
        <v>19</v>
      </c>
      <c r="D27" s="27">
        <v>16</v>
      </c>
      <c r="E27" s="28">
        <v>3</v>
      </c>
      <c r="F27" s="13">
        <f t="shared" si="1"/>
        <v>3</v>
      </c>
      <c r="G27" s="27">
        <v>2</v>
      </c>
      <c r="H27" s="27">
        <v>1</v>
      </c>
      <c r="I27" s="28"/>
      <c r="J27" s="29">
        <v>9</v>
      </c>
      <c r="K27" s="30">
        <v>1</v>
      </c>
      <c r="L27" s="31">
        <v>1</v>
      </c>
      <c r="M27" s="32">
        <v>1</v>
      </c>
      <c r="N27" s="33"/>
      <c r="O27" s="34">
        <f t="shared" si="2"/>
        <v>53</v>
      </c>
    </row>
    <row r="28" spans="1:15" ht="16.5" x14ac:dyDescent="0.3">
      <c r="A28" s="2">
        <v>42882</v>
      </c>
      <c r="B28" s="10">
        <f t="shared" si="0"/>
        <v>3</v>
      </c>
      <c r="C28" s="27">
        <v>3</v>
      </c>
      <c r="D28" s="27"/>
      <c r="E28" s="28"/>
      <c r="F28" s="13">
        <f t="shared" si="1"/>
        <v>0</v>
      </c>
      <c r="G28" s="27"/>
      <c r="H28" s="27"/>
      <c r="I28" s="28"/>
      <c r="J28" s="29">
        <v>1</v>
      </c>
      <c r="K28" s="30"/>
      <c r="L28" s="31"/>
      <c r="M28" s="32">
        <v>1</v>
      </c>
      <c r="N28" s="33"/>
      <c r="O28" s="34">
        <f t="shared" si="2"/>
        <v>5</v>
      </c>
    </row>
    <row r="29" spans="1:15" ht="16.5" x14ac:dyDescent="0.3">
      <c r="A29" s="2">
        <v>42883</v>
      </c>
      <c r="B29" s="10">
        <f t="shared" si="0"/>
        <v>0</v>
      </c>
      <c r="C29" s="27"/>
      <c r="D29" s="27"/>
      <c r="E29" s="28"/>
      <c r="F29" s="13">
        <f t="shared" si="1"/>
        <v>0</v>
      </c>
      <c r="G29" s="27"/>
      <c r="H29" s="27"/>
      <c r="I29" s="28"/>
      <c r="J29" s="29"/>
      <c r="K29" s="30"/>
      <c r="L29" s="31"/>
      <c r="M29" s="32"/>
      <c r="N29" s="33"/>
      <c r="O29" s="34">
        <f t="shared" si="2"/>
        <v>0</v>
      </c>
    </row>
    <row r="30" spans="1:15" ht="16.5" x14ac:dyDescent="0.3">
      <c r="A30" s="2">
        <v>42884</v>
      </c>
      <c r="B30" s="10">
        <f t="shared" si="0"/>
        <v>38</v>
      </c>
      <c r="C30" s="27">
        <v>20</v>
      </c>
      <c r="D30" s="27">
        <v>7</v>
      </c>
      <c r="E30" s="28">
        <v>11</v>
      </c>
      <c r="F30" s="13">
        <f t="shared" si="1"/>
        <v>6</v>
      </c>
      <c r="G30" s="27">
        <v>2</v>
      </c>
      <c r="H30" s="27">
        <v>4</v>
      </c>
      <c r="I30" s="28"/>
      <c r="J30" s="29">
        <v>11</v>
      </c>
      <c r="K30" s="30">
        <v>6</v>
      </c>
      <c r="L30" s="31"/>
      <c r="M30" s="32">
        <v>2</v>
      </c>
      <c r="N30" s="33"/>
      <c r="O30" s="34">
        <f t="shared" si="2"/>
        <v>63</v>
      </c>
    </row>
    <row r="31" spans="1:15" ht="16.5" x14ac:dyDescent="0.3">
      <c r="A31" s="2">
        <v>42885</v>
      </c>
      <c r="B31" s="10">
        <f t="shared" si="0"/>
        <v>48</v>
      </c>
      <c r="C31" s="27">
        <v>19</v>
      </c>
      <c r="D31" s="27">
        <v>15</v>
      </c>
      <c r="E31" s="28">
        <v>14</v>
      </c>
      <c r="F31" s="13">
        <f t="shared" si="1"/>
        <v>5</v>
      </c>
      <c r="G31" s="27">
        <v>4</v>
      </c>
      <c r="H31" s="27">
        <v>1</v>
      </c>
      <c r="I31" s="28"/>
      <c r="J31" s="29">
        <v>9</v>
      </c>
      <c r="K31" s="30">
        <v>4</v>
      </c>
      <c r="L31" s="31">
        <v>1</v>
      </c>
      <c r="M31" s="32">
        <v>1</v>
      </c>
      <c r="N31" s="33"/>
      <c r="O31" s="34">
        <f t="shared" si="2"/>
        <v>68</v>
      </c>
    </row>
    <row r="32" spans="1:15" ht="17.25" thickBot="1" x14ac:dyDescent="0.35">
      <c r="A32" s="2">
        <v>42886</v>
      </c>
      <c r="B32" s="35">
        <f t="shared" si="0"/>
        <v>57</v>
      </c>
      <c r="C32" s="36">
        <v>23</v>
      </c>
      <c r="D32" s="36">
        <v>19</v>
      </c>
      <c r="E32" s="37">
        <v>15</v>
      </c>
      <c r="F32" s="38">
        <f t="shared" si="1"/>
        <v>10</v>
      </c>
      <c r="G32" s="36">
        <v>8</v>
      </c>
      <c r="H32" s="36">
        <v>2</v>
      </c>
      <c r="I32" s="37"/>
      <c r="J32" s="29">
        <v>11</v>
      </c>
      <c r="K32" s="30">
        <v>3</v>
      </c>
      <c r="L32" s="31"/>
      <c r="M32" s="32">
        <v>1</v>
      </c>
      <c r="N32" s="33"/>
      <c r="O32" s="39">
        <f t="shared" si="2"/>
        <v>82</v>
      </c>
    </row>
    <row r="33" spans="1:15" ht="17.25" thickBot="1" x14ac:dyDescent="0.35">
      <c r="A33" s="26" t="s">
        <v>10</v>
      </c>
      <c r="B33" s="17">
        <f>SUM(B2:B32)</f>
        <v>925</v>
      </c>
      <c r="C33" s="17">
        <f t="shared" ref="C33:E33" si="3">SUM(C2:C32)</f>
        <v>395</v>
      </c>
      <c r="D33" s="17">
        <f t="shared" si="3"/>
        <v>306</v>
      </c>
      <c r="E33" s="17">
        <f t="shared" si="3"/>
        <v>224</v>
      </c>
      <c r="F33" s="18">
        <f>SUM(F2:F32)</f>
        <v>145</v>
      </c>
      <c r="G33" s="18">
        <f t="shared" ref="G33:I33" si="4">SUM(G2:G32)</f>
        <v>90</v>
      </c>
      <c r="H33" s="18">
        <f t="shared" si="4"/>
        <v>54</v>
      </c>
      <c r="I33" s="18">
        <f t="shared" si="4"/>
        <v>1</v>
      </c>
      <c r="J33" s="11">
        <f>SUM(J2:J32)</f>
        <v>235</v>
      </c>
      <c r="K33" s="11">
        <f t="shared" ref="K33:M33" si="5">SUM(K2:K32)</f>
        <v>84</v>
      </c>
      <c r="L33" s="11">
        <f t="shared" si="5"/>
        <v>9</v>
      </c>
      <c r="M33" s="11">
        <f t="shared" si="5"/>
        <v>29</v>
      </c>
      <c r="N33" s="33"/>
      <c r="O33" s="40">
        <f>SUM(O2:O32)</f>
        <v>1427</v>
      </c>
    </row>
  </sheetData>
  <conditionalFormatting sqref="B3:B6 B10:B13 B16:B20 B23:B25 B30:B32 B27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7030A0"/>
  </sheetPr>
  <dimension ref="A1:O33"/>
  <sheetViews>
    <sheetView showGridLines="0" showRowColHeaders="0" zoomScaleNormal="100" workbookViewId="0">
      <pane ySplit="1" topLeftCell="A11" activePane="bottomLeft" state="frozen"/>
      <selection pane="bottomLeft" activeCell="O22" sqref="O22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4">
        <v>42887</v>
      </c>
      <c r="B2" s="10">
        <f>C2+D2+E2</f>
        <v>54</v>
      </c>
      <c r="C2" s="27">
        <v>23</v>
      </c>
      <c r="D2" s="27">
        <v>13</v>
      </c>
      <c r="E2" s="28">
        <v>18</v>
      </c>
      <c r="F2" s="13">
        <f>G2+H2+I2</f>
        <v>10</v>
      </c>
      <c r="G2" s="27">
        <v>5</v>
      </c>
      <c r="H2" s="27">
        <v>5</v>
      </c>
      <c r="I2" s="28"/>
      <c r="J2" s="29">
        <v>9</v>
      </c>
      <c r="K2" s="30">
        <v>3</v>
      </c>
      <c r="L2" s="31">
        <v>2</v>
      </c>
      <c r="M2" s="32">
        <v>3</v>
      </c>
      <c r="N2" s="33"/>
      <c r="O2" s="34">
        <f>B2+F2+J2+K2+L2+M2</f>
        <v>81</v>
      </c>
    </row>
    <row r="3" spans="1:15" ht="16.5" x14ac:dyDescent="0.3">
      <c r="A3" s="4">
        <v>42888</v>
      </c>
      <c r="B3" s="10">
        <f t="shared" ref="B3:B32" si="0">C3+D3+E3</f>
        <v>53</v>
      </c>
      <c r="C3" s="27">
        <v>19</v>
      </c>
      <c r="D3" s="27">
        <v>22</v>
      </c>
      <c r="E3" s="28">
        <v>12</v>
      </c>
      <c r="F3" s="13">
        <f t="shared" ref="F3:F32" si="1">G3+H3+I3</f>
        <v>7</v>
      </c>
      <c r="G3" s="27">
        <v>6</v>
      </c>
      <c r="H3" s="27">
        <v>1</v>
      </c>
      <c r="I3" s="28"/>
      <c r="J3" s="29">
        <v>10</v>
      </c>
      <c r="K3" s="30">
        <v>4</v>
      </c>
      <c r="L3" s="31"/>
      <c r="M3" s="32">
        <v>2</v>
      </c>
      <c r="N3" s="33"/>
      <c r="O3" s="34">
        <f t="shared" ref="O3:O32" si="2">B3+F3+J3+K3+L3+M3</f>
        <v>76</v>
      </c>
    </row>
    <row r="4" spans="1:15" ht="16.5" x14ac:dyDescent="0.3">
      <c r="A4" s="4">
        <v>42889</v>
      </c>
      <c r="B4" s="10">
        <f t="shared" si="0"/>
        <v>11</v>
      </c>
      <c r="C4" s="27">
        <v>7</v>
      </c>
      <c r="D4" s="27">
        <v>1</v>
      </c>
      <c r="E4" s="28">
        <v>3</v>
      </c>
      <c r="F4" s="13">
        <f t="shared" si="1"/>
        <v>0</v>
      </c>
      <c r="G4" s="27"/>
      <c r="H4" s="27"/>
      <c r="I4" s="28"/>
      <c r="J4" s="29">
        <v>1</v>
      </c>
      <c r="K4" s="30"/>
      <c r="L4" s="31"/>
      <c r="M4" s="32"/>
      <c r="N4" s="33"/>
      <c r="O4" s="34">
        <f t="shared" si="2"/>
        <v>12</v>
      </c>
    </row>
    <row r="5" spans="1:15" ht="16.5" x14ac:dyDescent="0.3">
      <c r="A5" s="4">
        <v>42890</v>
      </c>
      <c r="B5" s="10">
        <f t="shared" si="0"/>
        <v>0</v>
      </c>
      <c r="C5" s="27"/>
      <c r="D5" s="27"/>
      <c r="E5" s="28"/>
      <c r="F5" s="13">
        <f t="shared" si="1"/>
        <v>0</v>
      </c>
      <c r="G5" s="27"/>
      <c r="H5" s="27"/>
      <c r="I5" s="28"/>
      <c r="J5" s="29"/>
      <c r="K5" s="30"/>
      <c r="L5" s="31"/>
      <c r="M5" s="32"/>
      <c r="N5" s="33"/>
      <c r="O5" s="34">
        <f t="shared" si="2"/>
        <v>0</v>
      </c>
    </row>
    <row r="6" spans="1:15" ht="16.5" x14ac:dyDescent="0.3">
      <c r="A6" s="4">
        <v>42891</v>
      </c>
      <c r="B6" s="10">
        <f t="shared" si="0"/>
        <v>0</v>
      </c>
      <c r="C6" s="27"/>
      <c r="D6" s="27"/>
      <c r="E6" s="28"/>
      <c r="F6" s="13">
        <f t="shared" si="1"/>
        <v>0</v>
      </c>
      <c r="G6" s="27"/>
      <c r="H6" s="27"/>
      <c r="I6" s="28"/>
      <c r="J6" s="29"/>
      <c r="K6" s="30"/>
      <c r="L6" s="31"/>
      <c r="M6" s="32"/>
      <c r="N6" s="33"/>
      <c r="O6" s="34">
        <f t="shared" si="2"/>
        <v>0</v>
      </c>
    </row>
    <row r="7" spans="1:15" ht="16.5" x14ac:dyDescent="0.3">
      <c r="A7" s="4">
        <v>42892</v>
      </c>
      <c r="B7" s="10">
        <f t="shared" si="0"/>
        <v>50</v>
      </c>
      <c r="C7" s="27">
        <v>20</v>
      </c>
      <c r="D7" s="27">
        <v>17</v>
      </c>
      <c r="E7" s="28">
        <v>13</v>
      </c>
      <c r="F7" s="13">
        <f t="shared" si="1"/>
        <v>7</v>
      </c>
      <c r="G7" s="27">
        <v>2</v>
      </c>
      <c r="H7" s="27">
        <v>5</v>
      </c>
      <c r="I7" s="28"/>
      <c r="J7" s="29">
        <v>14</v>
      </c>
      <c r="K7" s="30">
        <v>5</v>
      </c>
      <c r="L7" s="31">
        <v>1</v>
      </c>
      <c r="M7" s="32"/>
      <c r="N7" s="33"/>
      <c r="O7" s="34">
        <f t="shared" si="2"/>
        <v>77</v>
      </c>
    </row>
    <row r="8" spans="1:15" ht="16.5" x14ac:dyDescent="0.3">
      <c r="A8" s="4">
        <v>42893</v>
      </c>
      <c r="B8" s="10">
        <f t="shared" si="0"/>
        <v>60</v>
      </c>
      <c r="C8" s="27">
        <v>30</v>
      </c>
      <c r="D8" s="27">
        <v>14</v>
      </c>
      <c r="E8" s="28">
        <v>16</v>
      </c>
      <c r="F8" s="13">
        <f t="shared" si="1"/>
        <v>9</v>
      </c>
      <c r="G8" s="27">
        <v>5</v>
      </c>
      <c r="H8" s="27">
        <v>4</v>
      </c>
      <c r="I8" s="28"/>
      <c r="J8" s="29">
        <v>15</v>
      </c>
      <c r="K8" s="30">
        <v>5</v>
      </c>
      <c r="L8" s="31"/>
      <c r="M8" s="32"/>
      <c r="N8" s="33"/>
      <c r="O8" s="34">
        <f t="shared" si="2"/>
        <v>89</v>
      </c>
    </row>
    <row r="9" spans="1:15" ht="16.5" x14ac:dyDescent="0.3">
      <c r="A9" s="4">
        <v>42894</v>
      </c>
      <c r="B9" s="10">
        <f t="shared" si="0"/>
        <v>66</v>
      </c>
      <c r="C9" s="27">
        <v>31</v>
      </c>
      <c r="D9" s="27">
        <v>23</v>
      </c>
      <c r="E9" s="28">
        <v>12</v>
      </c>
      <c r="F9" s="13">
        <f t="shared" si="1"/>
        <v>5</v>
      </c>
      <c r="G9" s="27">
        <v>3</v>
      </c>
      <c r="H9" s="27">
        <v>2</v>
      </c>
      <c r="I9" s="28"/>
      <c r="J9" s="29">
        <v>10</v>
      </c>
      <c r="K9" s="30">
        <v>5</v>
      </c>
      <c r="L9" s="31"/>
      <c r="M9" s="32">
        <v>2</v>
      </c>
      <c r="N9" s="33"/>
      <c r="O9" s="34">
        <f t="shared" si="2"/>
        <v>88</v>
      </c>
    </row>
    <row r="10" spans="1:15" ht="16.5" x14ac:dyDescent="0.3">
      <c r="A10" s="4">
        <v>42895</v>
      </c>
      <c r="B10" s="10">
        <f t="shared" si="0"/>
        <v>53</v>
      </c>
      <c r="C10" s="27">
        <v>19</v>
      </c>
      <c r="D10" s="27">
        <v>24</v>
      </c>
      <c r="E10" s="28">
        <v>10</v>
      </c>
      <c r="F10" s="13">
        <f t="shared" si="1"/>
        <v>7</v>
      </c>
      <c r="G10" s="27">
        <v>7</v>
      </c>
      <c r="H10" s="27"/>
      <c r="I10" s="28"/>
      <c r="J10" s="29">
        <v>4</v>
      </c>
      <c r="K10" s="30">
        <v>4</v>
      </c>
      <c r="L10" s="31">
        <v>2</v>
      </c>
      <c r="M10" s="32"/>
      <c r="N10" s="33"/>
      <c r="O10" s="34">
        <f t="shared" si="2"/>
        <v>70</v>
      </c>
    </row>
    <row r="11" spans="1:15" ht="16.5" x14ac:dyDescent="0.3">
      <c r="A11" s="4">
        <v>42896</v>
      </c>
      <c r="B11" s="10">
        <f t="shared" si="0"/>
        <v>8</v>
      </c>
      <c r="C11" s="27">
        <v>5</v>
      </c>
      <c r="D11" s="27">
        <v>1</v>
      </c>
      <c r="E11" s="28">
        <v>2</v>
      </c>
      <c r="F11" s="13">
        <f t="shared" si="1"/>
        <v>2</v>
      </c>
      <c r="G11" s="27">
        <v>2</v>
      </c>
      <c r="H11" s="27"/>
      <c r="I11" s="28"/>
      <c r="J11" s="29">
        <v>1</v>
      </c>
      <c r="K11" s="30"/>
      <c r="L11" s="31"/>
      <c r="M11" s="32"/>
      <c r="N11" s="33"/>
      <c r="O11" s="34">
        <f t="shared" si="2"/>
        <v>11</v>
      </c>
    </row>
    <row r="12" spans="1:15" ht="16.5" x14ac:dyDescent="0.3">
      <c r="A12" s="4">
        <v>42897</v>
      </c>
      <c r="B12" s="10">
        <f t="shared" si="0"/>
        <v>0</v>
      </c>
      <c r="C12" s="27"/>
      <c r="D12" s="27"/>
      <c r="E12" s="28"/>
      <c r="F12" s="13">
        <f t="shared" si="1"/>
        <v>0</v>
      </c>
      <c r="G12" s="27"/>
      <c r="H12" s="27"/>
      <c r="I12" s="28"/>
      <c r="J12" s="29"/>
      <c r="K12" s="30"/>
      <c r="L12" s="31"/>
      <c r="M12" s="32"/>
      <c r="N12" s="33"/>
      <c r="O12" s="34">
        <f t="shared" si="2"/>
        <v>0</v>
      </c>
    </row>
    <row r="13" spans="1:15" ht="16.5" x14ac:dyDescent="0.3">
      <c r="A13" s="4">
        <v>42898</v>
      </c>
      <c r="B13" s="10">
        <f t="shared" si="0"/>
        <v>54</v>
      </c>
      <c r="C13" s="27">
        <v>30</v>
      </c>
      <c r="D13" s="27">
        <v>15</v>
      </c>
      <c r="E13" s="28">
        <v>9</v>
      </c>
      <c r="F13" s="13">
        <f t="shared" si="1"/>
        <v>14</v>
      </c>
      <c r="G13" s="27">
        <v>5</v>
      </c>
      <c r="H13" s="27">
        <v>9</v>
      </c>
      <c r="I13" s="28"/>
      <c r="J13" s="29">
        <v>15</v>
      </c>
      <c r="K13" s="30">
        <v>3</v>
      </c>
      <c r="L13" s="31"/>
      <c r="M13" s="32">
        <v>1</v>
      </c>
      <c r="N13" s="33"/>
      <c r="O13" s="34">
        <f t="shared" si="2"/>
        <v>87</v>
      </c>
    </row>
    <row r="14" spans="1:15" ht="16.5" x14ac:dyDescent="0.3">
      <c r="A14" s="4">
        <v>42899</v>
      </c>
      <c r="B14" s="10">
        <f t="shared" si="0"/>
        <v>55</v>
      </c>
      <c r="C14" s="27">
        <v>24</v>
      </c>
      <c r="D14" s="27">
        <v>17</v>
      </c>
      <c r="E14" s="28">
        <v>14</v>
      </c>
      <c r="F14" s="13">
        <f t="shared" si="1"/>
        <v>8</v>
      </c>
      <c r="G14" s="27">
        <v>7</v>
      </c>
      <c r="H14" s="27">
        <v>1</v>
      </c>
      <c r="I14" s="28"/>
      <c r="J14" s="29">
        <v>8</v>
      </c>
      <c r="K14" s="30">
        <v>4</v>
      </c>
      <c r="L14" s="31"/>
      <c r="M14" s="32">
        <v>6</v>
      </c>
      <c r="N14" s="33"/>
      <c r="O14" s="34">
        <f t="shared" si="2"/>
        <v>81</v>
      </c>
    </row>
    <row r="15" spans="1:15" ht="16.5" x14ac:dyDescent="0.3">
      <c r="A15" s="4">
        <v>42900</v>
      </c>
      <c r="B15" s="10">
        <f t="shared" si="0"/>
        <v>53</v>
      </c>
      <c r="C15" s="27">
        <v>24</v>
      </c>
      <c r="D15" s="27">
        <v>15</v>
      </c>
      <c r="E15" s="28">
        <v>14</v>
      </c>
      <c r="F15" s="13">
        <f t="shared" si="1"/>
        <v>6</v>
      </c>
      <c r="G15" s="27">
        <v>6</v>
      </c>
      <c r="H15" s="27"/>
      <c r="I15" s="28"/>
      <c r="J15" s="29">
        <v>12</v>
      </c>
      <c r="K15" s="30">
        <v>7</v>
      </c>
      <c r="L15" s="31"/>
      <c r="M15" s="32"/>
      <c r="N15" s="33"/>
      <c r="O15" s="34">
        <f t="shared" si="2"/>
        <v>78</v>
      </c>
    </row>
    <row r="16" spans="1:15" ht="16.5" x14ac:dyDescent="0.3">
      <c r="A16" s="4">
        <v>42901</v>
      </c>
      <c r="B16" s="10">
        <f t="shared" si="0"/>
        <v>60</v>
      </c>
      <c r="C16" s="27">
        <v>26</v>
      </c>
      <c r="D16" s="27">
        <v>22</v>
      </c>
      <c r="E16" s="28">
        <v>12</v>
      </c>
      <c r="F16" s="13">
        <f t="shared" si="1"/>
        <v>10</v>
      </c>
      <c r="G16" s="27">
        <v>7</v>
      </c>
      <c r="H16" s="27">
        <v>3</v>
      </c>
      <c r="I16" s="28"/>
      <c r="J16" s="29">
        <v>13</v>
      </c>
      <c r="K16" s="30">
        <v>6</v>
      </c>
      <c r="L16" s="31"/>
      <c r="M16" s="32">
        <v>3</v>
      </c>
      <c r="N16" s="33"/>
      <c r="O16" s="34">
        <f t="shared" si="2"/>
        <v>92</v>
      </c>
    </row>
    <row r="17" spans="1:15" ht="16.5" x14ac:dyDescent="0.3">
      <c r="A17" s="4">
        <v>42902</v>
      </c>
      <c r="B17" s="10">
        <f t="shared" si="0"/>
        <v>61</v>
      </c>
      <c r="C17" s="27">
        <v>21</v>
      </c>
      <c r="D17" s="27">
        <v>22</v>
      </c>
      <c r="E17" s="28">
        <v>18</v>
      </c>
      <c r="F17" s="13">
        <f t="shared" si="1"/>
        <v>8</v>
      </c>
      <c r="G17" s="27">
        <v>6</v>
      </c>
      <c r="H17" s="27">
        <v>2</v>
      </c>
      <c r="I17" s="28"/>
      <c r="J17" s="29">
        <v>9</v>
      </c>
      <c r="K17" s="30">
        <v>3</v>
      </c>
      <c r="L17" s="31"/>
      <c r="M17" s="32">
        <v>1</v>
      </c>
      <c r="N17" s="33"/>
      <c r="O17" s="34">
        <f t="shared" si="2"/>
        <v>82</v>
      </c>
    </row>
    <row r="18" spans="1:15" ht="16.5" x14ac:dyDescent="0.3">
      <c r="A18" s="4">
        <v>42903</v>
      </c>
      <c r="B18" s="10">
        <f t="shared" si="0"/>
        <v>7</v>
      </c>
      <c r="C18" s="27">
        <v>6</v>
      </c>
      <c r="D18" s="27"/>
      <c r="E18" s="28">
        <v>1</v>
      </c>
      <c r="F18" s="13">
        <f t="shared" si="1"/>
        <v>2</v>
      </c>
      <c r="G18" s="27">
        <v>1</v>
      </c>
      <c r="H18" s="27">
        <v>1</v>
      </c>
      <c r="I18" s="28"/>
      <c r="J18" s="29">
        <v>1</v>
      </c>
      <c r="K18" s="30"/>
      <c r="L18" s="31"/>
      <c r="M18" s="32"/>
      <c r="N18" s="33"/>
      <c r="O18" s="34">
        <f t="shared" si="2"/>
        <v>10</v>
      </c>
    </row>
    <row r="19" spans="1:15" ht="16.5" x14ac:dyDescent="0.3">
      <c r="A19" s="4">
        <v>42904</v>
      </c>
      <c r="B19" s="10">
        <f t="shared" si="0"/>
        <v>0</v>
      </c>
      <c r="C19" s="27"/>
      <c r="D19" s="27"/>
      <c r="E19" s="28"/>
      <c r="F19" s="13">
        <f t="shared" si="1"/>
        <v>0</v>
      </c>
      <c r="G19" s="27"/>
      <c r="H19" s="27"/>
      <c r="I19" s="28"/>
      <c r="J19" s="29"/>
      <c r="K19" s="30"/>
      <c r="L19" s="31"/>
      <c r="M19" s="32"/>
      <c r="N19" s="33"/>
      <c r="O19" s="34">
        <f t="shared" si="2"/>
        <v>0</v>
      </c>
    </row>
    <row r="20" spans="1:15" ht="16.5" x14ac:dyDescent="0.3">
      <c r="A20" s="4">
        <v>42905</v>
      </c>
      <c r="B20" s="10">
        <f t="shared" si="0"/>
        <v>61</v>
      </c>
      <c r="C20" s="27">
        <v>30</v>
      </c>
      <c r="D20" s="27">
        <v>13</v>
      </c>
      <c r="E20" s="28">
        <v>18</v>
      </c>
      <c r="F20" s="13">
        <f t="shared" si="1"/>
        <v>9</v>
      </c>
      <c r="G20" s="27">
        <v>8</v>
      </c>
      <c r="H20" s="27">
        <v>1</v>
      </c>
      <c r="I20" s="28"/>
      <c r="J20" s="29">
        <v>10</v>
      </c>
      <c r="K20" s="30">
        <v>1</v>
      </c>
      <c r="L20" s="31"/>
      <c r="M20" s="32">
        <v>3</v>
      </c>
      <c r="N20" s="33"/>
      <c r="O20" s="34">
        <f t="shared" si="2"/>
        <v>84</v>
      </c>
    </row>
    <row r="21" spans="1:15" ht="16.5" x14ac:dyDescent="0.3">
      <c r="A21" s="4">
        <v>42906</v>
      </c>
      <c r="B21" s="10">
        <f t="shared" si="0"/>
        <v>53</v>
      </c>
      <c r="C21" s="27">
        <v>22</v>
      </c>
      <c r="D21" s="27">
        <v>18</v>
      </c>
      <c r="E21" s="28">
        <v>13</v>
      </c>
      <c r="F21" s="13">
        <f t="shared" si="1"/>
        <v>7</v>
      </c>
      <c r="G21" s="27">
        <v>6</v>
      </c>
      <c r="H21" s="27">
        <v>1</v>
      </c>
      <c r="I21" s="28"/>
      <c r="J21" s="29">
        <v>8</v>
      </c>
      <c r="K21" s="30">
        <v>7</v>
      </c>
      <c r="L21" s="31">
        <v>1</v>
      </c>
      <c r="M21" s="32">
        <v>2</v>
      </c>
      <c r="N21" s="33"/>
      <c r="O21" s="34">
        <f t="shared" si="2"/>
        <v>78</v>
      </c>
    </row>
    <row r="22" spans="1:15" ht="16.5" x14ac:dyDescent="0.3">
      <c r="A22" s="4">
        <v>42907</v>
      </c>
      <c r="B22" s="10">
        <f t="shared" si="0"/>
        <v>62</v>
      </c>
      <c r="C22" s="27">
        <v>27</v>
      </c>
      <c r="D22" s="27">
        <v>21</v>
      </c>
      <c r="E22" s="28">
        <v>14</v>
      </c>
      <c r="F22" s="13">
        <f t="shared" si="1"/>
        <v>6</v>
      </c>
      <c r="G22" s="27">
        <v>4</v>
      </c>
      <c r="H22" s="27">
        <v>2</v>
      </c>
      <c r="I22" s="28"/>
      <c r="J22" s="29">
        <v>18</v>
      </c>
      <c r="K22" s="30">
        <v>8</v>
      </c>
      <c r="L22" s="31"/>
      <c r="M22" s="32">
        <v>2</v>
      </c>
      <c r="N22" s="33"/>
      <c r="O22" s="34">
        <f t="shared" si="2"/>
        <v>96</v>
      </c>
    </row>
    <row r="23" spans="1:15" ht="16.5" x14ac:dyDescent="0.3">
      <c r="A23" s="4">
        <v>42908</v>
      </c>
      <c r="B23" s="10">
        <f t="shared" si="0"/>
        <v>53</v>
      </c>
      <c r="C23" s="27">
        <v>19</v>
      </c>
      <c r="D23" s="27">
        <v>21</v>
      </c>
      <c r="E23" s="28">
        <v>13</v>
      </c>
      <c r="F23" s="13">
        <f t="shared" si="1"/>
        <v>5</v>
      </c>
      <c r="G23" s="27">
        <v>5</v>
      </c>
      <c r="H23" s="27"/>
      <c r="I23" s="28"/>
      <c r="J23" s="29">
        <v>12</v>
      </c>
      <c r="K23" s="30">
        <v>4</v>
      </c>
      <c r="L23" s="31"/>
      <c r="M23" s="32">
        <v>2</v>
      </c>
      <c r="N23" s="33"/>
      <c r="O23" s="34">
        <f t="shared" si="2"/>
        <v>76</v>
      </c>
    </row>
    <row r="24" spans="1:15" ht="16.5" x14ac:dyDescent="0.3">
      <c r="A24" s="4">
        <v>42909</v>
      </c>
      <c r="B24" s="10">
        <f t="shared" si="0"/>
        <v>55</v>
      </c>
      <c r="C24" s="27">
        <v>24</v>
      </c>
      <c r="D24" s="27">
        <v>17</v>
      </c>
      <c r="E24" s="28">
        <v>14</v>
      </c>
      <c r="F24" s="13">
        <f t="shared" si="1"/>
        <v>7</v>
      </c>
      <c r="G24" s="27">
        <v>5</v>
      </c>
      <c r="H24" s="27">
        <v>2</v>
      </c>
      <c r="I24" s="28"/>
      <c r="J24" s="29">
        <v>9</v>
      </c>
      <c r="K24" s="30">
        <v>6</v>
      </c>
      <c r="L24" s="31"/>
      <c r="M24" s="32">
        <v>2</v>
      </c>
      <c r="N24" s="33"/>
      <c r="O24" s="34">
        <f t="shared" si="2"/>
        <v>79</v>
      </c>
    </row>
    <row r="25" spans="1:15" ht="16.5" x14ac:dyDescent="0.3">
      <c r="A25" s="4">
        <v>42910</v>
      </c>
      <c r="B25" s="10">
        <f t="shared" si="0"/>
        <v>6</v>
      </c>
      <c r="C25" s="27">
        <v>5</v>
      </c>
      <c r="D25" s="27"/>
      <c r="E25" s="28">
        <v>1</v>
      </c>
      <c r="F25" s="13">
        <f t="shared" si="1"/>
        <v>1</v>
      </c>
      <c r="G25" s="27">
        <v>1</v>
      </c>
      <c r="H25" s="27"/>
      <c r="I25" s="28"/>
      <c r="J25" s="29"/>
      <c r="K25" s="30"/>
      <c r="L25" s="31">
        <v>1</v>
      </c>
      <c r="M25" s="32"/>
      <c r="N25" s="33"/>
      <c r="O25" s="34">
        <f t="shared" si="2"/>
        <v>8</v>
      </c>
    </row>
    <row r="26" spans="1:15" ht="16.5" x14ac:dyDescent="0.3">
      <c r="A26" s="4">
        <v>42911</v>
      </c>
      <c r="B26" s="10">
        <f t="shared" si="0"/>
        <v>0</v>
      </c>
      <c r="C26" s="27"/>
      <c r="D26" s="27"/>
      <c r="E26" s="28"/>
      <c r="F26" s="13">
        <f t="shared" si="1"/>
        <v>0</v>
      </c>
      <c r="G26" s="27"/>
      <c r="H26" s="27"/>
      <c r="I26" s="28"/>
      <c r="J26" s="29"/>
      <c r="K26" s="30"/>
      <c r="L26" s="31"/>
      <c r="M26" s="32"/>
      <c r="N26" s="33"/>
      <c r="O26" s="34">
        <f t="shared" si="2"/>
        <v>0</v>
      </c>
    </row>
    <row r="27" spans="1:15" ht="16.5" x14ac:dyDescent="0.3">
      <c r="A27" s="4">
        <v>42912</v>
      </c>
      <c r="B27" s="10">
        <f t="shared" si="0"/>
        <v>58</v>
      </c>
      <c r="C27" s="27">
        <v>23</v>
      </c>
      <c r="D27" s="27">
        <v>20</v>
      </c>
      <c r="E27" s="28">
        <v>15</v>
      </c>
      <c r="F27" s="13">
        <f t="shared" si="1"/>
        <v>6</v>
      </c>
      <c r="G27" s="27">
        <v>3</v>
      </c>
      <c r="H27" s="27">
        <v>3</v>
      </c>
      <c r="I27" s="28"/>
      <c r="J27" s="29">
        <v>12</v>
      </c>
      <c r="K27" s="30">
        <v>6</v>
      </c>
      <c r="L27" s="31"/>
      <c r="M27" s="32">
        <v>4</v>
      </c>
      <c r="N27" s="33"/>
      <c r="O27" s="34">
        <f t="shared" si="2"/>
        <v>86</v>
      </c>
    </row>
    <row r="28" spans="1:15" ht="16.5" x14ac:dyDescent="0.3">
      <c r="A28" s="4">
        <v>42913</v>
      </c>
      <c r="B28" s="10">
        <f t="shared" si="0"/>
        <v>50</v>
      </c>
      <c r="C28" s="27">
        <v>14</v>
      </c>
      <c r="D28" s="27">
        <v>21</v>
      </c>
      <c r="E28" s="28">
        <v>15</v>
      </c>
      <c r="F28" s="13">
        <f t="shared" si="1"/>
        <v>7</v>
      </c>
      <c r="G28" s="27">
        <v>3</v>
      </c>
      <c r="H28" s="27">
        <v>4</v>
      </c>
      <c r="I28" s="28"/>
      <c r="J28" s="29">
        <v>9</v>
      </c>
      <c r="K28" s="30">
        <v>5</v>
      </c>
      <c r="L28" s="31">
        <v>1</v>
      </c>
      <c r="M28" s="32"/>
      <c r="N28" s="33"/>
      <c r="O28" s="34">
        <f t="shared" si="2"/>
        <v>72</v>
      </c>
    </row>
    <row r="29" spans="1:15" ht="16.5" x14ac:dyDescent="0.3">
      <c r="A29" s="4">
        <v>42914</v>
      </c>
      <c r="B29" s="10">
        <f t="shared" si="0"/>
        <v>54</v>
      </c>
      <c r="C29" s="27">
        <v>20</v>
      </c>
      <c r="D29" s="27">
        <v>19</v>
      </c>
      <c r="E29" s="28">
        <v>15</v>
      </c>
      <c r="F29" s="13">
        <f t="shared" si="1"/>
        <v>15</v>
      </c>
      <c r="G29" s="27">
        <v>10</v>
      </c>
      <c r="H29" s="27">
        <v>5</v>
      </c>
      <c r="I29" s="28"/>
      <c r="J29" s="29">
        <v>13</v>
      </c>
      <c r="K29" s="30">
        <v>2</v>
      </c>
      <c r="L29" s="31"/>
      <c r="M29" s="32">
        <v>1</v>
      </c>
      <c r="N29" s="33"/>
      <c r="O29" s="34">
        <f t="shared" si="2"/>
        <v>85</v>
      </c>
    </row>
    <row r="30" spans="1:15" ht="16.5" x14ac:dyDescent="0.3">
      <c r="A30" s="4">
        <v>42915</v>
      </c>
      <c r="B30" s="10">
        <f t="shared" si="0"/>
        <v>49</v>
      </c>
      <c r="C30" s="27">
        <v>19</v>
      </c>
      <c r="D30" s="27">
        <v>19</v>
      </c>
      <c r="E30" s="28">
        <v>11</v>
      </c>
      <c r="F30" s="13">
        <f t="shared" si="1"/>
        <v>5</v>
      </c>
      <c r="G30" s="27">
        <v>2</v>
      </c>
      <c r="H30" s="27">
        <v>3</v>
      </c>
      <c r="I30" s="28"/>
      <c r="J30" s="29">
        <v>9</v>
      </c>
      <c r="K30" s="30"/>
      <c r="L30" s="31"/>
      <c r="M30" s="32"/>
      <c r="N30" s="33"/>
      <c r="O30" s="34">
        <f t="shared" si="2"/>
        <v>63</v>
      </c>
    </row>
    <row r="31" spans="1:15" ht="16.5" x14ac:dyDescent="0.3">
      <c r="A31" s="4">
        <v>42916</v>
      </c>
      <c r="B31" s="10">
        <f t="shared" si="0"/>
        <v>65</v>
      </c>
      <c r="C31" s="27">
        <v>25</v>
      </c>
      <c r="D31" s="27">
        <v>21</v>
      </c>
      <c r="E31" s="28">
        <v>19</v>
      </c>
      <c r="F31" s="13">
        <f t="shared" si="1"/>
        <v>3</v>
      </c>
      <c r="G31" s="27">
        <v>2</v>
      </c>
      <c r="H31" s="27">
        <v>1</v>
      </c>
      <c r="I31" s="28"/>
      <c r="J31" s="29">
        <v>12</v>
      </c>
      <c r="K31" s="30">
        <v>1</v>
      </c>
      <c r="L31" s="31"/>
      <c r="M31" s="32">
        <v>4</v>
      </c>
      <c r="N31" s="33"/>
      <c r="O31" s="34">
        <f t="shared" si="2"/>
        <v>85</v>
      </c>
    </row>
    <row r="32" spans="1:15" ht="17.25" thickBot="1" x14ac:dyDescent="0.35">
      <c r="A32" s="4"/>
      <c r="B32" s="35">
        <f t="shared" si="0"/>
        <v>0</v>
      </c>
      <c r="C32" s="36"/>
      <c r="D32" s="36"/>
      <c r="E32" s="37"/>
      <c r="F32" s="38">
        <f t="shared" si="1"/>
        <v>0</v>
      </c>
      <c r="G32" s="36"/>
      <c r="H32" s="36"/>
      <c r="I32" s="37"/>
      <c r="J32" s="29"/>
      <c r="K32" s="30"/>
      <c r="L32" s="31"/>
      <c r="M32" s="32"/>
      <c r="N32" s="33"/>
      <c r="O32" s="39">
        <f t="shared" si="2"/>
        <v>0</v>
      </c>
    </row>
    <row r="33" spans="1:15" ht="17.25" thickBot="1" x14ac:dyDescent="0.35">
      <c r="A33" s="26" t="s">
        <v>10</v>
      </c>
      <c r="B33" s="17">
        <f>SUM(B2:B32)</f>
        <v>1211</v>
      </c>
      <c r="C33" s="17">
        <f t="shared" ref="C33:E33" si="3">SUM(C2:C32)</f>
        <v>513</v>
      </c>
      <c r="D33" s="17">
        <f t="shared" si="3"/>
        <v>396</v>
      </c>
      <c r="E33" s="17">
        <f t="shared" si="3"/>
        <v>302</v>
      </c>
      <c r="F33" s="18">
        <f>SUM(F2:F32)</f>
        <v>166</v>
      </c>
      <c r="G33" s="18">
        <f t="shared" ref="G33:I33" si="4">SUM(G2:G32)</f>
        <v>111</v>
      </c>
      <c r="H33" s="18">
        <f t="shared" si="4"/>
        <v>55</v>
      </c>
      <c r="I33" s="18">
        <f t="shared" si="4"/>
        <v>0</v>
      </c>
      <c r="J33" s="11">
        <f>SUM(J2:J32)</f>
        <v>234</v>
      </c>
      <c r="K33" s="11">
        <f t="shared" ref="K33:M33" si="5">SUM(K2:K32)</f>
        <v>89</v>
      </c>
      <c r="L33" s="11">
        <f t="shared" si="5"/>
        <v>8</v>
      </c>
      <c r="M33" s="11">
        <f t="shared" si="5"/>
        <v>38</v>
      </c>
      <c r="N33" s="33"/>
      <c r="O33" s="40">
        <f>SUM(O2:O32)</f>
        <v>1746</v>
      </c>
    </row>
  </sheetData>
  <conditionalFormatting sqref="B2:B3 B7:B10 B13:B17 B20:B24 B27:B31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7030A0"/>
  </sheetPr>
  <dimension ref="A1:O33"/>
  <sheetViews>
    <sheetView showGridLines="0" showRowColHeaders="0" zoomScaleNormal="100" workbookViewId="0">
      <pane ySplit="1" topLeftCell="A17" activePane="bottomLeft" state="frozen"/>
      <selection pane="bottomLeft" activeCell="O14" sqref="O14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4">
        <v>42917</v>
      </c>
      <c r="B2" s="10">
        <f>C2+D2+E2</f>
        <v>8</v>
      </c>
      <c r="C2" s="27">
        <v>5</v>
      </c>
      <c r="D2" s="27">
        <v>2</v>
      </c>
      <c r="E2" s="28">
        <v>1</v>
      </c>
      <c r="F2" s="13">
        <f>G2+H2+I2</f>
        <v>2</v>
      </c>
      <c r="G2" s="27">
        <v>2</v>
      </c>
      <c r="H2" s="27"/>
      <c r="I2" s="28"/>
      <c r="J2" s="29"/>
      <c r="K2" s="30">
        <v>1</v>
      </c>
      <c r="L2" s="31"/>
      <c r="M2" s="32"/>
      <c r="N2" s="33"/>
      <c r="O2" s="34">
        <f>B2+F2+J2+K2+L2+M2</f>
        <v>11</v>
      </c>
    </row>
    <row r="3" spans="1:15" ht="16.5" x14ac:dyDescent="0.3">
      <c r="A3" s="4">
        <v>42918</v>
      </c>
      <c r="B3" s="10">
        <f t="shared" ref="B3:B32" si="0">C3+D3+E3</f>
        <v>0</v>
      </c>
      <c r="C3" s="27"/>
      <c r="D3" s="27"/>
      <c r="E3" s="28"/>
      <c r="F3" s="13">
        <f t="shared" ref="F3:F32" si="1">G3+H3+I3</f>
        <v>0</v>
      </c>
      <c r="G3" s="27"/>
      <c r="H3" s="27"/>
      <c r="I3" s="28"/>
      <c r="J3" s="29"/>
      <c r="K3" s="30"/>
      <c r="L3" s="31"/>
      <c r="M3" s="32"/>
      <c r="N3" s="33"/>
      <c r="O3" s="34">
        <f t="shared" ref="O3:O32" si="2">B3+F3+J3+K3+L3+M3</f>
        <v>0</v>
      </c>
    </row>
    <row r="4" spans="1:15" ht="16.5" x14ac:dyDescent="0.3">
      <c r="A4" s="4">
        <v>42919</v>
      </c>
      <c r="B4" s="10">
        <f t="shared" si="0"/>
        <v>63</v>
      </c>
      <c r="C4" s="27">
        <v>21</v>
      </c>
      <c r="D4" s="27">
        <v>27</v>
      </c>
      <c r="E4" s="28">
        <v>15</v>
      </c>
      <c r="F4" s="13">
        <f t="shared" si="1"/>
        <v>6</v>
      </c>
      <c r="G4" s="27">
        <v>5</v>
      </c>
      <c r="H4" s="27">
        <v>1</v>
      </c>
      <c r="I4" s="28"/>
      <c r="J4" s="29">
        <v>9</v>
      </c>
      <c r="K4" s="30">
        <v>3</v>
      </c>
      <c r="L4" s="31">
        <v>2</v>
      </c>
      <c r="M4" s="32">
        <v>1</v>
      </c>
      <c r="N4" s="33"/>
      <c r="O4" s="34">
        <f t="shared" si="2"/>
        <v>84</v>
      </c>
    </row>
    <row r="5" spans="1:15" ht="16.5" x14ac:dyDescent="0.3">
      <c r="A5" s="4">
        <v>42920</v>
      </c>
      <c r="B5" s="10">
        <f t="shared" si="0"/>
        <v>61</v>
      </c>
      <c r="C5" s="27">
        <v>30</v>
      </c>
      <c r="D5" s="27">
        <v>20</v>
      </c>
      <c r="E5" s="28">
        <v>11</v>
      </c>
      <c r="F5" s="13">
        <f t="shared" si="1"/>
        <v>11</v>
      </c>
      <c r="G5" s="27">
        <v>7</v>
      </c>
      <c r="H5" s="27">
        <v>3</v>
      </c>
      <c r="I5" s="28">
        <v>1</v>
      </c>
      <c r="J5" s="29">
        <v>6</v>
      </c>
      <c r="K5" s="30">
        <v>5</v>
      </c>
      <c r="L5" s="31">
        <v>1</v>
      </c>
      <c r="M5" s="32">
        <v>2</v>
      </c>
      <c r="N5" s="33"/>
      <c r="O5" s="34">
        <f t="shared" si="2"/>
        <v>86</v>
      </c>
    </row>
    <row r="6" spans="1:15" ht="16.5" x14ac:dyDescent="0.3">
      <c r="A6" s="4">
        <v>42921</v>
      </c>
      <c r="B6" s="10">
        <f t="shared" si="0"/>
        <v>58</v>
      </c>
      <c r="C6" s="27">
        <v>23</v>
      </c>
      <c r="D6" s="27">
        <v>21</v>
      </c>
      <c r="E6" s="28">
        <v>14</v>
      </c>
      <c r="F6" s="13">
        <f t="shared" si="1"/>
        <v>13</v>
      </c>
      <c r="G6" s="27">
        <v>9</v>
      </c>
      <c r="H6" s="27">
        <v>4</v>
      </c>
      <c r="I6" s="28"/>
      <c r="J6" s="29">
        <v>8</v>
      </c>
      <c r="K6" s="30">
        <v>3</v>
      </c>
      <c r="L6" s="31">
        <v>1</v>
      </c>
      <c r="M6" s="32"/>
      <c r="N6" s="33"/>
      <c r="O6" s="34">
        <f t="shared" si="2"/>
        <v>83</v>
      </c>
    </row>
    <row r="7" spans="1:15" ht="16.5" x14ac:dyDescent="0.3">
      <c r="A7" s="4">
        <v>42922</v>
      </c>
      <c r="B7" s="10">
        <f t="shared" si="0"/>
        <v>63</v>
      </c>
      <c r="C7" s="27">
        <v>27</v>
      </c>
      <c r="D7" s="27">
        <v>23</v>
      </c>
      <c r="E7" s="28">
        <v>13</v>
      </c>
      <c r="F7" s="13">
        <f t="shared" si="1"/>
        <v>11</v>
      </c>
      <c r="G7" s="27">
        <v>9</v>
      </c>
      <c r="H7" s="27">
        <v>2</v>
      </c>
      <c r="I7" s="28"/>
      <c r="J7" s="29">
        <v>12</v>
      </c>
      <c r="K7" s="30">
        <v>4</v>
      </c>
      <c r="L7" s="31"/>
      <c r="M7" s="32">
        <v>3</v>
      </c>
      <c r="N7" s="33"/>
      <c r="O7" s="34">
        <f t="shared" si="2"/>
        <v>93</v>
      </c>
    </row>
    <row r="8" spans="1:15" ht="16.5" x14ac:dyDescent="0.3">
      <c r="A8" s="4">
        <v>42923</v>
      </c>
      <c r="B8" s="10">
        <f t="shared" si="0"/>
        <v>67</v>
      </c>
      <c r="C8" s="27">
        <v>31</v>
      </c>
      <c r="D8" s="27">
        <v>20</v>
      </c>
      <c r="E8" s="28">
        <v>16</v>
      </c>
      <c r="F8" s="13">
        <f t="shared" si="1"/>
        <v>7</v>
      </c>
      <c r="G8" s="27">
        <v>5</v>
      </c>
      <c r="H8" s="27">
        <v>2</v>
      </c>
      <c r="I8" s="28"/>
      <c r="J8" s="29">
        <v>11</v>
      </c>
      <c r="K8" s="30">
        <v>7</v>
      </c>
      <c r="L8" s="31">
        <v>1</v>
      </c>
      <c r="M8" s="32">
        <v>2</v>
      </c>
      <c r="N8" s="33"/>
      <c r="O8" s="34">
        <f t="shared" si="2"/>
        <v>95</v>
      </c>
    </row>
    <row r="9" spans="1:15" ht="16.5" x14ac:dyDescent="0.3">
      <c r="A9" s="4">
        <v>42924</v>
      </c>
      <c r="B9" s="10">
        <f t="shared" si="0"/>
        <v>10</v>
      </c>
      <c r="C9" s="27">
        <v>9</v>
      </c>
      <c r="D9" s="27"/>
      <c r="E9" s="28">
        <v>1</v>
      </c>
      <c r="F9" s="13">
        <f t="shared" si="1"/>
        <v>0</v>
      </c>
      <c r="G9" s="27"/>
      <c r="H9" s="27"/>
      <c r="I9" s="28"/>
      <c r="J9" s="29">
        <v>1</v>
      </c>
      <c r="K9" s="30"/>
      <c r="L9" s="31"/>
      <c r="M9" s="32"/>
      <c r="N9" s="33"/>
      <c r="O9" s="34">
        <f t="shared" si="2"/>
        <v>11</v>
      </c>
    </row>
    <row r="10" spans="1:15" ht="16.5" x14ac:dyDescent="0.3">
      <c r="A10" s="4">
        <v>42925</v>
      </c>
      <c r="B10" s="10">
        <f t="shared" si="0"/>
        <v>0</v>
      </c>
      <c r="C10" s="27"/>
      <c r="D10" s="27"/>
      <c r="E10" s="28"/>
      <c r="F10" s="13">
        <f t="shared" si="1"/>
        <v>0</v>
      </c>
      <c r="G10" s="27"/>
      <c r="H10" s="27"/>
      <c r="I10" s="28"/>
      <c r="J10" s="29"/>
      <c r="K10" s="30"/>
      <c r="L10" s="31"/>
      <c r="M10" s="32"/>
      <c r="N10" s="33"/>
      <c r="O10" s="34">
        <f t="shared" si="2"/>
        <v>0</v>
      </c>
    </row>
    <row r="11" spans="1:15" ht="16.5" x14ac:dyDescent="0.3">
      <c r="A11" s="4">
        <v>42926</v>
      </c>
      <c r="B11" s="10">
        <f t="shared" si="0"/>
        <v>69</v>
      </c>
      <c r="C11" s="27">
        <v>34</v>
      </c>
      <c r="D11" s="27">
        <v>26</v>
      </c>
      <c r="E11" s="28">
        <v>9</v>
      </c>
      <c r="F11" s="13">
        <f t="shared" si="1"/>
        <v>7</v>
      </c>
      <c r="G11" s="27">
        <v>5</v>
      </c>
      <c r="H11" s="27">
        <v>2</v>
      </c>
      <c r="I11" s="28"/>
      <c r="J11" s="29">
        <v>12</v>
      </c>
      <c r="K11" s="30">
        <v>4</v>
      </c>
      <c r="L11" s="31"/>
      <c r="M11" s="32"/>
      <c r="N11" s="33"/>
      <c r="O11" s="34">
        <f t="shared" si="2"/>
        <v>92</v>
      </c>
    </row>
    <row r="12" spans="1:15" ht="16.5" x14ac:dyDescent="0.3">
      <c r="A12" s="4">
        <v>42927</v>
      </c>
      <c r="B12" s="10">
        <f t="shared" si="0"/>
        <v>75</v>
      </c>
      <c r="C12" s="27">
        <v>35</v>
      </c>
      <c r="D12" s="27">
        <v>26</v>
      </c>
      <c r="E12" s="28">
        <v>14</v>
      </c>
      <c r="F12" s="13">
        <f t="shared" si="1"/>
        <v>4</v>
      </c>
      <c r="G12" s="27">
        <v>2</v>
      </c>
      <c r="H12" s="27">
        <v>2</v>
      </c>
      <c r="I12" s="28"/>
      <c r="J12" s="29">
        <v>10</v>
      </c>
      <c r="K12" s="30">
        <v>4</v>
      </c>
      <c r="L12" s="31">
        <v>1</v>
      </c>
      <c r="M12" s="32">
        <v>3</v>
      </c>
      <c r="N12" s="33"/>
      <c r="O12" s="34">
        <f t="shared" si="2"/>
        <v>97</v>
      </c>
    </row>
    <row r="13" spans="1:15" ht="16.5" x14ac:dyDescent="0.3">
      <c r="A13" s="4">
        <v>42928</v>
      </c>
      <c r="B13" s="10">
        <f t="shared" si="0"/>
        <v>69</v>
      </c>
      <c r="C13" s="27">
        <v>33</v>
      </c>
      <c r="D13" s="27">
        <v>24</v>
      </c>
      <c r="E13" s="28">
        <v>12</v>
      </c>
      <c r="F13" s="13">
        <f t="shared" si="1"/>
        <v>14</v>
      </c>
      <c r="G13" s="27">
        <v>7</v>
      </c>
      <c r="H13" s="27">
        <v>7</v>
      </c>
      <c r="I13" s="28"/>
      <c r="J13" s="29">
        <v>2</v>
      </c>
      <c r="K13" s="30">
        <v>3</v>
      </c>
      <c r="L13" s="31">
        <v>1</v>
      </c>
      <c r="M13" s="32"/>
      <c r="N13" s="33"/>
      <c r="O13" s="34">
        <f t="shared" si="2"/>
        <v>89</v>
      </c>
    </row>
    <row r="14" spans="1:15" ht="16.5" x14ac:dyDescent="0.3">
      <c r="A14" s="4">
        <v>42929</v>
      </c>
      <c r="B14" s="10">
        <f t="shared" si="0"/>
        <v>67</v>
      </c>
      <c r="C14" s="27">
        <v>28</v>
      </c>
      <c r="D14" s="27">
        <v>22</v>
      </c>
      <c r="E14" s="28">
        <v>17</v>
      </c>
      <c r="F14" s="13">
        <f t="shared" si="1"/>
        <v>12</v>
      </c>
      <c r="G14" s="27">
        <v>10</v>
      </c>
      <c r="H14" s="27">
        <v>2</v>
      </c>
      <c r="I14" s="28"/>
      <c r="J14" s="29">
        <v>2</v>
      </c>
      <c r="K14" s="30">
        <v>2</v>
      </c>
      <c r="L14" s="31">
        <v>2</v>
      </c>
      <c r="M14" s="32">
        <v>1</v>
      </c>
      <c r="N14" s="33"/>
      <c r="O14" s="34">
        <f t="shared" si="2"/>
        <v>86</v>
      </c>
    </row>
    <row r="15" spans="1:15" ht="16.5" x14ac:dyDescent="0.3">
      <c r="A15" s="4">
        <v>42930</v>
      </c>
      <c r="B15" s="10">
        <f t="shared" si="0"/>
        <v>0</v>
      </c>
      <c r="C15" s="27"/>
      <c r="D15" s="27"/>
      <c r="E15" s="28"/>
      <c r="F15" s="13">
        <f t="shared" si="1"/>
        <v>0</v>
      </c>
      <c r="G15" s="27"/>
      <c r="H15" s="27"/>
      <c r="I15" s="28"/>
      <c r="J15" s="29"/>
      <c r="K15" s="30"/>
      <c r="L15" s="31"/>
      <c r="M15" s="32"/>
      <c r="N15" s="33"/>
      <c r="O15" s="34">
        <f t="shared" si="2"/>
        <v>0</v>
      </c>
    </row>
    <row r="16" spans="1:15" ht="16.5" x14ac:dyDescent="0.3">
      <c r="A16" s="4">
        <v>42931</v>
      </c>
      <c r="B16" s="10">
        <f t="shared" si="0"/>
        <v>4</v>
      </c>
      <c r="C16" s="27">
        <v>4</v>
      </c>
      <c r="D16" s="27"/>
      <c r="E16" s="28"/>
      <c r="F16" s="13">
        <f t="shared" si="1"/>
        <v>0</v>
      </c>
      <c r="G16" s="27"/>
      <c r="H16" s="27"/>
      <c r="I16" s="28"/>
      <c r="J16" s="29">
        <v>1</v>
      </c>
      <c r="K16" s="30"/>
      <c r="L16" s="31"/>
      <c r="M16" s="32">
        <v>2</v>
      </c>
      <c r="N16" s="33"/>
      <c r="O16" s="34">
        <f t="shared" si="2"/>
        <v>7</v>
      </c>
    </row>
    <row r="17" spans="1:15" ht="16.5" x14ac:dyDescent="0.3">
      <c r="A17" s="4">
        <v>42932</v>
      </c>
      <c r="B17" s="10">
        <f t="shared" si="0"/>
        <v>0</v>
      </c>
      <c r="C17" s="27"/>
      <c r="D17" s="27"/>
      <c r="E17" s="28"/>
      <c r="F17" s="13">
        <f t="shared" si="1"/>
        <v>0</v>
      </c>
      <c r="G17" s="27"/>
      <c r="H17" s="27"/>
      <c r="I17" s="28"/>
      <c r="J17" s="29"/>
      <c r="K17" s="30"/>
      <c r="L17" s="31"/>
      <c r="M17" s="32"/>
      <c r="N17" s="33"/>
      <c r="O17" s="34">
        <f t="shared" si="2"/>
        <v>0</v>
      </c>
    </row>
    <row r="18" spans="1:15" ht="16.5" x14ac:dyDescent="0.3">
      <c r="A18" s="4">
        <v>42933</v>
      </c>
      <c r="B18" s="10">
        <f t="shared" si="0"/>
        <v>61</v>
      </c>
      <c r="C18" s="27">
        <v>29</v>
      </c>
      <c r="D18" s="27">
        <v>16</v>
      </c>
      <c r="E18" s="28">
        <v>16</v>
      </c>
      <c r="F18" s="13">
        <f t="shared" si="1"/>
        <v>10</v>
      </c>
      <c r="G18" s="27">
        <v>6</v>
      </c>
      <c r="H18" s="27">
        <v>4</v>
      </c>
      <c r="I18" s="28"/>
      <c r="J18" s="29">
        <v>5</v>
      </c>
      <c r="K18" s="30">
        <v>3</v>
      </c>
      <c r="L18" s="31"/>
      <c r="M18" s="32">
        <v>1</v>
      </c>
      <c r="N18" s="33"/>
      <c r="O18" s="34">
        <f t="shared" si="2"/>
        <v>80</v>
      </c>
    </row>
    <row r="19" spans="1:15" ht="16.5" x14ac:dyDescent="0.3">
      <c r="A19" s="4">
        <v>42934</v>
      </c>
      <c r="B19" s="10">
        <f t="shared" si="0"/>
        <v>56</v>
      </c>
      <c r="C19" s="27">
        <v>28</v>
      </c>
      <c r="D19" s="27">
        <v>16</v>
      </c>
      <c r="E19" s="28">
        <v>12</v>
      </c>
      <c r="F19" s="13">
        <f t="shared" si="1"/>
        <v>5</v>
      </c>
      <c r="G19" s="27">
        <v>3</v>
      </c>
      <c r="H19" s="27">
        <v>2</v>
      </c>
      <c r="I19" s="28"/>
      <c r="J19" s="29">
        <v>7</v>
      </c>
      <c r="K19" s="30">
        <v>4</v>
      </c>
      <c r="L19" s="31"/>
      <c r="M19" s="32">
        <v>2</v>
      </c>
      <c r="N19" s="33"/>
      <c r="O19" s="34">
        <f t="shared" si="2"/>
        <v>74</v>
      </c>
    </row>
    <row r="20" spans="1:15" ht="16.5" x14ac:dyDescent="0.3">
      <c r="A20" s="4">
        <v>42935</v>
      </c>
      <c r="B20" s="10">
        <f t="shared" si="0"/>
        <v>56</v>
      </c>
      <c r="C20" s="27">
        <v>24</v>
      </c>
      <c r="D20" s="27">
        <v>21</v>
      </c>
      <c r="E20" s="28">
        <v>11</v>
      </c>
      <c r="F20" s="13">
        <f t="shared" si="1"/>
        <v>7</v>
      </c>
      <c r="G20" s="27">
        <v>5</v>
      </c>
      <c r="H20" s="27">
        <v>2</v>
      </c>
      <c r="I20" s="28"/>
      <c r="J20" s="29">
        <v>8</v>
      </c>
      <c r="K20" s="30">
        <v>2</v>
      </c>
      <c r="L20" s="31">
        <v>1</v>
      </c>
      <c r="M20" s="32">
        <v>1</v>
      </c>
      <c r="N20" s="33"/>
      <c r="O20" s="34">
        <f t="shared" si="2"/>
        <v>75</v>
      </c>
    </row>
    <row r="21" spans="1:15" ht="16.5" x14ac:dyDescent="0.3">
      <c r="A21" s="4">
        <v>42936</v>
      </c>
      <c r="B21" s="10">
        <f t="shared" si="0"/>
        <v>56</v>
      </c>
      <c r="C21" s="27">
        <v>27</v>
      </c>
      <c r="D21" s="27">
        <v>19</v>
      </c>
      <c r="E21" s="28">
        <v>10</v>
      </c>
      <c r="F21" s="13">
        <f t="shared" si="1"/>
        <v>8</v>
      </c>
      <c r="G21" s="27">
        <v>5</v>
      </c>
      <c r="H21" s="27">
        <v>3</v>
      </c>
      <c r="I21" s="28"/>
      <c r="J21" s="29">
        <v>17</v>
      </c>
      <c r="K21" s="30">
        <v>3</v>
      </c>
      <c r="L21" s="31"/>
      <c r="M21" s="32"/>
      <c r="N21" s="33"/>
      <c r="O21" s="34">
        <f t="shared" si="2"/>
        <v>84</v>
      </c>
    </row>
    <row r="22" spans="1:15" ht="16.5" x14ac:dyDescent="0.3">
      <c r="A22" s="4">
        <v>42937</v>
      </c>
      <c r="B22" s="10">
        <f t="shared" si="0"/>
        <v>56</v>
      </c>
      <c r="C22" s="27">
        <v>23</v>
      </c>
      <c r="D22" s="27">
        <v>20</v>
      </c>
      <c r="E22" s="28">
        <v>13</v>
      </c>
      <c r="F22" s="13">
        <f t="shared" si="1"/>
        <v>7</v>
      </c>
      <c r="G22" s="27">
        <v>6</v>
      </c>
      <c r="H22" s="27">
        <v>1</v>
      </c>
      <c r="I22" s="28"/>
      <c r="J22" s="29">
        <v>10</v>
      </c>
      <c r="K22" s="30">
        <v>1</v>
      </c>
      <c r="L22" s="31">
        <v>1</v>
      </c>
      <c r="M22" s="32"/>
      <c r="N22" s="33"/>
      <c r="O22" s="34">
        <f t="shared" si="2"/>
        <v>75</v>
      </c>
    </row>
    <row r="23" spans="1:15" ht="16.5" x14ac:dyDescent="0.3">
      <c r="A23" s="4">
        <v>42938</v>
      </c>
      <c r="B23" s="10">
        <f t="shared" si="0"/>
        <v>10</v>
      </c>
      <c r="C23" s="27">
        <v>8</v>
      </c>
      <c r="D23" s="27">
        <v>1</v>
      </c>
      <c r="E23" s="28">
        <v>1</v>
      </c>
      <c r="F23" s="13">
        <f t="shared" si="1"/>
        <v>1</v>
      </c>
      <c r="G23" s="27">
        <v>1</v>
      </c>
      <c r="H23" s="27"/>
      <c r="I23" s="28"/>
      <c r="J23" s="29"/>
      <c r="K23" s="30"/>
      <c r="L23" s="31"/>
      <c r="M23" s="32"/>
      <c r="N23" s="33"/>
      <c r="O23" s="34">
        <f t="shared" si="2"/>
        <v>11</v>
      </c>
    </row>
    <row r="24" spans="1:15" ht="16.5" x14ac:dyDescent="0.3">
      <c r="A24" s="4">
        <v>42939</v>
      </c>
      <c r="B24" s="10">
        <f t="shared" si="0"/>
        <v>0</v>
      </c>
      <c r="C24" s="27"/>
      <c r="D24" s="27"/>
      <c r="E24" s="28"/>
      <c r="F24" s="13">
        <f t="shared" si="1"/>
        <v>0</v>
      </c>
      <c r="G24" s="27"/>
      <c r="H24" s="27"/>
      <c r="I24" s="28"/>
      <c r="J24" s="29"/>
      <c r="K24" s="30"/>
      <c r="L24" s="31"/>
      <c r="M24" s="32"/>
      <c r="N24" s="33"/>
      <c r="O24" s="34">
        <f t="shared" si="2"/>
        <v>0</v>
      </c>
    </row>
    <row r="25" spans="1:15" ht="16.5" x14ac:dyDescent="0.3">
      <c r="A25" s="4">
        <v>42940</v>
      </c>
      <c r="B25" s="10">
        <f t="shared" si="0"/>
        <v>57</v>
      </c>
      <c r="C25" s="27">
        <v>27</v>
      </c>
      <c r="D25" s="27">
        <v>20</v>
      </c>
      <c r="E25" s="28">
        <v>10</v>
      </c>
      <c r="F25" s="13">
        <f t="shared" si="1"/>
        <v>8</v>
      </c>
      <c r="G25" s="27">
        <v>3</v>
      </c>
      <c r="H25" s="27">
        <v>5</v>
      </c>
      <c r="I25" s="28"/>
      <c r="J25" s="29">
        <v>6</v>
      </c>
      <c r="K25" s="30">
        <v>5</v>
      </c>
      <c r="L25" s="31"/>
      <c r="M25" s="32">
        <v>1</v>
      </c>
      <c r="N25" s="33"/>
      <c r="O25" s="34">
        <f t="shared" si="2"/>
        <v>77</v>
      </c>
    </row>
    <row r="26" spans="1:15" ht="16.5" x14ac:dyDescent="0.3">
      <c r="A26" s="4">
        <v>42941</v>
      </c>
      <c r="B26" s="10">
        <f t="shared" si="0"/>
        <v>56</v>
      </c>
      <c r="C26" s="27">
        <v>28</v>
      </c>
      <c r="D26" s="27">
        <v>20</v>
      </c>
      <c r="E26" s="28">
        <v>8</v>
      </c>
      <c r="F26" s="13">
        <f t="shared" si="1"/>
        <v>9</v>
      </c>
      <c r="G26" s="27">
        <v>8</v>
      </c>
      <c r="H26" s="27">
        <v>1</v>
      </c>
      <c r="I26" s="28"/>
      <c r="J26" s="29">
        <v>9</v>
      </c>
      <c r="K26" s="30">
        <v>11</v>
      </c>
      <c r="L26" s="31"/>
      <c r="M26" s="32">
        <v>1</v>
      </c>
      <c r="N26" s="33"/>
      <c r="O26" s="34">
        <f t="shared" si="2"/>
        <v>86</v>
      </c>
    </row>
    <row r="27" spans="1:15" ht="16.5" x14ac:dyDescent="0.3">
      <c r="A27" s="4">
        <v>42942</v>
      </c>
      <c r="B27" s="10">
        <f t="shared" si="0"/>
        <v>51</v>
      </c>
      <c r="C27" s="27">
        <v>23</v>
      </c>
      <c r="D27" s="27">
        <v>20</v>
      </c>
      <c r="E27" s="28">
        <v>8</v>
      </c>
      <c r="F27" s="13">
        <f t="shared" si="1"/>
        <v>13</v>
      </c>
      <c r="G27" s="27">
        <v>9</v>
      </c>
      <c r="H27" s="27">
        <v>4</v>
      </c>
      <c r="I27" s="28"/>
      <c r="J27" s="29">
        <v>8</v>
      </c>
      <c r="K27" s="30">
        <v>4</v>
      </c>
      <c r="L27" s="31">
        <v>1</v>
      </c>
      <c r="M27" s="32">
        <v>1</v>
      </c>
      <c r="N27" s="33"/>
      <c r="O27" s="34">
        <f t="shared" si="2"/>
        <v>78</v>
      </c>
    </row>
    <row r="28" spans="1:15" ht="16.5" x14ac:dyDescent="0.3">
      <c r="A28" s="4">
        <v>42943</v>
      </c>
      <c r="B28" s="10">
        <f t="shared" si="0"/>
        <v>65</v>
      </c>
      <c r="C28" s="27">
        <v>30</v>
      </c>
      <c r="D28" s="27">
        <v>24</v>
      </c>
      <c r="E28" s="28">
        <v>11</v>
      </c>
      <c r="F28" s="13">
        <f t="shared" si="1"/>
        <v>5</v>
      </c>
      <c r="G28" s="27">
        <v>3</v>
      </c>
      <c r="H28" s="27">
        <v>2</v>
      </c>
      <c r="I28" s="28"/>
      <c r="J28" s="29">
        <v>9</v>
      </c>
      <c r="K28" s="30">
        <v>1</v>
      </c>
      <c r="L28" s="31"/>
      <c r="M28" s="32">
        <v>1</v>
      </c>
      <c r="N28" s="33"/>
      <c r="O28" s="34">
        <f t="shared" si="2"/>
        <v>81</v>
      </c>
    </row>
    <row r="29" spans="1:15" ht="16.5" x14ac:dyDescent="0.3">
      <c r="A29" s="4">
        <v>42944</v>
      </c>
      <c r="B29" s="10">
        <f t="shared" si="0"/>
        <v>57</v>
      </c>
      <c r="C29" s="27">
        <v>21</v>
      </c>
      <c r="D29" s="27">
        <v>23</v>
      </c>
      <c r="E29" s="28">
        <v>13</v>
      </c>
      <c r="F29" s="13">
        <f t="shared" si="1"/>
        <v>8</v>
      </c>
      <c r="G29" s="27">
        <v>5</v>
      </c>
      <c r="H29" s="27">
        <v>3</v>
      </c>
      <c r="I29" s="28"/>
      <c r="J29" s="29">
        <v>9</v>
      </c>
      <c r="K29" s="30">
        <v>3</v>
      </c>
      <c r="L29" s="31">
        <v>1</v>
      </c>
      <c r="M29" s="32">
        <v>2</v>
      </c>
      <c r="N29" s="33"/>
      <c r="O29" s="34">
        <f t="shared" si="2"/>
        <v>80</v>
      </c>
    </row>
    <row r="30" spans="1:15" ht="16.5" x14ac:dyDescent="0.3">
      <c r="A30" s="4">
        <v>42945</v>
      </c>
      <c r="B30" s="10">
        <f t="shared" si="0"/>
        <v>7</v>
      </c>
      <c r="C30" s="27">
        <v>7</v>
      </c>
      <c r="D30" s="27"/>
      <c r="E30" s="28"/>
      <c r="F30" s="13">
        <f t="shared" si="1"/>
        <v>0</v>
      </c>
      <c r="G30" s="27"/>
      <c r="H30" s="27"/>
      <c r="I30" s="28"/>
      <c r="J30" s="29"/>
      <c r="K30" s="30"/>
      <c r="L30" s="31"/>
      <c r="M30" s="32"/>
      <c r="N30" s="33"/>
      <c r="O30" s="34">
        <f t="shared" si="2"/>
        <v>7</v>
      </c>
    </row>
    <row r="31" spans="1:15" ht="16.5" x14ac:dyDescent="0.3">
      <c r="A31" s="4">
        <v>42946</v>
      </c>
      <c r="B31" s="10">
        <f t="shared" si="0"/>
        <v>0</v>
      </c>
      <c r="C31" s="27"/>
      <c r="D31" s="27"/>
      <c r="E31" s="28"/>
      <c r="F31" s="13">
        <f t="shared" si="1"/>
        <v>0</v>
      </c>
      <c r="G31" s="27"/>
      <c r="H31" s="27"/>
      <c r="I31" s="28"/>
      <c r="J31" s="29"/>
      <c r="K31" s="30"/>
      <c r="L31" s="31"/>
      <c r="M31" s="32"/>
      <c r="N31" s="33"/>
      <c r="O31" s="34">
        <f t="shared" si="2"/>
        <v>0</v>
      </c>
    </row>
    <row r="32" spans="1:15" ht="17.25" thickBot="1" x14ac:dyDescent="0.35">
      <c r="A32" s="4">
        <v>42947</v>
      </c>
      <c r="B32" s="35">
        <f t="shared" si="0"/>
        <v>49</v>
      </c>
      <c r="C32" s="36">
        <v>23</v>
      </c>
      <c r="D32" s="36">
        <v>15</v>
      </c>
      <c r="E32" s="37">
        <v>11</v>
      </c>
      <c r="F32" s="38">
        <f t="shared" si="1"/>
        <v>6</v>
      </c>
      <c r="G32" s="36">
        <v>3</v>
      </c>
      <c r="H32" s="36">
        <v>3</v>
      </c>
      <c r="I32" s="37"/>
      <c r="J32" s="29">
        <v>12</v>
      </c>
      <c r="K32" s="30">
        <v>1</v>
      </c>
      <c r="L32" s="31">
        <v>2</v>
      </c>
      <c r="M32" s="32"/>
      <c r="N32" s="33"/>
      <c r="O32" s="39">
        <f t="shared" si="2"/>
        <v>70</v>
      </c>
    </row>
    <row r="33" spans="1:15" ht="17.25" thickBot="1" x14ac:dyDescent="0.35">
      <c r="A33" s="26" t="s">
        <v>10</v>
      </c>
      <c r="B33" s="17">
        <f>SUM(B2:B32)</f>
        <v>1251</v>
      </c>
      <c r="C33" s="17">
        <f t="shared" ref="C33:E33" si="3">SUM(C2:C32)</f>
        <v>578</v>
      </c>
      <c r="D33" s="17">
        <f t="shared" si="3"/>
        <v>426</v>
      </c>
      <c r="E33" s="17">
        <f t="shared" si="3"/>
        <v>247</v>
      </c>
      <c r="F33" s="18">
        <f>SUM(F2:F32)</f>
        <v>174</v>
      </c>
      <c r="G33" s="18">
        <f t="shared" ref="G33:I33" si="4">SUM(G2:G32)</f>
        <v>118</v>
      </c>
      <c r="H33" s="18">
        <f t="shared" si="4"/>
        <v>55</v>
      </c>
      <c r="I33" s="18">
        <f t="shared" si="4"/>
        <v>1</v>
      </c>
      <c r="J33" s="11">
        <f>SUM(J2:J32)</f>
        <v>174</v>
      </c>
      <c r="K33" s="11">
        <f t="shared" ref="K33:M33" si="5">SUM(K2:K32)</f>
        <v>74</v>
      </c>
      <c r="L33" s="11">
        <f t="shared" si="5"/>
        <v>15</v>
      </c>
      <c r="M33" s="11">
        <f t="shared" si="5"/>
        <v>24</v>
      </c>
      <c r="N33" s="33"/>
      <c r="O33" s="40">
        <f>SUM(O2:O32)</f>
        <v>1712</v>
      </c>
    </row>
  </sheetData>
  <conditionalFormatting sqref="B4:B8 B11:B14 B18:B22 B25:B29 B32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A1:O33"/>
  <sheetViews>
    <sheetView showGridLines="0" showRowColHeaders="0" zoomScaleNormal="100" workbookViewId="0">
      <pane ySplit="1" topLeftCell="A11" activePane="bottomLeft" state="frozen"/>
      <selection pane="bottomLeft" activeCell="D32" sqref="D32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4">
        <v>42948</v>
      </c>
      <c r="B2" s="10">
        <f>C2+D2+E2</f>
        <v>63</v>
      </c>
      <c r="C2" s="27">
        <v>31</v>
      </c>
      <c r="D2" s="27">
        <v>18</v>
      </c>
      <c r="E2" s="28">
        <v>14</v>
      </c>
      <c r="F2" s="13">
        <f>G2+H2+I2</f>
        <v>6</v>
      </c>
      <c r="G2" s="27">
        <v>4</v>
      </c>
      <c r="H2" s="27">
        <v>2</v>
      </c>
      <c r="I2" s="28"/>
      <c r="J2" s="29">
        <v>6</v>
      </c>
      <c r="K2" s="30">
        <v>4</v>
      </c>
      <c r="L2" s="31"/>
      <c r="M2" s="32">
        <v>2</v>
      </c>
      <c r="N2" s="33"/>
      <c r="O2" s="34">
        <f>B2+F2+J2+K2+L2+M2</f>
        <v>81</v>
      </c>
    </row>
    <row r="3" spans="1:15" ht="16.5" x14ac:dyDescent="0.3">
      <c r="A3" s="4">
        <v>42949</v>
      </c>
      <c r="B3" s="10">
        <f t="shared" ref="B3:B32" si="0">C3+D3+E3</f>
        <v>53</v>
      </c>
      <c r="C3" s="27">
        <v>25</v>
      </c>
      <c r="D3" s="27">
        <v>17</v>
      </c>
      <c r="E3" s="28">
        <v>11</v>
      </c>
      <c r="F3" s="13">
        <f t="shared" ref="F3:F32" si="1">G3+H3+I3</f>
        <v>5</v>
      </c>
      <c r="G3" s="27">
        <v>2</v>
      </c>
      <c r="H3" s="27">
        <v>3</v>
      </c>
      <c r="I3" s="28"/>
      <c r="J3" s="29">
        <v>8</v>
      </c>
      <c r="K3" s="30">
        <v>1</v>
      </c>
      <c r="L3" s="31">
        <v>1</v>
      </c>
      <c r="M3" s="32">
        <v>2</v>
      </c>
      <c r="N3" s="33"/>
      <c r="O3" s="34">
        <f t="shared" ref="O3:O32" si="2">B3+F3+J3+K3+L3+M3</f>
        <v>70</v>
      </c>
    </row>
    <row r="4" spans="1:15" ht="16.5" x14ac:dyDescent="0.3">
      <c r="A4" s="4">
        <v>42950</v>
      </c>
      <c r="B4" s="10">
        <f t="shared" si="0"/>
        <v>52</v>
      </c>
      <c r="C4" s="27">
        <v>20</v>
      </c>
      <c r="D4" s="27">
        <v>19</v>
      </c>
      <c r="E4" s="28">
        <v>13</v>
      </c>
      <c r="F4" s="13">
        <f t="shared" si="1"/>
        <v>8</v>
      </c>
      <c r="G4" s="27">
        <v>7</v>
      </c>
      <c r="H4" s="27">
        <v>1</v>
      </c>
      <c r="I4" s="28"/>
      <c r="J4" s="29">
        <v>12</v>
      </c>
      <c r="K4" s="30">
        <v>6</v>
      </c>
      <c r="L4" s="31">
        <v>1</v>
      </c>
      <c r="M4" s="32">
        <v>3</v>
      </c>
      <c r="N4" s="33"/>
      <c r="O4" s="34">
        <f t="shared" si="2"/>
        <v>82</v>
      </c>
    </row>
    <row r="5" spans="1:15" ht="16.5" x14ac:dyDescent="0.3">
      <c r="A5" s="4">
        <v>42951</v>
      </c>
      <c r="B5" s="10">
        <f t="shared" si="0"/>
        <v>67</v>
      </c>
      <c r="C5" s="27">
        <v>32</v>
      </c>
      <c r="D5" s="27">
        <v>23</v>
      </c>
      <c r="E5" s="28">
        <v>12</v>
      </c>
      <c r="F5" s="13">
        <f t="shared" si="1"/>
        <v>3</v>
      </c>
      <c r="G5" s="27">
        <v>2</v>
      </c>
      <c r="H5" s="27">
        <v>1</v>
      </c>
      <c r="I5" s="28"/>
      <c r="J5" s="29">
        <v>15</v>
      </c>
      <c r="K5" s="30"/>
      <c r="L5" s="31"/>
      <c r="M5" s="32">
        <v>1</v>
      </c>
      <c r="N5" s="33"/>
      <c r="O5" s="34">
        <f t="shared" si="2"/>
        <v>86</v>
      </c>
    </row>
    <row r="6" spans="1:15" ht="16.5" x14ac:dyDescent="0.3">
      <c r="A6" s="4">
        <v>42952</v>
      </c>
      <c r="B6" s="10">
        <f t="shared" si="0"/>
        <v>5</v>
      </c>
      <c r="C6" s="27">
        <v>5</v>
      </c>
      <c r="D6" s="27"/>
      <c r="E6" s="28"/>
      <c r="F6" s="13">
        <f t="shared" si="1"/>
        <v>1</v>
      </c>
      <c r="G6" s="27">
        <v>1</v>
      </c>
      <c r="H6" s="27"/>
      <c r="I6" s="28"/>
      <c r="J6" s="29"/>
      <c r="K6" s="30"/>
      <c r="L6" s="31"/>
      <c r="M6" s="32"/>
      <c r="N6" s="33"/>
      <c r="O6" s="34">
        <f t="shared" si="2"/>
        <v>6</v>
      </c>
    </row>
    <row r="7" spans="1:15" ht="16.5" x14ac:dyDescent="0.3">
      <c r="A7" s="4">
        <v>42953</v>
      </c>
      <c r="B7" s="10">
        <f t="shared" si="0"/>
        <v>0</v>
      </c>
      <c r="C7" s="27"/>
      <c r="D7" s="27"/>
      <c r="E7" s="28"/>
      <c r="F7" s="13">
        <f t="shared" si="1"/>
        <v>0</v>
      </c>
      <c r="G7" s="27"/>
      <c r="H7" s="27"/>
      <c r="I7" s="28"/>
      <c r="J7" s="29"/>
      <c r="K7" s="30"/>
      <c r="L7" s="31"/>
      <c r="M7" s="32"/>
      <c r="N7" s="33"/>
      <c r="O7" s="34">
        <f t="shared" si="2"/>
        <v>0</v>
      </c>
    </row>
    <row r="8" spans="1:15" ht="16.5" x14ac:dyDescent="0.3">
      <c r="A8" s="4">
        <v>42954</v>
      </c>
      <c r="B8" s="10">
        <f t="shared" si="0"/>
        <v>46</v>
      </c>
      <c r="C8" s="27">
        <v>23</v>
      </c>
      <c r="D8" s="27">
        <v>17</v>
      </c>
      <c r="E8" s="28">
        <v>6</v>
      </c>
      <c r="F8" s="13">
        <f t="shared" si="1"/>
        <v>6</v>
      </c>
      <c r="G8" s="27">
        <v>5</v>
      </c>
      <c r="H8" s="27">
        <v>1</v>
      </c>
      <c r="I8" s="28"/>
      <c r="J8" s="29">
        <v>7</v>
      </c>
      <c r="K8" s="30">
        <v>2</v>
      </c>
      <c r="L8" s="31"/>
      <c r="M8" s="32"/>
      <c r="N8" s="33"/>
      <c r="O8" s="34">
        <f t="shared" si="2"/>
        <v>61</v>
      </c>
    </row>
    <row r="9" spans="1:15" ht="16.5" x14ac:dyDescent="0.3">
      <c r="A9" s="4">
        <v>42955</v>
      </c>
      <c r="B9" s="10">
        <f t="shared" si="0"/>
        <v>43</v>
      </c>
      <c r="C9" s="27">
        <v>19</v>
      </c>
      <c r="D9" s="27">
        <v>15</v>
      </c>
      <c r="E9" s="28">
        <v>9</v>
      </c>
      <c r="F9" s="13">
        <f t="shared" si="1"/>
        <v>2</v>
      </c>
      <c r="G9" s="27">
        <v>2</v>
      </c>
      <c r="H9" s="27"/>
      <c r="I9" s="28"/>
      <c r="J9" s="29">
        <v>14</v>
      </c>
      <c r="K9" s="30">
        <v>6</v>
      </c>
      <c r="L9" s="31">
        <v>2</v>
      </c>
      <c r="M9" s="32">
        <v>1</v>
      </c>
      <c r="N9" s="33"/>
      <c r="O9" s="34">
        <f t="shared" si="2"/>
        <v>68</v>
      </c>
    </row>
    <row r="10" spans="1:15" ht="16.5" x14ac:dyDescent="0.3">
      <c r="A10" s="4">
        <v>42956</v>
      </c>
      <c r="B10" s="10">
        <f t="shared" si="0"/>
        <v>50</v>
      </c>
      <c r="C10" s="27">
        <v>23</v>
      </c>
      <c r="D10" s="27">
        <v>17</v>
      </c>
      <c r="E10" s="28">
        <v>10</v>
      </c>
      <c r="F10" s="13">
        <f t="shared" si="1"/>
        <v>6</v>
      </c>
      <c r="G10" s="27">
        <v>4</v>
      </c>
      <c r="H10" s="27">
        <v>2</v>
      </c>
      <c r="I10" s="28"/>
      <c r="J10" s="29">
        <v>10</v>
      </c>
      <c r="K10" s="30">
        <v>3</v>
      </c>
      <c r="L10" s="31">
        <v>1</v>
      </c>
      <c r="M10" s="32">
        <v>1</v>
      </c>
      <c r="N10" s="33"/>
      <c r="O10" s="34">
        <f t="shared" si="2"/>
        <v>71</v>
      </c>
    </row>
    <row r="11" spans="1:15" ht="16.5" x14ac:dyDescent="0.3">
      <c r="A11" s="4">
        <v>42957</v>
      </c>
      <c r="B11" s="10">
        <f t="shared" si="0"/>
        <v>40</v>
      </c>
      <c r="C11" s="27">
        <v>17</v>
      </c>
      <c r="D11" s="27">
        <v>15</v>
      </c>
      <c r="E11" s="28">
        <v>8</v>
      </c>
      <c r="F11" s="13">
        <f t="shared" si="1"/>
        <v>10</v>
      </c>
      <c r="G11" s="27">
        <v>8</v>
      </c>
      <c r="H11" s="27">
        <v>2</v>
      </c>
      <c r="I11" s="28"/>
      <c r="J11" s="29">
        <v>9</v>
      </c>
      <c r="K11" s="30">
        <v>5</v>
      </c>
      <c r="L11" s="31"/>
      <c r="M11" s="32">
        <v>1</v>
      </c>
      <c r="N11" s="33"/>
      <c r="O11" s="34">
        <f t="shared" si="2"/>
        <v>65</v>
      </c>
    </row>
    <row r="12" spans="1:15" ht="16.5" x14ac:dyDescent="0.3">
      <c r="A12" s="4">
        <v>42958</v>
      </c>
      <c r="B12" s="10">
        <f t="shared" si="0"/>
        <v>37</v>
      </c>
      <c r="C12" s="27">
        <v>14</v>
      </c>
      <c r="D12" s="27">
        <v>13</v>
      </c>
      <c r="E12" s="28">
        <v>10</v>
      </c>
      <c r="F12" s="13">
        <f t="shared" si="1"/>
        <v>6</v>
      </c>
      <c r="G12" s="27">
        <v>6</v>
      </c>
      <c r="H12" s="27"/>
      <c r="I12" s="28"/>
      <c r="J12" s="29">
        <v>13</v>
      </c>
      <c r="K12" s="30">
        <v>5</v>
      </c>
      <c r="L12" s="31"/>
      <c r="M12" s="32">
        <v>1</v>
      </c>
      <c r="N12" s="33"/>
      <c r="O12" s="34">
        <f t="shared" si="2"/>
        <v>62</v>
      </c>
    </row>
    <row r="13" spans="1:15" ht="16.5" x14ac:dyDescent="0.3">
      <c r="A13" s="4">
        <v>42959</v>
      </c>
      <c r="B13" s="10">
        <f t="shared" si="0"/>
        <v>5</v>
      </c>
      <c r="C13" s="27">
        <v>4</v>
      </c>
      <c r="D13" s="27">
        <v>1</v>
      </c>
      <c r="E13" s="28"/>
      <c r="F13" s="13">
        <f t="shared" si="1"/>
        <v>0</v>
      </c>
      <c r="G13" s="27"/>
      <c r="H13" s="27"/>
      <c r="I13" s="28"/>
      <c r="J13" s="29"/>
      <c r="K13" s="30"/>
      <c r="L13" s="31"/>
      <c r="M13" s="32"/>
      <c r="N13" s="33"/>
      <c r="O13" s="34">
        <f t="shared" si="2"/>
        <v>5</v>
      </c>
    </row>
    <row r="14" spans="1:15" ht="16.5" x14ac:dyDescent="0.3">
      <c r="A14" s="4">
        <v>42960</v>
      </c>
      <c r="B14" s="10">
        <f t="shared" si="0"/>
        <v>0</v>
      </c>
      <c r="C14" s="27"/>
      <c r="D14" s="27"/>
      <c r="E14" s="28"/>
      <c r="F14" s="13">
        <f t="shared" si="1"/>
        <v>0</v>
      </c>
      <c r="G14" s="27"/>
      <c r="H14" s="27"/>
      <c r="I14" s="28"/>
      <c r="J14" s="29"/>
      <c r="K14" s="30"/>
      <c r="L14" s="31"/>
      <c r="M14" s="32"/>
      <c r="N14" s="33"/>
      <c r="O14" s="34">
        <f t="shared" si="2"/>
        <v>0</v>
      </c>
    </row>
    <row r="15" spans="1:15" ht="16.5" x14ac:dyDescent="0.3">
      <c r="A15" s="4">
        <v>42961</v>
      </c>
      <c r="B15" s="10">
        <f t="shared" si="0"/>
        <v>33</v>
      </c>
      <c r="C15" s="27">
        <v>19</v>
      </c>
      <c r="D15" s="27">
        <v>7</v>
      </c>
      <c r="E15" s="28">
        <v>7</v>
      </c>
      <c r="F15" s="13">
        <f t="shared" si="1"/>
        <v>2</v>
      </c>
      <c r="G15" s="27">
        <v>1</v>
      </c>
      <c r="H15" s="27">
        <v>1</v>
      </c>
      <c r="I15" s="28"/>
      <c r="J15" s="29">
        <v>3</v>
      </c>
      <c r="K15" s="30"/>
      <c r="L15" s="31"/>
      <c r="M15" s="32"/>
      <c r="N15" s="33"/>
      <c r="O15" s="34">
        <f t="shared" si="2"/>
        <v>38</v>
      </c>
    </row>
    <row r="16" spans="1:15" ht="16.5" x14ac:dyDescent="0.3">
      <c r="A16" s="4">
        <v>42962</v>
      </c>
      <c r="B16" s="10">
        <f t="shared" si="0"/>
        <v>0</v>
      </c>
      <c r="C16" s="27"/>
      <c r="D16" s="27"/>
      <c r="E16" s="28"/>
      <c r="F16" s="13">
        <f t="shared" si="1"/>
        <v>0</v>
      </c>
      <c r="G16" s="27"/>
      <c r="H16" s="27"/>
      <c r="I16" s="28"/>
      <c r="J16" s="29"/>
      <c r="K16" s="30"/>
      <c r="L16" s="31"/>
      <c r="M16" s="32"/>
      <c r="N16" s="33"/>
      <c r="O16" s="34">
        <f t="shared" si="2"/>
        <v>0</v>
      </c>
    </row>
    <row r="17" spans="1:15" ht="16.5" x14ac:dyDescent="0.3">
      <c r="A17" s="4">
        <v>42963</v>
      </c>
      <c r="B17" s="10">
        <f t="shared" si="0"/>
        <v>42</v>
      </c>
      <c r="C17" s="27">
        <v>21</v>
      </c>
      <c r="D17" s="27">
        <v>14</v>
      </c>
      <c r="E17" s="28">
        <v>7</v>
      </c>
      <c r="F17" s="13">
        <f t="shared" si="1"/>
        <v>4</v>
      </c>
      <c r="G17" s="27">
        <v>2</v>
      </c>
      <c r="H17" s="27">
        <v>2</v>
      </c>
      <c r="I17" s="28"/>
      <c r="J17" s="29">
        <v>5</v>
      </c>
      <c r="K17" s="30">
        <v>3</v>
      </c>
      <c r="L17" s="31"/>
      <c r="M17" s="32">
        <v>4</v>
      </c>
      <c r="N17" s="33"/>
      <c r="O17" s="34">
        <f t="shared" si="2"/>
        <v>58</v>
      </c>
    </row>
    <row r="18" spans="1:15" ht="16.5" x14ac:dyDescent="0.3">
      <c r="A18" s="4">
        <v>42964</v>
      </c>
      <c r="B18" s="10">
        <f t="shared" si="0"/>
        <v>53</v>
      </c>
      <c r="C18" s="27">
        <v>22</v>
      </c>
      <c r="D18" s="27">
        <v>16</v>
      </c>
      <c r="E18" s="28">
        <v>15</v>
      </c>
      <c r="F18" s="13">
        <f t="shared" si="1"/>
        <v>4</v>
      </c>
      <c r="G18" s="27">
        <v>2</v>
      </c>
      <c r="H18" s="27">
        <v>2</v>
      </c>
      <c r="I18" s="28"/>
      <c r="J18" s="29">
        <v>3</v>
      </c>
      <c r="K18" s="30">
        <v>4</v>
      </c>
      <c r="L18" s="31"/>
      <c r="M18" s="32">
        <v>1</v>
      </c>
      <c r="N18" s="33"/>
      <c r="O18" s="34">
        <f t="shared" si="2"/>
        <v>65</v>
      </c>
    </row>
    <row r="19" spans="1:15" ht="16.5" x14ac:dyDescent="0.3">
      <c r="A19" s="4">
        <v>42965</v>
      </c>
      <c r="B19" s="10">
        <f t="shared" si="0"/>
        <v>46</v>
      </c>
      <c r="C19" s="27">
        <v>13</v>
      </c>
      <c r="D19" s="27">
        <v>22</v>
      </c>
      <c r="E19" s="28">
        <v>11</v>
      </c>
      <c r="F19" s="13">
        <f t="shared" si="1"/>
        <v>3</v>
      </c>
      <c r="G19" s="27">
        <v>2</v>
      </c>
      <c r="H19" s="27">
        <v>1</v>
      </c>
      <c r="I19" s="28"/>
      <c r="J19" s="29">
        <v>14</v>
      </c>
      <c r="K19" s="30">
        <v>4</v>
      </c>
      <c r="L19" s="31">
        <v>1</v>
      </c>
      <c r="M19" s="32">
        <v>1</v>
      </c>
      <c r="N19" s="33"/>
      <c r="O19" s="34">
        <f t="shared" si="2"/>
        <v>69</v>
      </c>
    </row>
    <row r="20" spans="1:15" ht="16.5" x14ac:dyDescent="0.3">
      <c r="A20" s="4">
        <v>42966</v>
      </c>
      <c r="B20" s="10">
        <f t="shared" si="0"/>
        <v>4</v>
      </c>
      <c r="C20" s="27">
        <v>3</v>
      </c>
      <c r="D20" s="27"/>
      <c r="E20" s="28">
        <v>1</v>
      </c>
      <c r="F20" s="13">
        <f t="shared" si="1"/>
        <v>1</v>
      </c>
      <c r="G20" s="27">
        <v>1</v>
      </c>
      <c r="H20" s="27"/>
      <c r="I20" s="28"/>
      <c r="J20" s="29"/>
      <c r="K20" s="30"/>
      <c r="L20" s="31"/>
      <c r="M20" s="32"/>
      <c r="N20" s="33"/>
      <c r="O20" s="34">
        <f t="shared" si="2"/>
        <v>5</v>
      </c>
    </row>
    <row r="21" spans="1:15" ht="16.5" x14ac:dyDescent="0.3">
      <c r="A21" s="4">
        <v>42967</v>
      </c>
      <c r="B21" s="10">
        <f t="shared" si="0"/>
        <v>0</v>
      </c>
      <c r="C21" s="27"/>
      <c r="D21" s="27"/>
      <c r="E21" s="28"/>
      <c r="F21" s="13">
        <f t="shared" si="1"/>
        <v>0</v>
      </c>
      <c r="G21" s="27"/>
      <c r="H21" s="27"/>
      <c r="I21" s="28"/>
      <c r="J21" s="29"/>
      <c r="K21" s="30"/>
      <c r="L21" s="31"/>
      <c r="M21" s="32"/>
      <c r="N21" s="33"/>
      <c r="O21" s="34">
        <f t="shared" si="2"/>
        <v>0</v>
      </c>
    </row>
    <row r="22" spans="1:15" ht="16.5" x14ac:dyDescent="0.3">
      <c r="A22" s="4">
        <v>42968</v>
      </c>
      <c r="B22" s="10">
        <f t="shared" si="0"/>
        <v>47</v>
      </c>
      <c r="C22" s="27">
        <v>16</v>
      </c>
      <c r="D22" s="27">
        <v>19</v>
      </c>
      <c r="E22" s="28">
        <v>12</v>
      </c>
      <c r="F22" s="13">
        <f t="shared" si="1"/>
        <v>7</v>
      </c>
      <c r="G22" s="27">
        <v>3</v>
      </c>
      <c r="H22" s="27">
        <v>4</v>
      </c>
      <c r="I22" s="28"/>
      <c r="J22" s="29">
        <v>8</v>
      </c>
      <c r="K22" s="30">
        <v>5</v>
      </c>
      <c r="L22" s="31"/>
      <c r="M22" s="32"/>
      <c r="N22" s="33"/>
      <c r="O22" s="34">
        <f t="shared" si="2"/>
        <v>67</v>
      </c>
    </row>
    <row r="23" spans="1:15" ht="16.5" x14ac:dyDescent="0.3">
      <c r="A23" s="4">
        <v>42969</v>
      </c>
      <c r="B23" s="10">
        <f t="shared" si="0"/>
        <v>35</v>
      </c>
      <c r="C23" s="27">
        <v>9</v>
      </c>
      <c r="D23" s="27">
        <v>12</v>
      </c>
      <c r="E23" s="28">
        <v>14</v>
      </c>
      <c r="F23" s="13">
        <f t="shared" si="1"/>
        <v>10</v>
      </c>
      <c r="G23" s="27">
        <v>8</v>
      </c>
      <c r="H23" s="27">
        <v>2</v>
      </c>
      <c r="I23" s="28"/>
      <c r="J23" s="29">
        <v>13</v>
      </c>
      <c r="K23" s="30">
        <v>3</v>
      </c>
      <c r="L23" s="31">
        <v>2</v>
      </c>
      <c r="M23" s="32"/>
      <c r="N23" s="33"/>
      <c r="O23" s="34">
        <f t="shared" si="2"/>
        <v>63</v>
      </c>
    </row>
    <row r="24" spans="1:15" ht="16.5" x14ac:dyDescent="0.3">
      <c r="A24" s="4">
        <v>42970</v>
      </c>
      <c r="B24" s="10">
        <f t="shared" si="0"/>
        <v>37</v>
      </c>
      <c r="C24" s="27">
        <v>13</v>
      </c>
      <c r="D24" s="27">
        <v>17</v>
      </c>
      <c r="E24" s="28">
        <v>7</v>
      </c>
      <c r="F24" s="13">
        <f t="shared" si="1"/>
        <v>9</v>
      </c>
      <c r="G24" s="27">
        <v>6</v>
      </c>
      <c r="H24" s="27">
        <v>3</v>
      </c>
      <c r="I24" s="28"/>
      <c r="J24" s="29">
        <v>12</v>
      </c>
      <c r="K24" s="30">
        <v>6</v>
      </c>
      <c r="L24" s="31">
        <v>2</v>
      </c>
      <c r="M24" s="32">
        <v>1</v>
      </c>
      <c r="N24" s="33"/>
      <c r="O24" s="34">
        <f t="shared" si="2"/>
        <v>67</v>
      </c>
    </row>
    <row r="25" spans="1:15" ht="16.5" x14ac:dyDescent="0.3">
      <c r="A25" s="4">
        <v>42971</v>
      </c>
      <c r="B25" s="10">
        <f t="shared" si="0"/>
        <v>39</v>
      </c>
      <c r="C25" s="27">
        <v>12</v>
      </c>
      <c r="D25" s="27">
        <v>15</v>
      </c>
      <c r="E25" s="28">
        <v>12</v>
      </c>
      <c r="F25" s="13">
        <f t="shared" si="1"/>
        <v>9</v>
      </c>
      <c r="G25" s="27">
        <v>4</v>
      </c>
      <c r="H25" s="27">
        <v>5</v>
      </c>
      <c r="I25" s="28"/>
      <c r="J25" s="29">
        <v>8</v>
      </c>
      <c r="K25" s="30">
        <v>4</v>
      </c>
      <c r="L25" s="31"/>
      <c r="M25" s="32">
        <v>1</v>
      </c>
      <c r="N25" s="33"/>
      <c r="O25" s="34">
        <f t="shared" si="2"/>
        <v>61</v>
      </c>
    </row>
    <row r="26" spans="1:15" ht="16.5" x14ac:dyDescent="0.3">
      <c r="A26" s="4">
        <v>42972</v>
      </c>
      <c r="B26" s="10">
        <f t="shared" si="0"/>
        <v>51</v>
      </c>
      <c r="C26" s="27">
        <v>15</v>
      </c>
      <c r="D26" s="27">
        <v>23</v>
      </c>
      <c r="E26" s="28">
        <v>13</v>
      </c>
      <c r="F26" s="13">
        <f t="shared" si="1"/>
        <v>8</v>
      </c>
      <c r="G26" s="27">
        <v>6</v>
      </c>
      <c r="H26" s="27">
        <v>2</v>
      </c>
      <c r="I26" s="28"/>
      <c r="J26" s="29">
        <v>10</v>
      </c>
      <c r="K26" s="30">
        <v>2</v>
      </c>
      <c r="L26" s="31">
        <v>1</v>
      </c>
      <c r="M26" s="32">
        <v>1</v>
      </c>
      <c r="N26" s="33"/>
      <c r="O26" s="34">
        <f t="shared" si="2"/>
        <v>73</v>
      </c>
    </row>
    <row r="27" spans="1:15" ht="16.5" x14ac:dyDescent="0.3">
      <c r="A27" s="4">
        <v>42973</v>
      </c>
      <c r="B27" s="10">
        <f t="shared" si="0"/>
        <v>4</v>
      </c>
      <c r="C27" s="27">
        <v>2</v>
      </c>
      <c r="D27" s="27">
        <v>1</v>
      </c>
      <c r="E27" s="28">
        <v>1</v>
      </c>
      <c r="F27" s="13">
        <f t="shared" si="1"/>
        <v>0</v>
      </c>
      <c r="G27" s="27"/>
      <c r="H27" s="27"/>
      <c r="I27" s="28"/>
      <c r="J27" s="29"/>
      <c r="K27" s="30"/>
      <c r="L27" s="31"/>
      <c r="M27" s="32"/>
      <c r="N27" s="33"/>
      <c r="O27" s="34">
        <f t="shared" si="2"/>
        <v>4</v>
      </c>
    </row>
    <row r="28" spans="1:15" ht="16.5" x14ac:dyDescent="0.3">
      <c r="A28" s="4">
        <v>42974</v>
      </c>
      <c r="B28" s="10">
        <f t="shared" si="0"/>
        <v>0</v>
      </c>
      <c r="C28" s="27"/>
      <c r="D28" s="27"/>
      <c r="E28" s="28"/>
      <c r="F28" s="13">
        <f t="shared" si="1"/>
        <v>0</v>
      </c>
      <c r="G28" s="27"/>
      <c r="H28" s="27"/>
      <c r="I28" s="28"/>
      <c r="J28" s="29"/>
      <c r="K28" s="30"/>
      <c r="L28" s="31"/>
      <c r="M28" s="32"/>
      <c r="N28" s="33"/>
      <c r="O28" s="34">
        <f t="shared" si="2"/>
        <v>0</v>
      </c>
    </row>
    <row r="29" spans="1:15" ht="16.5" x14ac:dyDescent="0.3">
      <c r="A29" s="4">
        <v>42975</v>
      </c>
      <c r="B29" s="10">
        <f t="shared" si="0"/>
        <v>49</v>
      </c>
      <c r="C29" s="27">
        <v>15</v>
      </c>
      <c r="D29" s="27">
        <v>18</v>
      </c>
      <c r="E29" s="28">
        <v>16</v>
      </c>
      <c r="F29" s="13">
        <f t="shared" si="1"/>
        <v>10</v>
      </c>
      <c r="G29" s="27">
        <v>6</v>
      </c>
      <c r="H29" s="27">
        <v>4</v>
      </c>
      <c r="I29" s="28"/>
      <c r="J29" s="29">
        <v>16</v>
      </c>
      <c r="K29" s="30">
        <v>2</v>
      </c>
      <c r="L29" s="31"/>
      <c r="M29" s="32">
        <v>1</v>
      </c>
      <c r="N29" s="33"/>
      <c r="O29" s="34">
        <f t="shared" si="2"/>
        <v>78</v>
      </c>
    </row>
    <row r="30" spans="1:15" ht="16.5" x14ac:dyDescent="0.3">
      <c r="A30" s="4">
        <v>42976</v>
      </c>
      <c r="B30" s="10">
        <f t="shared" si="0"/>
        <v>48</v>
      </c>
      <c r="C30" s="27">
        <v>13</v>
      </c>
      <c r="D30" s="27">
        <v>20</v>
      </c>
      <c r="E30" s="28">
        <v>15</v>
      </c>
      <c r="F30" s="13">
        <f t="shared" si="1"/>
        <v>6</v>
      </c>
      <c r="G30" s="27">
        <v>4</v>
      </c>
      <c r="H30" s="27">
        <v>2</v>
      </c>
      <c r="I30" s="28"/>
      <c r="J30" s="29">
        <v>20</v>
      </c>
      <c r="K30" s="30">
        <v>5</v>
      </c>
      <c r="L30" s="31">
        <v>1</v>
      </c>
      <c r="M30" s="32"/>
      <c r="N30" s="33"/>
      <c r="O30" s="34">
        <f t="shared" si="2"/>
        <v>80</v>
      </c>
    </row>
    <row r="31" spans="1:15" ht="16.5" x14ac:dyDescent="0.3">
      <c r="A31" s="4">
        <v>42977</v>
      </c>
      <c r="B31" s="10">
        <f t="shared" si="0"/>
        <v>44</v>
      </c>
      <c r="C31" s="27">
        <v>10</v>
      </c>
      <c r="D31" s="27">
        <v>20</v>
      </c>
      <c r="E31" s="28">
        <v>14</v>
      </c>
      <c r="F31" s="13">
        <f t="shared" si="1"/>
        <v>9</v>
      </c>
      <c r="G31" s="27">
        <v>8</v>
      </c>
      <c r="H31" s="27">
        <v>1</v>
      </c>
      <c r="I31" s="28"/>
      <c r="J31" s="29">
        <v>10</v>
      </c>
      <c r="K31" s="30">
        <v>5</v>
      </c>
      <c r="L31" s="31"/>
      <c r="M31" s="32">
        <v>2</v>
      </c>
      <c r="N31" s="33"/>
      <c r="O31" s="34">
        <f t="shared" si="2"/>
        <v>70</v>
      </c>
    </row>
    <row r="32" spans="1:15" ht="17.25" thickBot="1" x14ac:dyDescent="0.35">
      <c r="A32" s="4">
        <v>42978</v>
      </c>
      <c r="B32" s="35">
        <f t="shared" si="0"/>
        <v>47</v>
      </c>
      <c r="C32" s="36">
        <v>15</v>
      </c>
      <c r="D32" s="36">
        <v>16</v>
      </c>
      <c r="E32" s="37">
        <v>16</v>
      </c>
      <c r="F32" s="38">
        <f t="shared" si="1"/>
        <v>9</v>
      </c>
      <c r="G32" s="36">
        <v>6</v>
      </c>
      <c r="H32" s="36">
        <v>3</v>
      </c>
      <c r="I32" s="37"/>
      <c r="J32" s="29">
        <v>17</v>
      </c>
      <c r="K32" s="30">
        <v>6</v>
      </c>
      <c r="L32" s="31"/>
      <c r="M32" s="32">
        <v>2</v>
      </c>
      <c r="N32" s="33"/>
      <c r="O32" s="39">
        <f t="shared" si="2"/>
        <v>81</v>
      </c>
    </row>
    <row r="33" spans="1:15" ht="17.25" thickBot="1" x14ac:dyDescent="0.35">
      <c r="A33" s="26" t="s">
        <v>10</v>
      </c>
      <c r="B33" s="17">
        <f>SUM(B2:B32)</f>
        <v>1040</v>
      </c>
      <c r="C33" s="17">
        <f t="shared" ref="C33:E33" si="3">SUM(C2:C32)</f>
        <v>411</v>
      </c>
      <c r="D33" s="17">
        <f t="shared" si="3"/>
        <v>375</v>
      </c>
      <c r="E33" s="17">
        <f t="shared" si="3"/>
        <v>254</v>
      </c>
      <c r="F33" s="18">
        <f>SUM(F2:F32)</f>
        <v>144</v>
      </c>
      <c r="G33" s="18">
        <f t="shared" ref="G33:I33" si="4">SUM(G2:G32)</f>
        <v>100</v>
      </c>
      <c r="H33" s="18">
        <f t="shared" si="4"/>
        <v>44</v>
      </c>
      <c r="I33" s="18">
        <f t="shared" si="4"/>
        <v>0</v>
      </c>
      <c r="J33" s="11">
        <f>SUM(J2:J32)</f>
        <v>233</v>
      </c>
      <c r="K33" s="11">
        <f t="shared" ref="K33:M33" si="5">SUM(K2:K32)</f>
        <v>81</v>
      </c>
      <c r="L33" s="11">
        <f t="shared" si="5"/>
        <v>12</v>
      </c>
      <c r="M33" s="11">
        <f t="shared" si="5"/>
        <v>26</v>
      </c>
      <c r="N33" s="33"/>
      <c r="O33" s="40">
        <f>SUM(O2:O32)</f>
        <v>1536</v>
      </c>
    </row>
  </sheetData>
  <conditionalFormatting sqref="B2:B5 B8:B12 B15 B22:B26 B29:B32 B17:B19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7030A0"/>
  </sheetPr>
  <dimension ref="A1:O33"/>
  <sheetViews>
    <sheetView showGridLines="0" showRowColHeaders="0" zoomScaleNormal="100" workbookViewId="0">
      <pane ySplit="1" topLeftCell="A2" activePane="bottomLeft" state="frozen"/>
      <selection pane="bottomLeft" activeCell="C2" sqref="C2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4">
        <v>42979</v>
      </c>
      <c r="B2" s="10">
        <f>C2+D2+E2</f>
        <v>47</v>
      </c>
      <c r="C2" s="27">
        <v>16</v>
      </c>
      <c r="D2" s="27">
        <v>16</v>
      </c>
      <c r="E2" s="28">
        <v>15</v>
      </c>
      <c r="F2" s="13">
        <f>G2+H2+I2</f>
        <v>6</v>
      </c>
      <c r="G2" s="27">
        <v>4</v>
      </c>
      <c r="H2" s="27">
        <v>2</v>
      </c>
      <c r="I2" s="28"/>
      <c r="J2" s="29">
        <v>12</v>
      </c>
      <c r="K2" s="30">
        <v>5</v>
      </c>
      <c r="L2" s="31">
        <v>1</v>
      </c>
      <c r="M2" s="32"/>
      <c r="N2" s="33"/>
      <c r="O2" s="34">
        <f>B2+F2+J2+K2+L2+M2</f>
        <v>71</v>
      </c>
    </row>
    <row r="3" spans="1:15" ht="16.5" x14ac:dyDescent="0.3">
      <c r="A3" s="4">
        <v>42980</v>
      </c>
      <c r="B3" s="10">
        <f t="shared" ref="B3:B32" si="0">C3+D3+E3</f>
        <v>5</v>
      </c>
      <c r="C3" s="27">
        <v>4</v>
      </c>
      <c r="D3" s="27"/>
      <c r="E3" s="28">
        <v>1</v>
      </c>
      <c r="F3" s="13">
        <f t="shared" ref="F3:F32" si="1">G3+H3+I3</f>
        <v>0</v>
      </c>
      <c r="G3" s="27"/>
      <c r="H3" s="27"/>
      <c r="I3" s="28"/>
      <c r="J3" s="29">
        <v>1</v>
      </c>
      <c r="K3" s="30">
        <v>1</v>
      </c>
      <c r="L3" s="31"/>
      <c r="M3" s="32"/>
      <c r="N3" s="33"/>
      <c r="O3" s="34">
        <f t="shared" ref="O3:O32" si="2">B3+F3+J3+K3+L3+M3</f>
        <v>7</v>
      </c>
    </row>
    <row r="4" spans="1:15" ht="16.5" x14ac:dyDescent="0.3">
      <c r="A4" s="4">
        <v>42981</v>
      </c>
      <c r="B4" s="10">
        <f t="shared" si="0"/>
        <v>0</v>
      </c>
      <c r="C4" s="27"/>
      <c r="D4" s="27"/>
      <c r="E4" s="28"/>
      <c r="F4" s="13">
        <f t="shared" si="1"/>
        <v>0</v>
      </c>
      <c r="G4" s="27"/>
      <c r="H4" s="27"/>
      <c r="I4" s="28"/>
      <c r="J4" s="29"/>
      <c r="K4" s="30"/>
      <c r="L4" s="31"/>
      <c r="M4" s="32"/>
      <c r="N4" s="33"/>
      <c r="O4" s="34">
        <f t="shared" si="2"/>
        <v>0</v>
      </c>
    </row>
    <row r="5" spans="1:15" ht="16.5" x14ac:dyDescent="0.3">
      <c r="A5" s="4">
        <v>42982</v>
      </c>
      <c r="B5" s="10">
        <f t="shared" si="0"/>
        <v>38</v>
      </c>
      <c r="C5" s="27">
        <v>16</v>
      </c>
      <c r="D5" s="27">
        <v>15</v>
      </c>
      <c r="E5" s="28">
        <v>7</v>
      </c>
      <c r="F5" s="13">
        <f t="shared" si="1"/>
        <v>7</v>
      </c>
      <c r="G5" s="27">
        <v>4</v>
      </c>
      <c r="H5" s="27">
        <v>3</v>
      </c>
      <c r="I5" s="28"/>
      <c r="J5" s="29">
        <v>13</v>
      </c>
      <c r="K5" s="30">
        <v>1</v>
      </c>
      <c r="L5" s="31"/>
      <c r="M5" s="32">
        <v>1</v>
      </c>
      <c r="N5" s="33"/>
      <c r="O5" s="34">
        <f t="shared" si="2"/>
        <v>60</v>
      </c>
    </row>
    <row r="6" spans="1:15" ht="16.5" x14ac:dyDescent="0.3">
      <c r="A6" s="4">
        <v>42983</v>
      </c>
      <c r="B6" s="10">
        <f t="shared" si="0"/>
        <v>45</v>
      </c>
      <c r="C6" s="27">
        <v>17</v>
      </c>
      <c r="D6" s="27">
        <v>14</v>
      </c>
      <c r="E6" s="28">
        <v>14</v>
      </c>
      <c r="F6" s="13">
        <f t="shared" si="1"/>
        <v>4</v>
      </c>
      <c r="G6" s="27">
        <v>2</v>
      </c>
      <c r="H6" s="27">
        <v>2</v>
      </c>
      <c r="I6" s="28"/>
      <c r="J6" s="29">
        <v>7</v>
      </c>
      <c r="K6" s="30">
        <v>1</v>
      </c>
      <c r="L6" s="31"/>
      <c r="M6" s="32">
        <v>2</v>
      </c>
      <c r="N6" s="33"/>
      <c r="O6" s="34">
        <f t="shared" si="2"/>
        <v>59</v>
      </c>
    </row>
    <row r="7" spans="1:15" ht="16.5" x14ac:dyDescent="0.3">
      <c r="A7" s="4">
        <v>42984</v>
      </c>
      <c r="B7" s="10">
        <f t="shared" si="0"/>
        <v>40</v>
      </c>
      <c r="C7" s="27">
        <v>17</v>
      </c>
      <c r="D7" s="27">
        <v>12</v>
      </c>
      <c r="E7" s="28">
        <v>11</v>
      </c>
      <c r="F7" s="13">
        <f t="shared" si="1"/>
        <v>12</v>
      </c>
      <c r="G7" s="27">
        <v>8</v>
      </c>
      <c r="H7" s="27">
        <v>2</v>
      </c>
      <c r="I7" s="28">
        <v>2</v>
      </c>
      <c r="J7" s="29">
        <v>8</v>
      </c>
      <c r="K7" s="30">
        <v>3</v>
      </c>
      <c r="L7" s="31"/>
      <c r="M7" s="32"/>
      <c r="N7" s="33"/>
      <c r="O7" s="34">
        <f t="shared" si="2"/>
        <v>63</v>
      </c>
    </row>
    <row r="8" spans="1:15" ht="16.5" x14ac:dyDescent="0.3">
      <c r="A8" s="4">
        <v>42985</v>
      </c>
      <c r="B8" s="10">
        <f t="shared" si="0"/>
        <v>45</v>
      </c>
      <c r="C8" s="27">
        <v>14</v>
      </c>
      <c r="D8" s="27">
        <v>13</v>
      </c>
      <c r="E8" s="28">
        <v>18</v>
      </c>
      <c r="F8" s="13">
        <f t="shared" si="1"/>
        <v>8</v>
      </c>
      <c r="G8" s="27">
        <v>6</v>
      </c>
      <c r="H8" s="27">
        <v>2</v>
      </c>
      <c r="I8" s="28"/>
      <c r="J8" s="29">
        <v>16</v>
      </c>
      <c r="K8" s="30">
        <v>1</v>
      </c>
      <c r="L8" s="31">
        <v>1</v>
      </c>
      <c r="M8" s="32">
        <v>1</v>
      </c>
      <c r="N8" s="33"/>
      <c r="O8" s="34">
        <f t="shared" si="2"/>
        <v>72</v>
      </c>
    </row>
    <row r="9" spans="1:15" ht="16.5" x14ac:dyDescent="0.3">
      <c r="A9" s="4">
        <v>42986</v>
      </c>
      <c r="B9" s="10">
        <f t="shared" si="0"/>
        <v>43</v>
      </c>
      <c r="C9" s="27">
        <v>16</v>
      </c>
      <c r="D9" s="27">
        <v>17</v>
      </c>
      <c r="E9" s="28">
        <v>10</v>
      </c>
      <c r="F9" s="13">
        <f t="shared" si="1"/>
        <v>8</v>
      </c>
      <c r="G9" s="27">
        <v>7</v>
      </c>
      <c r="H9" s="27">
        <v>1</v>
      </c>
      <c r="I9" s="28"/>
      <c r="J9" s="29">
        <v>8</v>
      </c>
      <c r="K9" s="30">
        <v>6</v>
      </c>
      <c r="L9" s="31"/>
      <c r="M9" s="32">
        <v>1</v>
      </c>
      <c r="N9" s="33"/>
      <c r="O9" s="34">
        <f t="shared" si="2"/>
        <v>66</v>
      </c>
    </row>
    <row r="10" spans="1:15" ht="16.5" x14ac:dyDescent="0.3">
      <c r="A10" s="4">
        <v>42987</v>
      </c>
      <c r="B10" s="10">
        <f t="shared" si="0"/>
        <v>8</v>
      </c>
      <c r="C10" s="27">
        <v>7</v>
      </c>
      <c r="D10" s="27"/>
      <c r="E10" s="28">
        <v>1</v>
      </c>
      <c r="F10" s="13">
        <f t="shared" si="1"/>
        <v>0</v>
      </c>
      <c r="G10" s="27"/>
      <c r="H10" s="27"/>
      <c r="I10" s="28"/>
      <c r="J10" s="29"/>
      <c r="K10" s="30"/>
      <c r="L10" s="31"/>
      <c r="M10" s="32"/>
      <c r="N10" s="33"/>
      <c r="O10" s="34">
        <f t="shared" si="2"/>
        <v>8</v>
      </c>
    </row>
    <row r="11" spans="1:15" ht="16.5" x14ac:dyDescent="0.3">
      <c r="A11" s="4">
        <v>42988</v>
      </c>
      <c r="B11" s="10">
        <f t="shared" si="0"/>
        <v>0</v>
      </c>
      <c r="C11" s="27"/>
      <c r="D11" s="27"/>
      <c r="E11" s="28"/>
      <c r="F11" s="13">
        <f t="shared" si="1"/>
        <v>0</v>
      </c>
      <c r="G11" s="27"/>
      <c r="H11" s="27"/>
      <c r="I11" s="28"/>
      <c r="J11" s="29"/>
      <c r="K11" s="30"/>
      <c r="L11" s="31"/>
      <c r="M11" s="32"/>
      <c r="N11" s="33"/>
      <c r="O11" s="34">
        <f t="shared" si="2"/>
        <v>0</v>
      </c>
    </row>
    <row r="12" spans="1:15" ht="16.5" x14ac:dyDescent="0.3">
      <c r="A12" s="4">
        <v>42989</v>
      </c>
      <c r="B12" s="10">
        <f t="shared" si="0"/>
        <v>38</v>
      </c>
      <c r="C12" s="27">
        <v>15</v>
      </c>
      <c r="D12" s="27">
        <v>14</v>
      </c>
      <c r="E12" s="28">
        <v>9</v>
      </c>
      <c r="F12" s="13">
        <f t="shared" si="1"/>
        <v>8</v>
      </c>
      <c r="G12" s="27">
        <v>6</v>
      </c>
      <c r="H12" s="27">
        <v>2</v>
      </c>
      <c r="I12" s="28"/>
      <c r="J12" s="29">
        <v>12</v>
      </c>
      <c r="K12" s="30">
        <v>5</v>
      </c>
      <c r="L12" s="31">
        <v>2</v>
      </c>
      <c r="M12" s="32">
        <v>3</v>
      </c>
      <c r="N12" s="33"/>
      <c r="O12" s="34">
        <f t="shared" si="2"/>
        <v>68</v>
      </c>
    </row>
    <row r="13" spans="1:15" ht="16.5" x14ac:dyDescent="0.3">
      <c r="A13" s="4">
        <v>42990</v>
      </c>
      <c r="B13" s="10">
        <f t="shared" si="0"/>
        <v>34</v>
      </c>
      <c r="C13" s="27">
        <v>12</v>
      </c>
      <c r="D13" s="27">
        <v>14</v>
      </c>
      <c r="E13" s="28">
        <v>8</v>
      </c>
      <c r="F13" s="13">
        <f t="shared" si="1"/>
        <v>8</v>
      </c>
      <c r="G13" s="27">
        <v>5</v>
      </c>
      <c r="H13" s="27">
        <v>2</v>
      </c>
      <c r="I13" s="28">
        <v>1</v>
      </c>
      <c r="J13" s="29">
        <v>11</v>
      </c>
      <c r="K13" s="30"/>
      <c r="L13" s="31">
        <v>2</v>
      </c>
      <c r="M13" s="32">
        <v>2</v>
      </c>
      <c r="N13" s="33"/>
      <c r="O13" s="34">
        <f t="shared" si="2"/>
        <v>57</v>
      </c>
    </row>
    <row r="14" spans="1:15" ht="16.5" x14ac:dyDescent="0.3">
      <c r="A14" s="4">
        <v>42991</v>
      </c>
      <c r="B14" s="10">
        <f t="shared" si="0"/>
        <v>45</v>
      </c>
      <c r="C14" s="27">
        <v>17</v>
      </c>
      <c r="D14" s="27">
        <v>16</v>
      </c>
      <c r="E14" s="28">
        <v>12</v>
      </c>
      <c r="F14" s="13">
        <f t="shared" si="1"/>
        <v>8</v>
      </c>
      <c r="G14" s="27">
        <v>7</v>
      </c>
      <c r="H14" s="27">
        <v>1</v>
      </c>
      <c r="I14" s="28"/>
      <c r="J14" s="29">
        <v>18</v>
      </c>
      <c r="K14" s="30">
        <v>6</v>
      </c>
      <c r="L14" s="31">
        <v>2</v>
      </c>
      <c r="M14" s="32">
        <v>4</v>
      </c>
      <c r="N14" s="33"/>
      <c r="O14" s="34">
        <f t="shared" si="2"/>
        <v>83</v>
      </c>
    </row>
    <row r="15" spans="1:15" ht="16.5" x14ac:dyDescent="0.3">
      <c r="A15" s="4">
        <v>42992</v>
      </c>
      <c r="B15" s="10">
        <f t="shared" si="0"/>
        <v>37</v>
      </c>
      <c r="C15" s="27">
        <v>11</v>
      </c>
      <c r="D15" s="27">
        <v>17</v>
      </c>
      <c r="E15" s="28">
        <v>9</v>
      </c>
      <c r="F15" s="13">
        <f t="shared" si="1"/>
        <v>7</v>
      </c>
      <c r="G15" s="27">
        <v>5</v>
      </c>
      <c r="H15" s="27">
        <v>2</v>
      </c>
      <c r="I15" s="28"/>
      <c r="J15" s="29">
        <v>20</v>
      </c>
      <c r="K15" s="30">
        <v>5</v>
      </c>
      <c r="L15" s="31">
        <v>1</v>
      </c>
      <c r="M15" s="32">
        <v>2</v>
      </c>
      <c r="N15" s="33"/>
      <c r="O15" s="34">
        <f t="shared" si="2"/>
        <v>72</v>
      </c>
    </row>
    <row r="16" spans="1:15" ht="16.5" x14ac:dyDescent="0.3">
      <c r="A16" s="4">
        <v>42993</v>
      </c>
      <c r="B16" s="10">
        <f t="shared" si="0"/>
        <v>42</v>
      </c>
      <c r="C16" s="27">
        <v>18</v>
      </c>
      <c r="D16" s="27">
        <v>20</v>
      </c>
      <c r="E16" s="28">
        <v>4</v>
      </c>
      <c r="F16" s="13">
        <f t="shared" si="1"/>
        <v>3</v>
      </c>
      <c r="G16" s="27">
        <v>2</v>
      </c>
      <c r="H16" s="27">
        <v>1</v>
      </c>
      <c r="I16" s="28"/>
      <c r="J16" s="29">
        <v>18</v>
      </c>
      <c r="K16" s="30">
        <v>5</v>
      </c>
      <c r="L16" s="31">
        <v>1</v>
      </c>
      <c r="M16" s="32">
        <v>3</v>
      </c>
      <c r="N16" s="33"/>
      <c r="O16" s="34">
        <f t="shared" si="2"/>
        <v>72</v>
      </c>
    </row>
    <row r="17" spans="1:15" ht="16.5" x14ac:dyDescent="0.3">
      <c r="A17" s="4">
        <v>42994</v>
      </c>
      <c r="B17" s="10">
        <f t="shared" si="0"/>
        <v>4</v>
      </c>
      <c r="C17" s="27">
        <v>3</v>
      </c>
      <c r="D17" s="27">
        <v>1</v>
      </c>
      <c r="E17" s="28"/>
      <c r="F17" s="13">
        <f t="shared" si="1"/>
        <v>1</v>
      </c>
      <c r="G17" s="27">
        <v>1</v>
      </c>
      <c r="H17" s="27"/>
      <c r="I17" s="28"/>
      <c r="J17" s="29">
        <v>2</v>
      </c>
      <c r="K17" s="30"/>
      <c r="L17" s="31"/>
      <c r="M17" s="32"/>
      <c r="N17" s="33"/>
      <c r="O17" s="34">
        <f t="shared" si="2"/>
        <v>7</v>
      </c>
    </row>
    <row r="18" spans="1:15" ht="16.5" x14ac:dyDescent="0.3">
      <c r="A18" s="4">
        <v>42995</v>
      </c>
      <c r="B18" s="10">
        <f t="shared" si="0"/>
        <v>0</v>
      </c>
      <c r="C18" s="27"/>
      <c r="D18" s="27"/>
      <c r="E18" s="28"/>
      <c r="F18" s="13">
        <f t="shared" si="1"/>
        <v>0</v>
      </c>
      <c r="G18" s="27"/>
      <c r="H18" s="27"/>
      <c r="I18" s="28"/>
      <c r="J18" s="29"/>
      <c r="K18" s="30"/>
      <c r="L18" s="31"/>
      <c r="M18" s="32"/>
      <c r="N18" s="33"/>
      <c r="O18" s="34">
        <f t="shared" si="2"/>
        <v>0</v>
      </c>
    </row>
    <row r="19" spans="1:15" ht="16.5" x14ac:dyDescent="0.3">
      <c r="A19" s="4">
        <v>42996</v>
      </c>
      <c r="B19" s="10">
        <f t="shared" si="0"/>
        <v>37</v>
      </c>
      <c r="C19" s="27">
        <v>13</v>
      </c>
      <c r="D19" s="27">
        <v>14</v>
      </c>
      <c r="E19" s="28">
        <v>10</v>
      </c>
      <c r="F19" s="13">
        <f t="shared" si="1"/>
        <v>11</v>
      </c>
      <c r="G19" s="27">
        <v>4</v>
      </c>
      <c r="H19" s="27">
        <v>7</v>
      </c>
      <c r="I19" s="28"/>
      <c r="J19" s="29">
        <v>11</v>
      </c>
      <c r="K19" s="30">
        <v>8</v>
      </c>
      <c r="L19" s="31"/>
      <c r="M19" s="32">
        <v>1</v>
      </c>
      <c r="N19" s="33"/>
      <c r="O19" s="34">
        <f t="shared" si="2"/>
        <v>68</v>
      </c>
    </row>
    <row r="20" spans="1:15" ht="16.5" x14ac:dyDescent="0.3">
      <c r="A20" s="4">
        <v>42997</v>
      </c>
      <c r="B20" s="10">
        <f t="shared" si="0"/>
        <v>40</v>
      </c>
      <c r="C20" s="27">
        <v>13</v>
      </c>
      <c r="D20" s="27">
        <v>18</v>
      </c>
      <c r="E20" s="28">
        <v>9</v>
      </c>
      <c r="F20" s="13">
        <f t="shared" si="1"/>
        <v>11</v>
      </c>
      <c r="G20" s="27">
        <v>7</v>
      </c>
      <c r="H20" s="27">
        <v>4</v>
      </c>
      <c r="I20" s="28"/>
      <c r="J20" s="29">
        <v>13</v>
      </c>
      <c r="K20" s="30">
        <v>5</v>
      </c>
      <c r="L20" s="31"/>
      <c r="M20" s="32">
        <v>4</v>
      </c>
      <c r="N20" s="33"/>
      <c r="O20" s="34">
        <f t="shared" si="2"/>
        <v>73</v>
      </c>
    </row>
    <row r="21" spans="1:15" ht="16.5" x14ac:dyDescent="0.3">
      <c r="A21" s="4">
        <v>42998</v>
      </c>
      <c r="B21" s="10">
        <f t="shared" si="0"/>
        <v>46</v>
      </c>
      <c r="C21" s="27">
        <v>19</v>
      </c>
      <c r="D21" s="27">
        <v>22</v>
      </c>
      <c r="E21" s="28">
        <v>5</v>
      </c>
      <c r="F21" s="13">
        <f t="shared" si="1"/>
        <v>4</v>
      </c>
      <c r="G21" s="27"/>
      <c r="H21" s="27">
        <v>3</v>
      </c>
      <c r="I21" s="28">
        <v>1</v>
      </c>
      <c r="J21" s="29">
        <v>11</v>
      </c>
      <c r="K21" s="30">
        <v>5</v>
      </c>
      <c r="L21" s="31">
        <v>2</v>
      </c>
      <c r="M21" s="32"/>
      <c r="N21" s="33"/>
      <c r="O21" s="34">
        <f t="shared" si="2"/>
        <v>68</v>
      </c>
    </row>
    <row r="22" spans="1:15" ht="16.5" x14ac:dyDescent="0.3">
      <c r="A22" s="4">
        <v>42999</v>
      </c>
      <c r="B22" s="10">
        <f t="shared" si="0"/>
        <v>37</v>
      </c>
      <c r="C22" s="27">
        <v>13</v>
      </c>
      <c r="D22" s="27">
        <v>17</v>
      </c>
      <c r="E22" s="28">
        <v>7</v>
      </c>
      <c r="F22" s="13">
        <f t="shared" si="1"/>
        <v>4</v>
      </c>
      <c r="G22" s="27">
        <v>2</v>
      </c>
      <c r="H22" s="27">
        <v>2</v>
      </c>
      <c r="I22" s="28"/>
      <c r="J22" s="29">
        <v>11</v>
      </c>
      <c r="K22" s="30">
        <v>2</v>
      </c>
      <c r="L22" s="31"/>
      <c r="M22" s="32">
        <v>2</v>
      </c>
      <c r="N22" s="33"/>
      <c r="O22" s="34">
        <f t="shared" si="2"/>
        <v>56</v>
      </c>
    </row>
    <row r="23" spans="1:15" ht="16.5" x14ac:dyDescent="0.3">
      <c r="A23" s="4">
        <v>43000</v>
      </c>
      <c r="B23" s="10">
        <f t="shared" si="0"/>
        <v>39</v>
      </c>
      <c r="C23" s="27">
        <v>16</v>
      </c>
      <c r="D23" s="27">
        <v>10</v>
      </c>
      <c r="E23" s="28">
        <v>13</v>
      </c>
      <c r="F23" s="13">
        <f t="shared" si="1"/>
        <v>12</v>
      </c>
      <c r="G23" s="27">
        <v>10</v>
      </c>
      <c r="H23" s="27">
        <v>2</v>
      </c>
      <c r="I23" s="28"/>
      <c r="J23" s="29">
        <v>11</v>
      </c>
      <c r="K23" s="30">
        <v>5</v>
      </c>
      <c r="L23" s="31"/>
      <c r="M23" s="32">
        <v>2</v>
      </c>
      <c r="N23" s="33"/>
      <c r="O23" s="34">
        <f t="shared" si="2"/>
        <v>69</v>
      </c>
    </row>
    <row r="24" spans="1:15" ht="16.5" x14ac:dyDescent="0.3">
      <c r="A24" s="4">
        <v>43001</v>
      </c>
      <c r="B24" s="10">
        <f t="shared" si="0"/>
        <v>3</v>
      </c>
      <c r="C24" s="27">
        <v>2</v>
      </c>
      <c r="D24" s="27">
        <v>1</v>
      </c>
      <c r="E24" s="28"/>
      <c r="F24" s="13">
        <f t="shared" si="1"/>
        <v>1</v>
      </c>
      <c r="G24" s="27">
        <v>1</v>
      </c>
      <c r="H24" s="27"/>
      <c r="I24" s="28"/>
      <c r="J24" s="29"/>
      <c r="K24" s="30">
        <v>1</v>
      </c>
      <c r="L24" s="31"/>
      <c r="M24" s="32"/>
      <c r="N24" s="33"/>
      <c r="O24" s="34">
        <f t="shared" si="2"/>
        <v>5</v>
      </c>
    </row>
    <row r="25" spans="1:15" ht="16.5" x14ac:dyDescent="0.3">
      <c r="A25" s="4">
        <v>43002</v>
      </c>
      <c r="B25" s="10">
        <f t="shared" si="0"/>
        <v>0</v>
      </c>
      <c r="C25" s="27"/>
      <c r="D25" s="27"/>
      <c r="E25" s="28"/>
      <c r="F25" s="13">
        <f t="shared" si="1"/>
        <v>0</v>
      </c>
      <c r="G25" s="27"/>
      <c r="H25" s="27"/>
      <c r="I25" s="28"/>
      <c r="J25" s="29"/>
      <c r="K25" s="30"/>
      <c r="L25" s="31"/>
      <c r="M25" s="32"/>
      <c r="N25" s="33"/>
      <c r="O25" s="34">
        <f t="shared" si="2"/>
        <v>0</v>
      </c>
    </row>
    <row r="26" spans="1:15" ht="16.5" x14ac:dyDescent="0.3">
      <c r="A26" s="4">
        <v>43003</v>
      </c>
      <c r="B26" s="10">
        <f t="shared" si="0"/>
        <v>55</v>
      </c>
      <c r="C26" s="27">
        <v>16</v>
      </c>
      <c r="D26" s="27">
        <v>24</v>
      </c>
      <c r="E26" s="28">
        <v>15</v>
      </c>
      <c r="F26" s="13">
        <f t="shared" si="1"/>
        <v>14</v>
      </c>
      <c r="G26" s="27">
        <v>11</v>
      </c>
      <c r="H26" s="27">
        <v>3</v>
      </c>
      <c r="I26" s="28"/>
      <c r="J26" s="29">
        <v>7</v>
      </c>
      <c r="K26" s="30">
        <v>3</v>
      </c>
      <c r="L26" s="31"/>
      <c r="M26" s="32">
        <v>1</v>
      </c>
      <c r="N26" s="33"/>
      <c r="O26" s="34">
        <f t="shared" si="2"/>
        <v>80</v>
      </c>
    </row>
    <row r="27" spans="1:15" ht="16.5" x14ac:dyDescent="0.3">
      <c r="A27" s="4">
        <v>43004</v>
      </c>
      <c r="B27" s="10">
        <f t="shared" si="0"/>
        <v>46</v>
      </c>
      <c r="C27" s="27">
        <v>19</v>
      </c>
      <c r="D27" s="27">
        <v>16</v>
      </c>
      <c r="E27" s="28">
        <v>11</v>
      </c>
      <c r="F27" s="13">
        <f t="shared" si="1"/>
        <v>8</v>
      </c>
      <c r="G27" s="27">
        <v>4</v>
      </c>
      <c r="H27" s="27">
        <v>4</v>
      </c>
      <c r="I27" s="28"/>
      <c r="J27" s="29">
        <v>14</v>
      </c>
      <c r="K27" s="30">
        <v>5</v>
      </c>
      <c r="L27" s="31">
        <v>1</v>
      </c>
      <c r="M27" s="32">
        <v>2</v>
      </c>
      <c r="N27" s="33"/>
      <c r="O27" s="34">
        <f t="shared" si="2"/>
        <v>76</v>
      </c>
    </row>
    <row r="28" spans="1:15" ht="16.5" x14ac:dyDescent="0.3">
      <c r="A28" s="4">
        <v>43005</v>
      </c>
      <c r="B28" s="10">
        <f t="shared" si="0"/>
        <v>58</v>
      </c>
      <c r="C28" s="27">
        <v>23</v>
      </c>
      <c r="D28" s="27">
        <v>20</v>
      </c>
      <c r="E28" s="28">
        <v>15</v>
      </c>
      <c r="F28" s="13">
        <f t="shared" si="1"/>
        <v>9</v>
      </c>
      <c r="G28" s="27">
        <v>6</v>
      </c>
      <c r="H28" s="27">
        <v>3</v>
      </c>
      <c r="I28" s="28"/>
      <c r="J28" s="29">
        <v>14</v>
      </c>
      <c r="K28" s="30">
        <v>5</v>
      </c>
      <c r="L28" s="31"/>
      <c r="M28" s="32"/>
      <c r="N28" s="33"/>
      <c r="O28" s="34">
        <f t="shared" si="2"/>
        <v>86</v>
      </c>
    </row>
    <row r="29" spans="1:15" ht="16.5" x14ac:dyDescent="0.3">
      <c r="A29" s="4">
        <v>43006</v>
      </c>
      <c r="B29" s="10">
        <f t="shared" si="0"/>
        <v>39</v>
      </c>
      <c r="C29" s="27">
        <v>15</v>
      </c>
      <c r="D29" s="27">
        <v>17</v>
      </c>
      <c r="E29" s="28">
        <v>7</v>
      </c>
      <c r="F29" s="13">
        <f t="shared" si="1"/>
        <v>4</v>
      </c>
      <c r="G29" s="27">
        <v>2</v>
      </c>
      <c r="H29" s="27">
        <v>2</v>
      </c>
      <c r="I29" s="28"/>
      <c r="J29" s="29">
        <v>15</v>
      </c>
      <c r="K29" s="30">
        <v>2</v>
      </c>
      <c r="L29" s="31">
        <v>1</v>
      </c>
      <c r="M29" s="32">
        <v>3</v>
      </c>
      <c r="N29" s="33"/>
      <c r="O29" s="34">
        <f t="shared" si="2"/>
        <v>64</v>
      </c>
    </row>
    <row r="30" spans="1:15" ht="16.5" x14ac:dyDescent="0.3">
      <c r="A30" s="4">
        <v>43007</v>
      </c>
      <c r="B30" s="10">
        <f t="shared" si="0"/>
        <v>40</v>
      </c>
      <c r="C30" s="27">
        <v>13</v>
      </c>
      <c r="D30" s="27">
        <v>17</v>
      </c>
      <c r="E30" s="28">
        <v>10</v>
      </c>
      <c r="F30" s="13">
        <f t="shared" si="1"/>
        <v>6</v>
      </c>
      <c r="G30" s="27">
        <v>1</v>
      </c>
      <c r="H30" s="27">
        <v>5</v>
      </c>
      <c r="I30" s="28"/>
      <c r="J30" s="29">
        <v>13</v>
      </c>
      <c r="K30" s="30">
        <v>3</v>
      </c>
      <c r="L30" s="31">
        <v>1</v>
      </c>
      <c r="M30" s="32">
        <v>5</v>
      </c>
      <c r="N30" s="33"/>
      <c r="O30" s="34">
        <f t="shared" si="2"/>
        <v>68</v>
      </c>
    </row>
    <row r="31" spans="1:15" ht="16.5" x14ac:dyDescent="0.3">
      <c r="A31" s="4">
        <v>43008</v>
      </c>
      <c r="B31" s="10">
        <f t="shared" si="0"/>
        <v>4</v>
      </c>
      <c r="C31" s="27">
        <v>3</v>
      </c>
      <c r="D31" s="27">
        <v>1</v>
      </c>
      <c r="E31" s="28"/>
      <c r="F31" s="13">
        <f t="shared" si="1"/>
        <v>1</v>
      </c>
      <c r="G31" s="27">
        <v>1</v>
      </c>
      <c r="H31" s="27"/>
      <c r="I31" s="28"/>
      <c r="J31" s="29"/>
      <c r="K31" s="30"/>
      <c r="L31" s="31"/>
      <c r="M31" s="32">
        <v>1</v>
      </c>
      <c r="N31" s="33"/>
      <c r="O31" s="34">
        <f t="shared" si="2"/>
        <v>6</v>
      </c>
    </row>
    <row r="32" spans="1:15" ht="17.25" thickBot="1" x14ac:dyDescent="0.35">
      <c r="A32" s="4"/>
      <c r="B32" s="35">
        <f t="shared" si="0"/>
        <v>0</v>
      </c>
      <c r="C32" s="36"/>
      <c r="D32" s="36"/>
      <c r="E32" s="37"/>
      <c r="F32" s="38">
        <f t="shared" si="1"/>
        <v>0</v>
      </c>
      <c r="G32" s="36"/>
      <c r="H32" s="36"/>
      <c r="I32" s="37"/>
      <c r="J32" s="29"/>
      <c r="K32" s="30"/>
      <c r="L32" s="31"/>
      <c r="M32" s="32"/>
      <c r="N32" s="33"/>
      <c r="O32" s="39">
        <f t="shared" si="2"/>
        <v>0</v>
      </c>
    </row>
    <row r="33" spans="1:15" ht="17.25" thickBot="1" x14ac:dyDescent="0.35">
      <c r="A33" s="26" t="s">
        <v>10</v>
      </c>
      <c r="B33" s="17">
        <f>SUM(B2:B32)</f>
        <v>915</v>
      </c>
      <c r="C33" s="17">
        <f t="shared" ref="C33:E33" si="3">SUM(C2:C32)</f>
        <v>348</v>
      </c>
      <c r="D33" s="17">
        <f t="shared" si="3"/>
        <v>346</v>
      </c>
      <c r="E33" s="17">
        <f t="shared" si="3"/>
        <v>221</v>
      </c>
      <c r="F33" s="18">
        <f>SUM(F2:F32)</f>
        <v>165</v>
      </c>
      <c r="G33" s="18">
        <f t="shared" ref="G33:I33" si="4">SUM(G2:G32)</f>
        <v>106</v>
      </c>
      <c r="H33" s="18">
        <f t="shared" si="4"/>
        <v>55</v>
      </c>
      <c r="I33" s="18">
        <f t="shared" si="4"/>
        <v>4</v>
      </c>
      <c r="J33" s="11">
        <f>SUM(J2:J32)</f>
        <v>266</v>
      </c>
      <c r="K33" s="11">
        <f t="shared" ref="K33:M33" si="5">SUM(K2:K32)</f>
        <v>83</v>
      </c>
      <c r="L33" s="11">
        <f t="shared" si="5"/>
        <v>15</v>
      </c>
      <c r="M33" s="11">
        <f t="shared" si="5"/>
        <v>40</v>
      </c>
      <c r="N33" s="33"/>
      <c r="O33" s="40">
        <f>SUM(O2:O32)</f>
        <v>1484</v>
      </c>
    </row>
  </sheetData>
  <conditionalFormatting sqref="B2 B5:B9 B12:B16 B19:B23 B26:B30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7030A0"/>
  </sheetPr>
  <dimension ref="A1:O33"/>
  <sheetViews>
    <sheetView showGridLines="0" showRowColHeaders="0" zoomScaleNormal="100" workbookViewId="0">
      <pane ySplit="1" topLeftCell="A14" activePane="bottomLeft" state="frozen"/>
      <selection pane="bottomLeft" activeCell="D29" sqref="D29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3" max="3" width="11.28515625" bestFit="1" customWidth="1"/>
    <col min="5" max="5" width="11.28515625" bestFit="1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4">
        <v>43009</v>
      </c>
      <c r="B2" s="10">
        <f>C2+D2+E2</f>
        <v>0</v>
      </c>
      <c r="C2" s="27"/>
      <c r="D2" s="27"/>
      <c r="E2" s="28"/>
      <c r="F2" s="13">
        <f>G2+H2+I2</f>
        <v>0</v>
      </c>
      <c r="G2" s="27"/>
      <c r="H2" s="27"/>
      <c r="I2" s="28"/>
      <c r="J2" s="29"/>
      <c r="K2" s="30"/>
      <c r="L2" s="31"/>
      <c r="M2" s="32"/>
      <c r="N2" s="33"/>
      <c r="O2" s="34">
        <f>B2+F2+J2+K2+L2+M2</f>
        <v>0</v>
      </c>
    </row>
    <row r="3" spans="1:15" ht="16.5" x14ac:dyDescent="0.3">
      <c r="A3" s="4">
        <v>43010</v>
      </c>
      <c r="B3" s="10">
        <f t="shared" ref="B3:B32" si="0">C3+D3+E3</f>
        <v>50</v>
      </c>
      <c r="C3" s="27">
        <v>24</v>
      </c>
      <c r="D3" s="27">
        <v>16</v>
      </c>
      <c r="E3" s="27">
        <v>10</v>
      </c>
      <c r="F3" s="13">
        <f t="shared" ref="F3:F32" si="1">G3+H3+I3</f>
        <v>4</v>
      </c>
      <c r="G3" s="27">
        <v>2</v>
      </c>
      <c r="H3" s="27">
        <v>2</v>
      </c>
      <c r="I3" s="28"/>
      <c r="J3" s="29">
        <v>9</v>
      </c>
      <c r="K3" s="30">
        <v>2</v>
      </c>
      <c r="L3" s="31">
        <v>1</v>
      </c>
      <c r="M3" s="32">
        <v>2</v>
      </c>
      <c r="N3" s="33"/>
      <c r="O3" s="34">
        <f t="shared" ref="O3:O32" si="2">B3+F3+J3+K3+L3+M3</f>
        <v>68</v>
      </c>
    </row>
    <row r="4" spans="1:15" ht="16.5" x14ac:dyDescent="0.3">
      <c r="A4" s="4">
        <v>43011</v>
      </c>
      <c r="B4" s="10">
        <f t="shared" si="0"/>
        <v>37</v>
      </c>
      <c r="C4" s="27">
        <v>14</v>
      </c>
      <c r="D4" s="27">
        <v>14</v>
      </c>
      <c r="E4" s="28">
        <v>9</v>
      </c>
      <c r="F4" s="13">
        <f t="shared" si="1"/>
        <v>9</v>
      </c>
      <c r="G4" s="27">
        <v>7</v>
      </c>
      <c r="H4" s="27">
        <v>2</v>
      </c>
      <c r="I4" s="28"/>
      <c r="J4" s="29">
        <v>14</v>
      </c>
      <c r="K4" s="30">
        <v>3</v>
      </c>
      <c r="L4" s="31">
        <v>1</v>
      </c>
      <c r="M4" s="32">
        <v>2</v>
      </c>
      <c r="N4" s="33"/>
      <c r="O4" s="34">
        <f t="shared" si="2"/>
        <v>66</v>
      </c>
    </row>
    <row r="5" spans="1:15" ht="16.5" x14ac:dyDescent="0.3">
      <c r="A5" s="4">
        <v>43012</v>
      </c>
      <c r="B5" s="10">
        <f t="shared" si="0"/>
        <v>47</v>
      </c>
      <c r="C5" s="27">
        <v>24</v>
      </c>
      <c r="D5" s="27">
        <v>15</v>
      </c>
      <c r="E5" s="28">
        <v>8</v>
      </c>
      <c r="F5" s="13">
        <f t="shared" si="1"/>
        <v>9</v>
      </c>
      <c r="G5" s="27">
        <v>5</v>
      </c>
      <c r="H5" s="27">
        <v>4</v>
      </c>
      <c r="I5" s="28"/>
      <c r="J5" s="29">
        <v>16</v>
      </c>
      <c r="K5" s="30">
        <v>6</v>
      </c>
      <c r="L5" s="31">
        <v>1</v>
      </c>
      <c r="M5" s="32"/>
      <c r="N5" s="33"/>
      <c r="O5" s="34">
        <f t="shared" si="2"/>
        <v>79</v>
      </c>
    </row>
    <row r="6" spans="1:15" ht="16.5" x14ac:dyDescent="0.3">
      <c r="A6" s="4">
        <v>43013</v>
      </c>
      <c r="B6" s="10">
        <f t="shared" si="0"/>
        <v>39</v>
      </c>
      <c r="C6" s="27">
        <v>16</v>
      </c>
      <c r="D6" s="27">
        <v>17</v>
      </c>
      <c r="E6" s="28">
        <v>6</v>
      </c>
      <c r="F6" s="13">
        <f t="shared" si="1"/>
        <v>8</v>
      </c>
      <c r="G6" s="27">
        <v>4</v>
      </c>
      <c r="H6" s="27">
        <v>4</v>
      </c>
      <c r="I6" s="28"/>
      <c r="J6" s="29">
        <v>13</v>
      </c>
      <c r="K6" s="30">
        <v>4</v>
      </c>
      <c r="L6" s="31"/>
      <c r="M6" s="32">
        <v>1</v>
      </c>
      <c r="N6" s="33"/>
      <c r="O6" s="34">
        <f t="shared" si="2"/>
        <v>65</v>
      </c>
    </row>
    <row r="7" spans="1:15" ht="16.5" x14ac:dyDescent="0.3">
      <c r="A7" s="4">
        <v>43014</v>
      </c>
      <c r="B7" s="10">
        <f t="shared" si="0"/>
        <v>56</v>
      </c>
      <c r="C7" s="27">
        <v>26</v>
      </c>
      <c r="D7" s="27">
        <v>17</v>
      </c>
      <c r="E7" s="27">
        <v>13</v>
      </c>
      <c r="F7" s="13">
        <f t="shared" si="1"/>
        <v>4</v>
      </c>
      <c r="G7" s="27">
        <v>1</v>
      </c>
      <c r="H7" s="27">
        <v>3</v>
      </c>
      <c r="I7" s="28"/>
      <c r="J7" s="29">
        <v>15</v>
      </c>
      <c r="K7" s="30">
        <v>7</v>
      </c>
      <c r="L7" s="31"/>
      <c r="M7" s="32">
        <v>1</v>
      </c>
      <c r="N7" s="33"/>
      <c r="O7" s="34">
        <f t="shared" si="2"/>
        <v>83</v>
      </c>
    </row>
    <row r="8" spans="1:15" ht="16.5" x14ac:dyDescent="0.3">
      <c r="A8" s="4">
        <v>43015</v>
      </c>
      <c r="B8" s="10">
        <f t="shared" si="0"/>
        <v>3</v>
      </c>
      <c r="C8" s="27">
        <v>3</v>
      </c>
      <c r="D8" s="27"/>
      <c r="E8" s="28"/>
      <c r="F8" s="13">
        <f t="shared" si="1"/>
        <v>1</v>
      </c>
      <c r="G8" s="27">
        <v>1</v>
      </c>
      <c r="H8" s="27"/>
      <c r="I8" s="28"/>
      <c r="J8" s="29"/>
      <c r="K8" s="30"/>
      <c r="L8" s="31"/>
      <c r="M8" s="32"/>
      <c r="N8" s="33"/>
      <c r="O8" s="34">
        <f t="shared" si="2"/>
        <v>4</v>
      </c>
    </row>
    <row r="9" spans="1:15" ht="16.5" x14ac:dyDescent="0.3">
      <c r="A9" s="4">
        <v>43016</v>
      </c>
      <c r="B9" s="10">
        <f t="shared" si="0"/>
        <v>0</v>
      </c>
      <c r="C9" s="27"/>
      <c r="D9" s="27"/>
      <c r="E9" s="28"/>
      <c r="F9" s="13">
        <f t="shared" si="1"/>
        <v>0</v>
      </c>
      <c r="G9" s="27"/>
      <c r="H9" s="27"/>
      <c r="I9" s="28"/>
      <c r="J9" s="29"/>
      <c r="K9" s="30"/>
      <c r="L9" s="31"/>
      <c r="M9" s="32"/>
      <c r="N9" s="33"/>
      <c r="O9" s="34">
        <f t="shared" si="2"/>
        <v>0</v>
      </c>
    </row>
    <row r="10" spans="1:15" ht="16.5" x14ac:dyDescent="0.3">
      <c r="A10" s="4">
        <v>43017</v>
      </c>
      <c r="B10" s="10">
        <f t="shared" si="0"/>
        <v>43</v>
      </c>
      <c r="C10" s="27">
        <v>18</v>
      </c>
      <c r="D10" s="27">
        <v>15</v>
      </c>
      <c r="E10" s="28">
        <v>10</v>
      </c>
      <c r="F10" s="13">
        <f t="shared" si="1"/>
        <v>15</v>
      </c>
      <c r="G10" s="27">
        <v>9</v>
      </c>
      <c r="H10" s="27">
        <v>6</v>
      </c>
      <c r="I10" s="28"/>
      <c r="J10" s="29">
        <v>14</v>
      </c>
      <c r="K10" s="30">
        <v>9</v>
      </c>
      <c r="L10" s="31">
        <v>2</v>
      </c>
      <c r="M10" s="32"/>
      <c r="N10" s="33"/>
      <c r="O10" s="34">
        <f t="shared" si="2"/>
        <v>83</v>
      </c>
    </row>
    <row r="11" spans="1:15" ht="16.5" x14ac:dyDescent="0.3">
      <c r="A11" s="4">
        <v>43018</v>
      </c>
      <c r="B11" s="10">
        <f t="shared" si="0"/>
        <v>46</v>
      </c>
      <c r="C11" s="27">
        <v>18</v>
      </c>
      <c r="D11" s="27">
        <v>16</v>
      </c>
      <c r="E11" s="28">
        <v>12</v>
      </c>
      <c r="F11" s="13">
        <f t="shared" si="1"/>
        <v>11</v>
      </c>
      <c r="G11" s="27">
        <v>2</v>
      </c>
      <c r="H11" s="27">
        <v>9</v>
      </c>
      <c r="I11" s="28"/>
      <c r="J11" s="29">
        <v>10</v>
      </c>
      <c r="K11" s="30">
        <v>4</v>
      </c>
      <c r="L11" s="31">
        <v>1</v>
      </c>
      <c r="M11" s="32"/>
      <c r="N11" s="33"/>
      <c r="O11" s="34">
        <f t="shared" si="2"/>
        <v>72</v>
      </c>
    </row>
    <row r="12" spans="1:15" ht="16.5" x14ac:dyDescent="0.3">
      <c r="A12" s="4">
        <v>43019</v>
      </c>
      <c r="B12" s="10">
        <f t="shared" si="0"/>
        <v>45</v>
      </c>
      <c r="C12" s="27">
        <v>21</v>
      </c>
      <c r="D12" s="27">
        <v>12</v>
      </c>
      <c r="E12" s="28">
        <v>12</v>
      </c>
      <c r="F12" s="13">
        <f t="shared" si="1"/>
        <v>10</v>
      </c>
      <c r="G12" s="27">
        <v>5</v>
      </c>
      <c r="H12" s="27">
        <v>5</v>
      </c>
      <c r="I12" s="28"/>
      <c r="J12" s="29">
        <v>19</v>
      </c>
      <c r="K12" s="30">
        <v>6</v>
      </c>
      <c r="L12" s="31">
        <v>2</v>
      </c>
      <c r="M12" s="32"/>
      <c r="N12" s="33"/>
      <c r="O12" s="34">
        <f t="shared" si="2"/>
        <v>82</v>
      </c>
    </row>
    <row r="13" spans="1:15" ht="16.5" x14ac:dyDescent="0.3">
      <c r="A13" s="4">
        <v>43020</v>
      </c>
      <c r="B13" s="10">
        <f t="shared" si="0"/>
        <v>37</v>
      </c>
      <c r="C13" s="27">
        <v>13</v>
      </c>
      <c r="D13" s="27">
        <v>16</v>
      </c>
      <c r="E13" s="28">
        <v>8</v>
      </c>
      <c r="F13" s="13">
        <f t="shared" si="1"/>
        <v>12</v>
      </c>
      <c r="G13" s="27">
        <v>6</v>
      </c>
      <c r="H13" s="27">
        <v>6</v>
      </c>
      <c r="I13" s="28"/>
      <c r="J13" s="29">
        <v>17</v>
      </c>
      <c r="K13" s="30">
        <v>5</v>
      </c>
      <c r="L13" s="31"/>
      <c r="M13" s="32">
        <v>1</v>
      </c>
      <c r="N13" s="33"/>
      <c r="O13" s="34">
        <f t="shared" si="2"/>
        <v>72</v>
      </c>
    </row>
    <row r="14" spans="1:15" ht="16.5" x14ac:dyDescent="0.3">
      <c r="A14" s="4">
        <v>43021</v>
      </c>
      <c r="B14" s="10">
        <f t="shared" si="0"/>
        <v>43</v>
      </c>
      <c r="C14" s="27">
        <v>12</v>
      </c>
      <c r="D14" s="27">
        <v>19</v>
      </c>
      <c r="E14" s="28">
        <v>12</v>
      </c>
      <c r="F14" s="13">
        <f t="shared" si="1"/>
        <v>6</v>
      </c>
      <c r="G14" s="27">
        <v>4</v>
      </c>
      <c r="H14" s="27">
        <v>2</v>
      </c>
      <c r="I14" s="28"/>
      <c r="J14" s="29">
        <v>19</v>
      </c>
      <c r="K14" s="30">
        <v>9</v>
      </c>
      <c r="L14" s="31"/>
      <c r="M14" s="32">
        <v>1</v>
      </c>
      <c r="N14" s="33"/>
      <c r="O14" s="34">
        <f t="shared" si="2"/>
        <v>78</v>
      </c>
    </row>
    <row r="15" spans="1:15" ht="16.5" x14ac:dyDescent="0.3">
      <c r="A15" s="4">
        <v>43022</v>
      </c>
      <c r="B15" s="10">
        <f t="shared" si="0"/>
        <v>5</v>
      </c>
      <c r="C15" s="27">
        <v>4</v>
      </c>
      <c r="D15" s="27">
        <v>1</v>
      </c>
      <c r="E15" s="28"/>
      <c r="F15" s="13">
        <f t="shared" si="1"/>
        <v>0</v>
      </c>
      <c r="G15" s="27"/>
      <c r="H15" s="27"/>
      <c r="I15" s="28"/>
      <c r="J15" s="29"/>
      <c r="K15" s="30"/>
      <c r="L15" s="31"/>
      <c r="M15" s="32"/>
      <c r="N15" s="33"/>
      <c r="O15" s="34">
        <f t="shared" si="2"/>
        <v>5</v>
      </c>
    </row>
    <row r="16" spans="1:15" ht="16.5" x14ac:dyDescent="0.3">
      <c r="A16" s="4">
        <v>43023</v>
      </c>
      <c r="B16" s="10">
        <f t="shared" si="0"/>
        <v>0</v>
      </c>
      <c r="C16" s="27"/>
      <c r="D16" s="27"/>
      <c r="E16" s="28"/>
      <c r="F16" s="13">
        <f t="shared" si="1"/>
        <v>0</v>
      </c>
      <c r="G16" s="27"/>
      <c r="H16" s="27"/>
      <c r="I16" s="28"/>
      <c r="J16" s="29"/>
      <c r="K16" s="30"/>
      <c r="L16" s="31"/>
      <c r="M16" s="32"/>
      <c r="N16" s="33"/>
      <c r="O16" s="34">
        <f t="shared" si="2"/>
        <v>0</v>
      </c>
    </row>
    <row r="17" spans="1:15" ht="16.5" x14ac:dyDescent="0.3">
      <c r="A17" s="4">
        <v>43024</v>
      </c>
      <c r="B17" s="10">
        <f t="shared" si="0"/>
        <v>43</v>
      </c>
      <c r="C17" s="27">
        <v>16</v>
      </c>
      <c r="D17" s="27">
        <v>16</v>
      </c>
      <c r="E17" s="28">
        <v>11</v>
      </c>
      <c r="F17" s="13">
        <f t="shared" si="1"/>
        <v>5</v>
      </c>
      <c r="G17" s="27">
        <v>4</v>
      </c>
      <c r="H17" s="27">
        <v>1</v>
      </c>
      <c r="I17" s="28"/>
      <c r="J17" s="29">
        <v>18</v>
      </c>
      <c r="K17" s="30">
        <v>3</v>
      </c>
      <c r="L17" s="31">
        <v>1</v>
      </c>
      <c r="M17" s="32">
        <v>1</v>
      </c>
      <c r="N17" s="33"/>
      <c r="O17" s="34">
        <f t="shared" si="2"/>
        <v>71</v>
      </c>
    </row>
    <row r="18" spans="1:15" ht="16.5" x14ac:dyDescent="0.3">
      <c r="A18" s="4">
        <v>43025</v>
      </c>
      <c r="B18" s="10">
        <f t="shared" si="0"/>
        <v>48</v>
      </c>
      <c r="C18" s="27">
        <v>26</v>
      </c>
      <c r="D18" s="27">
        <v>10</v>
      </c>
      <c r="E18" s="28">
        <v>12</v>
      </c>
      <c r="F18" s="13">
        <f t="shared" si="1"/>
        <v>7</v>
      </c>
      <c r="G18" s="27">
        <v>4</v>
      </c>
      <c r="H18" s="27">
        <v>2</v>
      </c>
      <c r="I18" s="28">
        <v>1</v>
      </c>
      <c r="J18" s="29">
        <v>13</v>
      </c>
      <c r="K18" s="30">
        <v>3</v>
      </c>
      <c r="L18" s="31">
        <v>1</v>
      </c>
      <c r="M18" s="32">
        <v>2</v>
      </c>
      <c r="N18" s="33"/>
      <c r="O18" s="34">
        <f t="shared" si="2"/>
        <v>74</v>
      </c>
    </row>
    <row r="19" spans="1:15" ht="16.5" x14ac:dyDescent="0.3">
      <c r="A19" s="4">
        <v>43026</v>
      </c>
      <c r="B19" s="10">
        <f t="shared" si="0"/>
        <v>37</v>
      </c>
      <c r="C19" s="27">
        <v>21</v>
      </c>
      <c r="D19" s="27">
        <v>10</v>
      </c>
      <c r="E19" s="28">
        <v>6</v>
      </c>
      <c r="F19" s="13">
        <f t="shared" si="1"/>
        <v>14</v>
      </c>
      <c r="G19" s="27">
        <v>9</v>
      </c>
      <c r="H19" s="27">
        <v>5</v>
      </c>
      <c r="I19" s="28"/>
      <c r="J19" s="29">
        <v>18</v>
      </c>
      <c r="K19" s="30">
        <v>3</v>
      </c>
      <c r="L19" s="31">
        <v>1</v>
      </c>
      <c r="M19" s="32">
        <v>4</v>
      </c>
      <c r="N19" s="33"/>
      <c r="O19" s="34">
        <f t="shared" si="2"/>
        <v>77</v>
      </c>
    </row>
    <row r="20" spans="1:15" ht="16.5" x14ac:dyDescent="0.3">
      <c r="A20" s="4">
        <v>43027</v>
      </c>
      <c r="B20" s="10">
        <f t="shared" si="0"/>
        <v>34</v>
      </c>
      <c r="C20" s="27">
        <v>16</v>
      </c>
      <c r="D20" s="27">
        <v>10</v>
      </c>
      <c r="E20" s="28">
        <v>8</v>
      </c>
      <c r="F20" s="13">
        <f t="shared" si="1"/>
        <v>13</v>
      </c>
      <c r="G20" s="27">
        <v>7</v>
      </c>
      <c r="H20" s="27">
        <v>6</v>
      </c>
      <c r="I20" s="28"/>
      <c r="J20" s="29">
        <v>15</v>
      </c>
      <c r="K20" s="30">
        <v>6</v>
      </c>
      <c r="L20" s="31">
        <v>1</v>
      </c>
      <c r="M20" s="32">
        <v>2</v>
      </c>
      <c r="N20" s="33"/>
      <c r="O20" s="34">
        <f t="shared" si="2"/>
        <v>71</v>
      </c>
    </row>
    <row r="21" spans="1:15" ht="16.5" x14ac:dyDescent="0.3">
      <c r="A21" s="4">
        <v>43028</v>
      </c>
      <c r="B21" s="10">
        <f t="shared" si="0"/>
        <v>44</v>
      </c>
      <c r="C21" s="27">
        <v>14</v>
      </c>
      <c r="D21" s="27">
        <v>21</v>
      </c>
      <c r="E21" s="28">
        <v>9</v>
      </c>
      <c r="F21" s="13">
        <f t="shared" si="1"/>
        <v>9</v>
      </c>
      <c r="G21" s="27">
        <v>7</v>
      </c>
      <c r="H21" s="27">
        <v>2</v>
      </c>
      <c r="I21" s="28"/>
      <c r="J21" s="29">
        <v>15</v>
      </c>
      <c r="K21" s="30">
        <v>5</v>
      </c>
      <c r="L21" s="31"/>
      <c r="M21" s="32">
        <v>1</v>
      </c>
      <c r="N21" s="33"/>
      <c r="O21" s="34">
        <f t="shared" si="2"/>
        <v>74</v>
      </c>
    </row>
    <row r="22" spans="1:15" ht="16.5" x14ac:dyDescent="0.3">
      <c r="A22" s="4">
        <v>43029</v>
      </c>
      <c r="B22" s="10">
        <f t="shared" si="0"/>
        <v>2</v>
      </c>
      <c r="C22" s="27">
        <v>1</v>
      </c>
      <c r="D22" s="27">
        <v>1</v>
      </c>
      <c r="E22" s="28"/>
      <c r="F22" s="13">
        <f t="shared" si="1"/>
        <v>2</v>
      </c>
      <c r="G22" s="27">
        <v>1</v>
      </c>
      <c r="H22" s="27">
        <v>1</v>
      </c>
      <c r="I22" s="28"/>
      <c r="J22" s="29">
        <v>1</v>
      </c>
      <c r="K22" s="30">
        <v>1</v>
      </c>
      <c r="L22" s="31">
        <v>1</v>
      </c>
      <c r="M22" s="32"/>
      <c r="N22" s="33"/>
      <c r="O22" s="34">
        <f t="shared" si="2"/>
        <v>7</v>
      </c>
    </row>
    <row r="23" spans="1:15" ht="16.5" x14ac:dyDescent="0.3">
      <c r="A23" s="4">
        <v>43030</v>
      </c>
      <c r="B23" s="10">
        <f t="shared" si="0"/>
        <v>0</v>
      </c>
      <c r="C23" s="27"/>
      <c r="D23" s="27"/>
      <c r="E23" s="28"/>
      <c r="F23" s="13">
        <f t="shared" si="1"/>
        <v>0</v>
      </c>
      <c r="G23" s="27"/>
      <c r="H23" s="27"/>
      <c r="I23" s="28"/>
      <c r="J23" s="29"/>
      <c r="K23" s="30"/>
      <c r="L23" s="31"/>
      <c r="M23" s="32"/>
      <c r="N23" s="33"/>
      <c r="O23" s="34">
        <f t="shared" si="2"/>
        <v>0</v>
      </c>
    </row>
    <row r="24" spans="1:15" ht="16.5" x14ac:dyDescent="0.3">
      <c r="A24" s="4">
        <v>43031</v>
      </c>
      <c r="B24" s="10">
        <f t="shared" si="0"/>
        <v>50</v>
      </c>
      <c r="C24" s="27">
        <v>21</v>
      </c>
      <c r="D24" s="27">
        <v>20</v>
      </c>
      <c r="E24" s="28">
        <v>9</v>
      </c>
      <c r="F24" s="13">
        <f t="shared" si="1"/>
        <v>7</v>
      </c>
      <c r="G24" s="27">
        <v>5</v>
      </c>
      <c r="H24" s="27">
        <v>2</v>
      </c>
      <c r="I24" s="28"/>
      <c r="J24" s="29">
        <v>20</v>
      </c>
      <c r="K24" s="30">
        <v>3</v>
      </c>
      <c r="L24" s="31"/>
      <c r="M24" s="32">
        <v>6</v>
      </c>
      <c r="N24" s="33"/>
      <c r="O24" s="34">
        <f t="shared" si="2"/>
        <v>86</v>
      </c>
    </row>
    <row r="25" spans="1:15" ht="16.5" x14ac:dyDescent="0.3">
      <c r="A25" s="4">
        <v>43032</v>
      </c>
      <c r="B25" s="10">
        <f t="shared" si="0"/>
        <v>47</v>
      </c>
      <c r="C25" s="27">
        <v>17</v>
      </c>
      <c r="D25" s="27">
        <v>20</v>
      </c>
      <c r="E25" s="28">
        <v>10</v>
      </c>
      <c r="F25" s="13">
        <f t="shared" si="1"/>
        <v>14</v>
      </c>
      <c r="G25" s="27">
        <v>7</v>
      </c>
      <c r="H25" s="27">
        <v>6</v>
      </c>
      <c r="I25" s="28">
        <v>1</v>
      </c>
      <c r="J25" s="29">
        <v>8</v>
      </c>
      <c r="K25" s="30">
        <v>3</v>
      </c>
      <c r="L25" s="31">
        <v>2</v>
      </c>
      <c r="M25" s="32">
        <v>2</v>
      </c>
      <c r="N25" s="33"/>
      <c r="O25" s="34">
        <f t="shared" si="2"/>
        <v>76</v>
      </c>
    </row>
    <row r="26" spans="1:15" ht="16.5" x14ac:dyDescent="0.3">
      <c r="A26" s="4">
        <v>43033</v>
      </c>
      <c r="B26" s="10">
        <f t="shared" si="0"/>
        <v>49</v>
      </c>
      <c r="C26" s="27">
        <v>20</v>
      </c>
      <c r="D26" s="27">
        <v>19</v>
      </c>
      <c r="E26" s="28">
        <v>10</v>
      </c>
      <c r="F26" s="13">
        <f t="shared" si="1"/>
        <v>8</v>
      </c>
      <c r="G26" s="27">
        <v>4</v>
      </c>
      <c r="H26" s="27">
        <v>4</v>
      </c>
      <c r="I26" s="28"/>
      <c r="J26" s="29">
        <v>14</v>
      </c>
      <c r="K26" s="30">
        <v>3</v>
      </c>
      <c r="L26" s="31"/>
      <c r="M26" s="32">
        <v>1</v>
      </c>
      <c r="N26" s="33"/>
      <c r="O26" s="34">
        <f t="shared" si="2"/>
        <v>75</v>
      </c>
    </row>
    <row r="27" spans="1:15" ht="16.5" x14ac:dyDescent="0.3">
      <c r="A27" s="4">
        <v>43034</v>
      </c>
      <c r="B27" s="10">
        <f t="shared" si="0"/>
        <v>50</v>
      </c>
      <c r="C27" s="27">
        <v>18</v>
      </c>
      <c r="D27" s="27">
        <v>19</v>
      </c>
      <c r="E27" s="28">
        <v>13</v>
      </c>
      <c r="F27" s="13">
        <f t="shared" si="1"/>
        <v>6</v>
      </c>
      <c r="G27" s="27">
        <v>2</v>
      </c>
      <c r="H27" s="27">
        <v>4</v>
      </c>
      <c r="I27" s="28"/>
      <c r="J27" s="29">
        <v>15</v>
      </c>
      <c r="K27" s="30">
        <v>5</v>
      </c>
      <c r="L27" s="31"/>
      <c r="M27" s="32"/>
      <c r="N27" s="33"/>
      <c r="O27" s="34">
        <f t="shared" si="2"/>
        <v>76</v>
      </c>
    </row>
    <row r="28" spans="1:15" ht="16.5" x14ac:dyDescent="0.3">
      <c r="A28" s="4">
        <v>43035</v>
      </c>
      <c r="B28" s="10">
        <f t="shared" si="0"/>
        <v>52</v>
      </c>
      <c r="C28" s="27">
        <v>24</v>
      </c>
      <c r="D28" s="27">
        <v>12</v>
      </c>
      <c r="E28" s="28">
        <v>16</v>
      </c>
      <c r="F28" s="13">
        <f t="shared" si="1"/>
        <v>7</v>
      </c>
      <c r="G28" s="27">
        <v>4</v>
      </c>
      <c r="H28" s="27">
        <v>3</v>
      </c>
      <c r="I28" s="28"/>
      <c r="J28" s="29">
        <v>16</v>
      </c>
      <c r="K28" s="30">
        <v>1</v>
      </c>
      <c r="L28" s="31"/>
      <c r="M28" s="32"/>
      <c r="N28" s="33"/>
      <c r="O28" s="34">
        <f t="shared" si="2"/>
        <v>76</v>
      </c>
    </row>
    <row r="29" spans="1:15" ht="16.5" x14ac:dyDescent="0.3">
      <c r="A29" s="4">
        <v>43036</v>
      </c>
      <c r="B29" s="10">
        <f t="shared" si="0"/>
        <v>9</v>
      </c>
      <c r="C29" s="27">
        <v>8</v>
      </c>
      <c r="D29" s="27"/>
      <c r="E29" s="28">
        <v>1</v>
      </c>
      <c r="F29" s="13">
        <f t="shared" si="1"/>
        <v>1</v>
      </c>
      <c r="G29" s="27">
        <v>1</v>
      </c>
      <c r="H29" s="27"/>
      <c r="I29" s="28"/>
      <c r="J29" s="29"/>
      <c r="K29" s="30"/>
      <c r="L29" s="31"/>
      <c r="M29" s="32">
        <v>1</v>
      </c>
      <c r="N29" s="33"/>
      <c r="O29" s="34">
        <f t="shared" si="2"/>
        <v>11</v>
      </c>
    </row>
    <row r="30" spans="1:15" ht="16.5" x14ac:dyDescent="0.3">
      <c r="A30" s="4">
        <v>43037</v>
      </c>
      <c r="B30" s="10">
        <f t="shared" si="0"/>
        <v>0</v>
      </c>
      <c r="C30" s="27"/>
      <c r="D30" s="27"/>
      <c r="E30" s="28"/>
      <c r="F30" s="13">
        <f t="shared" si="1"/>
        <v>0</v>
      </c>
      <c r="G30" s="27"/>
      <c r="H30" s="27"/>
      <c r="I30" s="28"/>
      <c r="J30" s="29"/>
      <c r="K30" s="30"/>
      <c r="L30" s="31"/>
      <c r="M30" s="32"/>
      <c r="N30" s="33"/>
      <c r="O30" s="34">
        <f t="shared" si="2"/>
        <v>0</v>
      </c>
    </row>
    <row r="31" spans="1:15" ht="16.5" x14ac:dyDescent="0.3">
      <c r="A31" s="4">
        <v>43038</v>
      </c>
      <c r="B31" s="10">
        <f t="shared" si="0"/>
        <v>49</v>
      </c>
      <c r="C31" s="27">
        <v>24</v>
      </c>
      <c r="D31" s="27">
        <v>15</v>
      </c>
      <c r="E31" s="28">
        <v>10</v>
      </c>
      <c r="F31" s="13">
        <f t="shared" si="1"/>
        <v>8</v>
      </c>
      <c r="G31" s="27">
        <v>2</v>
      </c>
      <c r="H31" s="27">
        <v>6</v>
      </c>
      <c r="I31" s="28"/>
      <c r="J31" s="29">
        <v>14</v>
      </c>
      <c r="K31" s="30">
        <v>4</v>
      </c>
      <c r="L31" s="31"/>
      <c r="M31" s="32"/>
      <c r="N31" s="33"/>
      <c r="O31" s="34">
        <f t="shared" si="2"/>
        <v>75</v>
      </c>
    </row>
    <row r="32" spans="1:15" ht="17.25" thickBot="1" x14ac:dyDescent="0.35">
      <c r="A32" s="4">
        <v>43039</v>
      </c>
      <c r="B32" s="35">
        <f t="shared" si="0"/>
        <v>58</v>
      </c>
      <c r="C32" s="36">
        <v>21</v>
      </c>
      <c r="D32" s="36">
        <v>22</v>
      </c>
      <c r="E32" s="37">
        <v>15</v>
      </c>
      <c r="F32" s="38">
        <f t="shared" si="1"/>
        <v>7</v>
      </c>
      <c r="G32" s="36">
        <v>5</v>
      </c>
      <c r="H32" s="36">
        <v>2</v>
      </c>
      <c r="I32" s="37"/>
      <c r="J32" s="29">
        <v>9</v>
      </c>
      <c r="K32" s="30">
        <v>4</v>
      </c>
      <c r="L32" s="31"/>
      <c r="M32" s="32">
        <v>2</v>
      </c>
      <c r="N32" s="33"/>
      <c r="O32" s="39">
        <f t="shared" si="2"/>
        <v>80</v>
      </c>
    </row>
    <row r="33" spans="1:15" ht="17.25" thickBot="1" x14ac:dyDescent="0.35">
      <c r="A33" s="26" t="s">
        <v>10</v>
      </c>
      <c r="B33" s="17">
        <f>SUM(B2:B32)</f>
        <v>1023</v>
      </c>
      <c r="C33" s="17">
        <f t="shared" ref="C33:E33" si="3">SUM(C2:C32)</f>
        <v>440</v>
      </c>
      <c r="D33" s="17">
        <f t="shared" si="3"/>
        <v>353</v>
      </c>
      <c r="E33" s="17">
        <f t="shared" si="3"/>
        <v>230</v>
      </c>
      <c r="F33" s="18">
        <f>SUM(F2:F32)</f>
        <v>197</v>
      </c>
      <c r="G33" s="18">
        <f t="shared" ref="G33:I33" si="4">SUM(G2:G32)</f>
        <v>108</v>
      </c>
      <c r="H33" s="18">
        <f t="shared" si="4"/>
        <v>87</v>
      </c>
      <c r="I33" s="18">
        <f t="shared" si="4"/>
        <v>2</v>
      </c>
      <c r="J33" s="11">
        <f>SUM(J2:J32)</f>
        <v>322</v>
      </c>
      <c r="K33" s="11">
        <f t="shared" ref="K33:M33" si="5">SUM(K2:K32)</f>
        <v>99</v>
      </c>
      <c r="L33" s="11">
        <f t="shared" si="5"/>
        <v>15</v>
      </c>
      <c r="M33" s="11">
        <f t="shared" si="5"/>
        <v>30</v>
      </c>
      <c r="N33" s="33"/>
      <c r="O33" s="40">
        <f>SUM(O2:O32)</f>
        <v>1686</v>
      </c>
    </row>
  </sheetData>
  <conditionalFormatting sqref="B3:B7 B10:B14 B17:B21 B24:B28 B31:B32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7030A0"/>
  </sheetPr>
  <dimension ref="A1:O33"/>
  <sheetViews>
    <sheetView showGridLines="0" showRowColHeaders="0" zoomScaleNormal="100" workbookViewId="0">
      <pane ySplit="1" topLeftCell="A14" activePane="bottomLeft" state="frozen"/>
      <selection pane="bottomLeft" activeCell="L31" sqref="L31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4">
        <v>43040</v>
      </c>
      <c r="B2" s="10">
        <f>C2+D2+E2</f>
        <v>0</v>
      </c>
      <c r="C2" s="27"/>
      <c r="D2" s="27"/>
      <c r="E2" s="28"/>
      <c r="F2" s="13">
        <f>G2+H2+I2</f>
        <v>0</v>
      </c>
      <c r="G2" s="27"/>
      <c r="H2" s="27"/>
      <c r="I2" s="28"/>
      <c r="J2" s="29"/>
      <c r="K2" s="30"/>
      <c r="L2" s="31"/>
      <c r="M2" s="32"/>
      <c r="N2" s="33"/>
      <c r="O2" s="34">
        <f>B2+F2+J2+K2+L2+M2</f>
        <v>0</v>
      </c>
    </row>
    <row r="3" spans="1:15" ht="16.5" x14ac:dyDescent="0.3">
      <c r="A3" s="4">
        <v>43041</v>
      </c>
      <c r="B3" s="10">
        <f t="shared" ref="B3:B32" si="0">C3+D3+E3</f>
        <v>50</v>
      </c>
      <c r="C3" s="27">
        <v>18</v>
      </c>
      <c r="D3" s="27">
        <v>20</v>
      </c>
      <c r="E3" s="28">
        <v>12</v>
      </c>
      <c r="F3" s="13">
        <f t="shared" ref="F3:F32" si="1">G3+H3+I3</f>
        <v>10</v>
      </c>
      <c r="G3" s="27">
        <v>6</v>
      </c>
      <c r="H3" s="27">
        <v>4</v>
      </c>
      <c r="I3" s="28"/>
      <c r="J3" s="29">
        <v>10</v>
      </c>
      <c r="K3" s="30">
        <v>3</v>
      </c>
      <c r="L3" s="31"/>
      <c r="M3" s="32">
        <v>3</v>
      </c>
      <c r="N3" s="33"/>
      <c r="O3" s="34">
        <f t="shared" ref="O3:O32" si="2">B3+F3+J3+K3+L3+M3</f>
        <v>76</v>
      </c>
    </row>
    <row r="4" spans="1:15" ht="16.5" x14ac:dyDescent="0.3">
      <c r="A4" s="4">
        <v>43042</v>
      </c>
      <c r="B4" s="10">
        <f t="shared" si="0"/>
        <v>61</v>
      </c>
      <c r="C4" s="27">
        <v>20</v>
      </c>
      <c r="D4" s="27">
        <v>27</v>
      </c>
      <c r="E4" s="28">
        <v>14</v>
      </c>
      <c r="F4" s="13">
        <f t="shared" si="1"/>
        <v>6</v>
      </c>
      <c r="G4" s="27">
        <v>3</v>
      </c>
      <c r="H4" s="27">
        <v>3</v>
      </c>
      <c r="I4" s="28"/>
      <c r="J4" s="29">
        <v>10</v>
      </c>
      <c r="K4" s="30">
        <v>5</v>
      </c>
      <c r="L4" s="31"/>
      <c r="M4" s="32">
        <v>1</v>
      </c>
      <c r="N4" s="33"/>
      <c r="O4" s="34">
        <f t="shared" si="2"/>
        <v>83</v>
      </c>
    </row>
    <row r="5" spans="1:15" ht="16.5" x14ac:dyDescent="0.3">
      <c r="A5" s="4">
        <v>43043</v>
      </c>
      <c r="B5" s="10">
        <f t="shared" si="0"/>
        <v>9</v>
      </c>
      <c r="C5" s="27">
        <v>7</v>
      </c>
      <c r="D5" s="27">
        <v>1</v>
      </c>
      <c r="E5" s="28">
        <v>1</v>
      </c>
      <c r="F5" s="13">
        <f t="shared" si="1"/>
        <v>0</v>
      </c>
      <c r="G5" s="27"/>
      <c r="H5" s="27"/>
      <c r="I5" s="28"/>
      <c r="J5" s="29"/>
      <c r="K5" s="30"/>
      <c r="L5" s="31"/>
      <c r="M5" s="32"/>
      <c r="N5" s="33"/>
      <c r="O5" s="34">
        <f t="shared" si="2"/>
        <v>9</v>
      </c>
    </row>
    <row r="6" spans="1:15" ht="16.5" x14ac:dyDescent="0.3">
      <c r="A6" s="4">
        <v>43044</v>
      </c>
      <c r="B6" s="10">
        <f t="shared" si="0"/>
        <v>0</v>
      </c>
      <c r="C6" s="27"/>
      <c r="D6" s="27"/>
      <c r="E6" s="28"/>
      <c r="F6" s="13">
        <f t="shared" si="1"/>
        <v>0</v>
      </c>
      <c r="G6" s="27"/>
      <c r="H6" s="27"/>
      <c r="I6" s="28"/>
      <c r="J6" s="29"/>
      <c r="K6" s="30"/>
      <c r="L6" s="31"/>
      <c r="M6" s="32"/>
      <c r="N6" s="33"/>
      <c r="O6" s="34">
        <f t="shared" si="2"/>
        <v>0</v>
      </c>
    </row>
    <row r="7" spans="1:15" ht="16.5" x14ac:dyDescent="0.3">
      <c r="A7" s="4">
        <v>43045</v>
      </c>
      <c r="B7" s="10">
        <f t="shared" si="0"/>
        <v>55</v>
      </c>
      <c r="C7" s="27">
        <v>22</v>
      </c>
      <c r="D7" s="27">
        <v>19</v>
      </c>
      <c r="E7" s="28">
        <v>14</v>
      </c>
      <c r="F7" s="13">
        <f t="shared" si="1"/>
        <v>5</v>
      </c>
      <c r="G7" s="27">
        <v>3</v>
      </c>
      <c r="H7" s="27">
        <v>2</v>
      </c>
      <c r="I7" s="28"/>
      <c r="J7" s="29">
        <v>9</v>
      </c>
      <c r="K7" s="30">
        <v>1</v>
      </c>
      <c r="L7" s="31"/>
      <c r="M7" s="32"/>
      <c r="N7" s="33"/>
      <c r="O7" s="34">
        <f t="shared" si="2"/>
        <v>70</v>
      </c>
    </row>
    <row r="8" spans="1:15" ht="16.5" x14ac:dyDescent="0.3">
      <c r="A8" s="4">
        <v>43046</v>
      </c>
      <c r="B8" s="10">
        <f t="shared" si="0"/>
        <v>40</v>
      </c>
      <c r="C8" s="27">
        <v>12</v>
      </c>
      <c r="D8" s="27">
        <v>16</v>
      </c>
      <c r="E8" s="28">
        <v>12</v>
      </c>
      <c r="F8" s="13">
        <f t="shared" si="1"/>
        <v>11</v>
      </c>
      <c r="G8" s="27">
        <v>7</v>
      </c>
      <c r="H8" s="27">
        <v>4</v>
      </c>
      <c r="I8" s="28"/>
      <c r="J8" s="29">
        <v>15</v>
      </c>
      <c r="K8" s="30">
        <v>4</v>
      </c>
      <c r="L8" s="31"/>
      <c r="M8" s="32"/>
      <c r="N8" s="33"/>
      <c r="O8" s="34">
        <f t="shared" si="2"/>
        <v>70</v>
      </c>
    </row>
    <row r="9" spans="1:15" ht="16.5" x14ac:dyDescent="0.3">
      <c r="A9" s="4">
        <v>43047</v>
      </c>
      <c r="B9" s="10">
        <f t="shared" si="0"/>
        <v>44</v>
      </c>
      <c r="C9" s="27">
        <v>15</v>
      </c>
      <c r="D9" s="27">
        <v>17</v>
      </c>
      <c r="E9" s="28">
        <v>12</v>
      </c>
      <c r="F9" s="13">
        <f t="shared" si="1"/>
        <v>13</v>
      </c>
      <c r="G9" s="27">
        <v>7</v>
      </c>
      <c r="H9" s="27">
        <v>6</v>
      </c>
      <c r="I9" s="28"/>
      <c r="J9" s="29">
        <v>12</v>
      </c>
      <c r="K9" s="30">
        <v>2</v>
      </c>
      <c r="L9" s="31"/>
      <c r="M9" s="32"/>
      <c r="N9" s="33"/>
      <c r="O9" s="34">
        <f t="shared" si="2"/>
        <v>71</v>
      </c>
    </row>
    <row r="10" spans="1:15" ht="16.5" x14ac:dyDescent="0.3">
      <c r="A10" s="4">
        <v>43048</v>
      </c>
      <c r="B10" s="10">
        <f t="shared" si="0"/>
        <v>38</v>
      </c>
      <c r="C10" s="27">
        <v>15</v>
      </c>
      <c r="D10" s="27">
        <v>14</v>
      </c>
      <c r="E10" s="28">
        <v>9</v>
      </c>
      <c r="F10" s="13">
        <f t="shared" si="1"/>
        <v>10</v>
      </c>
      <c r="G10" s="27">
        <v>6</v>
      </c>
      <c r="H10" s="27">
        <v>4</v>
      </c>
      <c r="I10" s="28"/>
      <c r="J10" s="29">
        <v>11</v>
      </c>
      <c r="K10" s="30">
        <v>5</v>
      </c>
      <c r="L10" s="31"/>
      <c r="M10" s="32">
        <v>2</v>
      </c>
      <c r="N10" s="33"/>
      <c r="O10" s="34">
        <f t="shared" si="2"/>
        <v>66</v>
      </c>
    </row>
    <row r="11" spans="1:15" ht="16.5" x14ac:dyDescent="0.3">
      <c r="A11" s="4">
        <v>43049</v>
      </c>
      <c r="B11" s="10">
        <f t="shared" si="0"/>
        <v>41</v>
      </c>
      <c r="C11" s="27">
        <v>16</v>
      </c>
      <c r="D11" s="27">
        <v>13</v>
      </c>
      <c r="E11" s="28">
        <v>12</v>
      </c>
      <c r="F11" s="13">
        <f t="shared" si="1"/>
        <v>11</v>
      </c>
      <c r="G11" s="27">
        <v>3</v>
      </c>
      <c r="H11" s="27">
        <v>8</v>
      </c>
      <c r="I11" s="28"/>
      <c r="J11" s="29">
        <v>11</v>
      </c>
      <c r="K11" s="30">
        <v>5</v>
      </c>
      <c r="L11" s="31">
        <v>1</v>
      </c>
      <c r="M11" s="32">
        <v>4</v>
      </c>
      <c r="N11" s="33"/>
      <c r="O11" s="34">
        <f t="shared" si="2"/>
        <v>73</v>
      </c>
    </row>
    <row r="12" spans="1:15" ht="16.5" x14ac:dyDescent="0.3">
      <c r="A12" s="4">
        <v>43050</v>
      </c>
      <c r="B12" s="10">
        <f t="shared" si="0"/>
        <v>0</v>
      </c>
      <c r="C12" s="27"/>
      <c r="D12" s="27"/>
      <c r="E12" s="28"/>
      <c r="F12" s="13">
        <f t="shared" si="1"/>
        <v>0</v>
      </c>
      <c r="G12" s="27"/>
      <c r="H12" s="27"/>
      <c r="I12" s="28"/>
      <c r="J12" s="29"/>
      <c r="K12" s="30"/>
      <c r="L12" s="31"/>
      <c r="M12" s="32"/>
      <c r="N12" s="33"/>
      <c r="O12" s="34">
        <f t="shared" si="2"/>
        <v>0</v>
      </c>
    </row>
    <row r="13" spans="1:15" ht="16.5" x14ac:dyDescent="0.3">
      <c r="A13" s="4">
        <v>43051</v>
      </c>
      <c r="B13" s="10">
        <f t="shared" si="0"/>
        <v>0</v>
      </c>
      <c r="C13" s="27"/>
      <c r="D13" s="27"/>
      <c r="E13" s="28"/>
      <c r="F13" s="13">
        <f t="shared" si="1"/>
        <v>0</v>
      </c>
      <c r="G13" s="27"/>
      <c r="H13" s="27"/>
      <c r="I13" s="28"/>
      <c r="J13" s="29"/>
      <c r="K13" s="30"/>
      <c r="L13" s="31"/>
      <c r="M13" s="32"/>
      <c r="N13" s="33"/>
      <c r="O13" s="34">
        <f t="shared" si="2"/>
        <v>0</v>
      </c>
    </row>
    <row r="14" spans="1:15" ht="16.5" x14ac:dyDescent="0.3">
      <c r="A14" s="4">
        <v>43052</v>
      </c>
      <c r="B14" s="10">
        <f t="shared" si="0"/>
        <v>44</v>
      </c>
      <c r="C14" s="27">
        <v>16</v>
      </c>
      <c r="D14" s="27">
        <v>19</v>
      </c>
      <c r="E14" s="28">
        <v>9</v>
      </c>
      <c r="F14" s="13">
        <f t="shared" si="1"/>
        <v>9</v>
      </c>
      <c r="G14" s="27">
        <v>7</v>
      </c>
      <c r="H14" s="27">
        <v>2</v>
      </c>
      <c r="I14" s="28"/>
      <c r="J14" s="29">
        <v>8</v>
      </c>
      <c r="K14" s="30">
        <v>3</v>
      </c>
      <c r="L14" s="31"/>
      <c r="M14" s="32">
        <v>2</v>
      </c>
      <c r="N14" s="33"/>
      <c r="O14" s="34">
        <f t="shared" si="2"/>
        <v>66</v>
      </c>
    </row>
    <row r="15" spans="1:15" ht="16.5" x14ac:dyDescent="0.3">
      <c r="A15" s="4">
        <v>43053</v>
      </c>
      <c r="B15" s="10">
        <f t="shared" si="0"/>
        <v>42</v>
      </c>
      <c r="C15" s="27">
        <v>14</v>
      </c>
      <c r="D15" s="27">
        <v>14</v>
      </c>
      <c r="E15" s="28">
        <v>14</v>
      </c>
      <c r="F15" s="13">
        <f t="shared" si="1"/>
        <v>7</v>
      </c>
      <c r="G15" s="27">
        <v>7</v>
      </c>
      <c r="H15" s="27"/>
      <c r="I15" s="28"/>
      <c r="J15" s="29">
        <v>6</v>
      </c>
      <c r="K15" s="30">
        <v>4</v>
      </c>
      <c r="L15" s="31"/>
      <c r="M15" s="32">
        <v>4</v>
      </c>
      <c r="N15" s="33"/>
      <c r="O15" s="34">
        <f t="shared" si="2"/>
        <v>63</v>
      </c>
    </row>
    <row r="16" spans="1:15" ht="16.5" x14ac:dyDescent="0.3">
      <c r="A16" s="4">
        <v>43054</v>
      </c>
      <c r="B16" s="10">
        <f t="shared" si="0"/>
        <v>46</v>
      </c>
      <c r="C16" s="27">
        <v>17</v>
      </c>
      <c r="D16" s="27">
        <v>17</v>
      </c>
      <c r="E16" s="28">
        <v>12</v>
      </c>
      <c r="F16" s="13">
        <f t="shared" si="1"/>
        <v>9</v>
      </c>
      <c r="G16" s="27">
        <v>4</v>
      </c>
      <c r="H16" s="27">
        <v>5</v>
      </c>
      <c r="I16" s="28"/>
      <c r="J16" s="29">
        <v>8</v>
      </c>
      <c r="K16" s="30">
        <v>6</v>
      </c>
      <c r="L16" s="31"/>
      <c r="M16" s="32"/>
      <c r="N16" s="33"/>
      <c r="O16" s="34">
        <f t="shared" si="2"/>
        <v>69</v>
      </c>
    </row>
    <row r="17" spans="1:15" ht="16.5" x14ac:dyDescent="0.3">
      <c r="A17" s="4">
        <v>43055</v>
      </c>
      <c r="B17" s="10">
        <f t="shared" si="0"/>
        <v>43</v>
      </c>
      <c r="C17" s="27">
        <v>15</v>
      </c>
      <c r="D17" s="27">
        <v>18</v>
      </c>
      <c r="E17" s="28">
        <v>10</v>
      </c>
      <c r="F17" s="13">
        <f t="shared" si="1"/>
        <v>11</v>
      </c>
      <c r="G17" s="27">
        <v>7</v>
      </c>
      <c r="H17" s="27">
        <v>4</v>
      </c>
      <c r="I17" s="28"/>
      <c r="J17" s="29">
        <v>8</v>
      </c>
      <c r="K17" s="30">
        <v>5</v>
      </c>
      <c r="L17" s="31"/>
      <c r="M17" s="32">
        <v>2</v>
      </c>
      <c r="N17" s="33"/>
      <c r="O17" s="34">
        <f t="shared" si="2"/>
        <v>69</v>
      </c>
    </row>
    <row r="18" spans="1:15" ht="16.5" x14ac:dyDescent="0.3">
      <c r="A18" s="4">
        <v>43056</v>
      </c>
      <c r="B18" s="10">
        <f t="shared" si="0"/>
        <v>47</v>
      </c>
      <c r="C18" s="27">
        <v>24</v>
      </c>
      <c r="D18" s="27">
        <v>13</v>
      </c>
      <c r="E18" s="28">
        <v>10</v>
      </c>
      <c r="F18" s="13">
        <f t="shared" si="1"/>
        <v>9</v>
      </c>
      <c r="G18" s="27">
        <v>3</v>
      </c>
      <c r="H18" s="27">
        <v>6</v>
      </c>
      <c r="I18" s="28"/>
      <c r="J18" s="29">
        <v>3</v>
      </c>
      <c r="K18" s="30">
        <v>6</v>
      </c>
      <c r="L18" s="31"/>
      <c r="M18" s="32"/>
      <c r="N18" s="33"/>
      <c r="O18" s="34">
        <f t="shared" si="2"/>
        <v>65</v>
      </c>
    </row>
    <row r="19" spans="1:15" ht="16.5" x14ac:dyDescent="0.3">
      <c r="A19" s="4">
        <v>43057</v>
      </c>
      <c r="B19" s="10">
        <f t="shared" si="0"/>
        <v>9</v>
      </c>
      <c r="C19" s="27">
        <v>8</v>
      </c>
      <c r="D19" s="27"/>
      <c r="E19" s="28">
        <v>1</v>
      </c>
      <c r="F19" s="13">
        <f t="shared" si="1"/>
        <v>0</v>
      </c>
      <c r="G19" s="27"/>
      <c r="H19" s="27"/>
      <c r="I19" s="28"/>
      <c r="J19" s="29"/>
      <c r="K19" s="30"/>
      <c r="L19" s="31"/>
      <c r="M19" s="32"/>
      <c r="N19" s="33"/>
      <c r="O19" s="34">
        <f t="shared" si="2"/>
        <v>9</v>
      </c>
    </row>
    <row r="20" spans="1:15" ht="16.5" x14ac:dyDescent="0.3">
      <c r="A20" s="4">
        <v>43058</v>
      </c>
      <c r="B20" s="10">
        <f t="shared" si="0"/>
        <v>0</v>
      </c>
      <c r="C20" s="27"/>
      <c r="D20" s="27"/>
      <c r="E20" s="28"/>
      <c r="F20" s="13">
        <f t="shared" si="1"/>
        <v>0</v>
      </c>
      <c r="G20" s="27"/>
      <c r="H20" s="27"/>
      <c r="I20" s="28"/>
      <c r="J20" s="29"/>
      <c r="K20" s="30"/>
      <c r="L20" s="31"/>
      <c r="M20" s="32"/>
      <c r="N20" s="33"/>
      <c r="O20" s="34">
        <f t="shared" si="2"/>
        <v>0</v>
      </c>
    </row>
    <row r="21" spans="1:15" ht="16.5" x14ac:dyDescent="0.3">
      <c r="A21" s="4">
        <v>43059</v>
      </c>
      <c r="B21" s="10">
        <f t="shared" si="0"/>
        <v>49</v>
      </c>
      <c r="C21" s="27">
        <v>18</v>
      </c>
      <c r="D21" s="27">
        <v>20</v>
      </c>
      <c r="E21" s="28">
        <v>11</v>
      </c>
      <c r="F21" s="13">
        <f t="shared" si="1"/>
        <v>11</v>
      </c>
      <c r="G21" s="27">
        <v>9</v>
      </c>
      <c r="H21" s="27">
        <v>2</v>
      </c>
      <c r="I21" s="28"/>
      <c r="J21" s="29">
        <v>7</v>
      </c>
      <c r="K21" s="30">
        <v>1</v>
      </c>
      <c r="L21" s="31">
        <v>1</v>
      </c>
      <c r="M21" s="32">
        <v>3</v>
      </c>
      <c r="N21" s="33"/>
      <c r="O21" s="34">
        <f t="shared" si="2"/>
        <v>72</v>
      </c>
    </row>
    <row r="22" spans="1:15" ht="16.5" x14ac:dyDescent="0.3">
      <c r="A22" s="4">
        <v>43060</v>
      </c>
      <c r="B22" s="10">
        <f t="shared" si="0"/>
        <v>47</v>
      </c>
      <c r="C22" s="27">
        <v>15</v>
      </c>
      <c r="D22" s="27">
        <v>21</v>
      </c>
      <c r="E22" s="28">
        <v>11</v>
      </c>
      <c r="F22" s="13">
        <f t="shared" si="1"/>
        <v>8</v>
      </c>
      <c r="G22" s="27">
        <v>7</v>
      </c>
      <c r="H22" s="27">
        <v>1</v>
      </c>
      <c r="I22" s="28"/>
      <c r="J22" s="29">
        <v>11</v>
      </c>
      <c r="K22" s="30">
        <v>4</v>
      </c>
      <c r="L22" s="31">
        <v>2</v>
      </c>
      <c r="M22" s="32">
        <v>1</v>
      </c>
      <c r="N22" s="33"/>
      <c r="O22" s="34">
        <f t="shared" si="2"/>
        <v>73</v>
      </c>
    </row>
    <row r="23" spans="1:15" ht="16.5" x14ac:dyDescent="0.3">
      <c r="A23" s="4">
        <v>43061</v>
      </c>
      <c r="B23" s="10">
        <f t="shared" si="0"/>
        <v>44</v>
      </c>
      <c r="C23" s="27">
        <v>18</v>
      </c>
      <c r="D23" s="27">
        <v>13</v>
      </c>
      <c r="E23" s="28">
        <v>13</v>
      </c>
      <c r="F23" s="13">
        <f t="shared" si="1"/>
        <v>9</v>
      </c>
      <c r="G23" s="27">
        <v>4</v>
      </c>
      <c r="H23" s="27">
        <v>5</v>
      </c>
      <c r="I23" s="28"/>
      <c r="J23" s="29">
        <v>7</v>
      </c>
      <c r="K23" s="30">
        <v>1</v>
      </c>
      <c r="L23" s="31"/>
      <c r="M23" s="32">
        <v>2</v>
      </c>
      <c r="N23" s="33"/>
      <c r="O23" s="34">
        <f t="shared" si="2"/>
        <v>63</v>
      </c>
    </row>
    <row r="24" spans="1:15" ht="16.5" x14ac:dyDescent="0.3">
      <c r="A24" s="4">
        <v>43062</v>
      </c>
      <c r="B24" s="10">
        <f t="shared" si="0"/>
        <v>40</v>
      </c>
      <c r="C24" s="27">
        <v>18</v>
      </c>
      <c r="D24" s="27">
        <v>15</v>
      </c>
      <c r="E24" s="28">
        <v>7</v>
      </c>
      <c r="F24" s="13">
        <f t="shared" si="1"/>
        <v>8</v>
      </c>
      <c r="G24" s="27">
        <v>6</v>
      </c>
      <c r="H24" s="27">
        <v>2</v>
      </c>
      <c r="I24" s="28"/>
      <c r="J24" s="29">
        <v>14</v>
      </c>
      <c r="K24" s="30">
        <v>7</v>
      </c>
      <c r="L24" s="31">
        <v>2</v>
      </c>
      <c r="M24" s="32">
        <v>2</v>
      </c>
      <c r="N24" s="33"/>
      <c r="O24" s="34">
        <f t="shared" si="2"/>
        <v>73</v>
      </c>
    </row>
    <row r="25" spans="1:15" ht="16.5" x14ac:dyDescent="0.3">
      <c r="A25" s="4">
        <v>43063</v>
      </c>
      <c r="B25" s="10">
        <f t="shared" si="0"/>
        <v>38</v>
      </c>
      <c r="C25" s="27">
        <v>17</v>
      </c>
      <c r="D25" s="27">
        <v>15</v>
      </c>
      <c r="E25" s="28">
        <v>6</v>
      </c>
      <c r="F25" s="13">
        <f t="shared" si="1"/>
        <v>10</v>
      </c>
      <c r="G25" s="27">
        <v>8</v>
      </c>
      <c r="H25" s="27">
        <v>2</v>
      </c>
      <c r="I25" s="28"/>
      <c r="J25" s="29">
        <v>13</v>
      </c>
      <c r="K25" s="30">
        <v>4</v>
      </c>
      <c r="L25" s="31"/>
      <c r="M25" s="32"/>
      <c r="N25" s="33"/>
      <c r="O25" s="34">
        <f t="shared" si="2"/>
        <v>65</v>
      </c>
    </row>
    <row r="26" spans="1:15" ht="16.5" x14ac:dyDescent="0.3">
      <c r="A26" s="4">
        <v>43064</v>
      </c>
      <c r="B26" s="10">
        <f t="shared" si="0"/>
        <v>10</v>
      </c>
      <c r="C26" s="27">
        <v>4</v>
      </c>
      <c r="D26" s="27">
        <v>4</v>
      </c>
      <c r="E26" s="28">
        <v>2</v>
      </c>
      <c r="F26" s="13">
        <f t="shared" si="1"/>
        <v>0</v>
      </c>
      <c r="G26" s="27"/>
      <c r="H26" s="27"/>
      <c r="I26" s="28"/>
      <c r="J26" s="29">
        <v>1</v>
      </c>
      <c r="K26" s="30">
        <v>1</v>
      </c>
      <c r="L26" s="31"/>
      <c r="M26" s="32"/>
      <c r="N26" s="33"/>
      <c r="O26" s="34">
        <f t="shared" si="2"/>
        <v>12</v>
      </c>
    </row>
    <row r="27" spans="1:15" ht="16.5" x14ac:dyDescent="0.3">
      <c r="A27" s="4">
        <v>43065</v>
      </c>
      <c r="B27" s="10">
        <f t="shared" si="0"/>
        <v>0</v>
      </c>
      <c r="C27" s="27"/>
      <c r="D27" s="27"/>
      <c r="E27" s="28"/>
      <c r="F27" s="13">
        <f t="shared" si="1"/>
        <v>0</v>
      </c>
      <c r="G27" s="27"/>
      <c r="H27" s="27"/>
      <c r="I27" s="28"/>
      <c r="J27" s="29"/>
      <c r="K27" s="30"/>
      <c r="L27" s="31"/>
      <c r="M27" s="32"/>
      <c r="N27" s="33"/>
      <c r="O27" s="34">
        <f t="shared" si="2"/>
        <v>0</v>
      </c>
    </row>
    <row r="28" spans="1:15" ht="16.5" x14ac:dyDescent="0.3">
      <c r="A28" s="4">
        <v>43066</v>
      </c>
      <c r="B28" s="10">
        <f t="shared" si="0"/>
        <v>45</v>
      </c>
      <c r="C28" s="27">
        <v>19</v>
      </c>
      <c r="D28" s="27">
        <v>15</v>
      </c>
      <c r="E28" s="28">
        <v>11</v>
      </c>
      <c r="F28" s="13">
        <f t="shared" si="1"/>
        <v>7</v>
      </c>
      <c r="G28" s="27">
        <v>6</v>
      </c>
      <c r="H28" s="27">
        <v>1</v>
      </c>
      <c r="I28" s="28"/>
      <c r="J28" s="29">
        <v>6</v>
      </c>
      <c r="K28" s="30">
        <v>2</v>
      </c>
      <c r="L28" s="31">
        <v>1</v>
      </c>
      <c r="M28" s="32">
        <v>1</v>
      </c>
      <c r="N28" s="33"/>
      <c r="O28" s="34">
        <f t="shared" si="2"/>
        <v>62</v>
      </c>
    </row>
    <row r="29" spans="1:15" ht="16.5" x14ac:dyDescent="0.3">
      <c r="A29" s="4">
        <v>43067</v>
      </c>
      <c r="B29" s="10">
        <f t="shared" si="0"/>
        <v>38</v>
      </c>
      <c r="C29" s="27">
        <v>21</v>
      </c>
      <c r="D29" s="27">
        <v>12</v>
      </c>
      <c r="E29" s="28">
        <v>5</v>
      </c>
      <c r="F29" s="13">
        <f t="shared" si="1"/>
        <v>5</v>
      </c>
      <c r="G29" s="27">
        <v>1</v>
      </c>
      <c r="H29" s="27">
        <v>4</v>
      </c>
      <c r="I29" s="28"/>
      <c r="J29" s="29">
        <v>15</v>
      </c>
      <c r="K29" s="30">
        <v>3</v>
      </c>
      <c r="L29" s="31"/>
      <c r="M29" s="32"/>
      <c r="N29" s="33"/>
      <c r="O29" s="34">
        <f t="shared" si="2"/>
        <v>61</v>
      </c>
    </row>
    <row r="30" spans="1:15" ht="16.5" x14ac:dyDescent="0.3">
      <c r="A30" s="4">
        <v>43068</v>
      </c>
      <c r="B30" s="10">
        <f t="shared" si="0"/>
        <v>42</v>
      </c>
      <c r="C30" s="27">
        <v>18</v>
      </c>
      <c r="D30" s="27">
        <v>17</v>
      </c>
      <c r="E30" s="28">
        <v>7</v>
      </c>
      <c r="F30" s="13">
        <f t="shared" si="1"/>
        <v>8</v>
      </c>
      <c r="G30" s="27">
        <v>6</v>
      </c>
      <c r="H30" s="27">
        <v>2</v>
      </c>
      <c r="I30" s="28"/>
      <c r="J30" s="29">
        <v>6</v>
      </c>
      <c r="K30" s="30">
        <v>3</v>
      </c>
      <c r="L30" s="31"/>
      <c r="M30" s="32">
        <v>1</v>
      </c>
      <c r="N30" s="33"/>
      <c r="O30" s="34">
        <f t="shared" si="2"/>
        <v>60</v>
      </c>
    </row>
    <row r="31" spans="1:15" ht="16.5" x14ac:dyDescent="0.3">
      <c r="A31" s="4">
        <v>43069</v>
      </c>
      <c r="B31" s="10">
        <f t="shared" si="0"/>
        <v>49</v>
      </c>
      <c r="C31" s="27">
        <v>17</v>
      </c>
      <c r="D31" s="27">
        <v>22</v>
      </c>
      <c r="E31" s="28">
        <v>10</v>
      </c>
      <c r="F31" s="13">
        <f t="shared" si="1"/>
        <v>10</v>
      </c>
      <c r="G31" s="27">
        <v>5</v>
      </c>
      <c r="H31" s="27">
        <v>5</v>
      </c>
      <c r="I31" s="28"/>
      <c r="J31" s="29">
        <v>10</v>
      </c>
      <c r="K31" s="30"/>
      <c r="L31" s="31"/>
      <c r="M31" s="32">
        <v>1</v>
      </c>
      <c r="N31" s="33"/>
      <c r="O31" s="34">
        <f t="shared" si="2"/>
        <v>70</v>
      </c>
    </row>
    <row r="32" spans="1:15" ht="17.25" thickBot="1" x14ac:dyDescent="0.35">
      <c r="A32" s="4"/>
      <c r="B32" s="35">
        <f t="shared" si="0"/>
        <v>0</v>
      </c>
      <c r="C32" s="36"/>
      <c r="D32" s="36"/>
      <c r="E32" s="37"/>
      <c r="F32" s="38">
        <f t="shared" si="1"/>
        <v>0</v>
      </c>
      <c r="G32" s="36"/>
      <c r="H32" s="36"/>
      <c r="I32" s="37"/>
      <c r="J32" s="29"/>
      <c r="K32" s="30"/>
      <c r="L32" s="31"/>
      <c r="M32" s="32"/>
      <c r="N32" s="33"/>
      <c r="O32" s="39">
        <f t="shared" si="2"/>
        <v>0</v>
      </c>
    </row>
    <row r="33" spans="1:15" ht="17.25" thickBot="1" x14ac:dyDescent="0.35">
      <c r="A33" s="26" t="s">
        <v>10</v>
      </c>
      <c r="B33" s="17">
        <f>SUM(B2:B32)</f>
        <v>971</v>
      </c>
      <c r="C33" s="17">
        <f t="shared" ref="C33:E33" si="3">SUM(C2:C32)</f>
        <v>384</v>
      </c>
      <c r="D33" s="17">
        <f t="shared" si="3"/>
        <v>362</v>
      </c>
      <c r="E33" s="17">
        <f t="shared" si="3"/>
        <v>225</v>
      </c>
      <c r="F33" s="18">
        <f>SUM(F2:F32)</f>
        <v>187</v>
      </c>
      <c r="G33" s="18">
        <f t="shared" ref="G33:I33" si="4">SUM(G2:G32)</f>
        <v>115</v>
      </c>
      <c r="H33" s="18">
        <f t="shared" si="4"/>
        <v>72</v>
      </c>
      <c r="I33" s="18">
        <f t="shared" si="4"/>
        <v>0</v>
      </c>
      <c r="J33" s="11">
        <f>SUM(J2:J32)</f>
        <v>201</v>
      </c>
      <c r="K33" s="11">
        <f t="shared" ref="K33:M33" si="5">SUM(K2:K32)</f>
        <v>75</v>
      </c>
      <c r="L33" s="11">
        <f t="shared" si="5"/>
        <v>7</v>
      </c>
      <c r="M33" s="11">
        <f t="shared" si="5"/>
        <v>29</v>
      </c>
      <c r="N33" s="33"/>
      <c r="O33" s="40">
        <f>SUM(O2:O32)</f>
        <v>1470</v>
      </c>
    </row>
  </sheetData>
  <conditionalFormatting sqref="B3:B4 B7:B11 B14:B18 B21:B25 B28:B31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7030A0"/>
  </sheetPr>
  <dimension ref="A1:O33"/>
  <sheetViews>
    <sheetView showGridLines="0" showRowColHeaders="0" zoomScaleNormal="100" workbookViewId="0">
      <pane ySplit="1" topLeftCell="A2" activePane="bottomLeft" state="frozen"/>
      <selection pane="bottomLeft" activeCell="V46" sqref="V46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4">
        <v>43070</v>
      </c>
      <c r="B2" s="10">
        <f>C2+D2+E2</f>
        <v>43</v>
      </c>
      <c r="C2" s="27">
        <v>21</v>
      </c>
      <c r="D2" s="27">
        <v>15</v>
      </c>
      <c r="E2" s="28">
        <v>7</v>
      </c>
      <c r="F2" s="13">
        <f>G2+H2+I2</f>
        <v>8</v>
      </c>
      <c r="G2" s="27">
        <v>6</v>
      </c>
      <c r="H2" s="27">
        <v>2</v>
      </c>
      <c r="I2" s="28">
        <v>0</v>
      </c>
      <c r="J2" s="29">
        <v>8</v>
      </c>
      <c r="K2" s="30">
        <v>4</v>
      </c>
      <c r="L2" s="31"/>
      <c r="M2" s="32">
        <v>1</v>
      </c>
      <c r="N2" s="33"/>
      <c r="O2" s="34">
        <f>B2+F2+J2+K2+L2+M2</f>
        <v>64</v>
      </c>
    </row>
    <row r="3" spans="1:15" ht="16.5" x14ac:dyDescent="0.3">
      <c r="A3" s="4">
        <v>43071</v>
      </c>
      <c r="B3" s="10">
        <f t="shared" ref="B3:B32" si="0">C3+D3+E3</f>
        <v>5</v>
      </c>
      <c r="C3" s="27">
        <v>5</v>
      </c>
      <c r="D3" s="27"/>
      <c r="E3" s="28"/>
      <c r="F3" s="13">
        <f t="shared" ref="F3:F32" si="1">G3+H3+I3</f>
        <v>0</v>
      </c>
      <c r="G3" s="27"/>
      <c r="H3" s="27"/>
      <c r="I3" s="28"/>
      <c r="J3" s="29"/>
      <c r="K3" s="30"/>
      <c r="L3" s="31"/>
      <c r="M3" s="32"/>
      <c r="N3" s="33"/>
      <c r="O3" s="34">
        <f t="shared" ref="O3:O32" si="2">B3+F3+J3+K3+L3+M3</f>
        <v>5</v>
      </c>
    </row>
    <row r="4" spans="1:15" ht="16.5" x14ac:dyDescent="0.3">
      <c r="A4" s="4">
        <v>43072</v>
      </c>
      <c r="B4" s="10">
        <f t="shared" si="0"/>
        <v>0</v>
      </c>
      <c r="C4" s="27"/>
      <c r="D4" s="27"/>
      <c r="E4" s="28"/>
      <c r="F4" s="13">
        <f t="shared" si="1"/>
        <v>0</v>
      </c>
      <c r="G4" s="27"/>
      <c r="H4" s="27"/>
      <c r="I4" s="28"/>
      <c r="J4" s="29"/>
      <c r="K4" s="30"/>
      <c r="L4" s="31"/>
      <c r="M4" s="32"/>
      <c r="N4" s="33"/>
      <c r="O4" s="34">
        <f t="shared" si="2"/>
        <v>0</v>
      </c>
    </row>
    <row r="5" spans="1:15" ht="16.5" x14ac:dyDescent="0.3">
      <c r="A5" s="4">
        <v>43073</v>
      </c>
      <c r="B5" s="10">
        <f t="shared" si="0"/>
        <v>42</v>
      </c>
      <c r="C5" s="27">
        <v>14</v>
      </c>
      <c r="D5" s="27">
        <v>16</v>
      </c>
      <c r="E5" s="28">
        <v>12</v>
      </c>
      <c r="F5" s="13">
        <f t="shared" si="1"/>
        <v>11</v>
      </c>
      <c r="G5" s="27">
        <v>5</v>
      </c>
      <c r="H5" s="27">
        <v>6</v>
      </c>
      <c r="I5" s="28"/>
      <c r="J5" s="29">
        <v>10</v>
      </c>
      <c r="K5" s="30">
        <v>6</v>
      </c>
      <c r="L5" s="31"/>
      <c r="M5" s="32">
        <v>1</v>
      </c>
      <c r="N5" s="33"/>
      <c r="O5" s="34">
        <f t="shared" si="2"/>
        <v>70</v>
      </c>
    </row>
    <row r="6" spans="1:15" ht="16.5" x14ac:dyDescent="0.3">
      <c r="A6" s="4">
        <v>43074</v>
      </c>
      <c r="B6" s="10">
        <f t="shared" si="0"/>
        <v>40</v>
      </c>
      <c r="C6" s="27">
        <v>20</v>
      </c>
      <c r="D6" s="27">
        <v>9</v>
      </c>
      <c r="E6" s="28">
        <v>11</v>
      </c>
      <c r="F6" s="13">
        <f t="shared" si="1"/>
        <v>11</v>
      </c>
      <c r="G6" s="27">
        <v>8</v>
      </c>
      <c r="H6" s="27">
        <v>3</v>
      </c>
      <c r="I6" s="28"/>
      <c r="J6" s="29">
        <v>7</v>
      </c>
      <c r="K6" s="30">
        <v>5</v>
      </c>
      <c r="L6" s="31"/>
      <c r="M6" s="32">
        <v>2</v>
      </c>
      <c r="N6" s="33"/>
      <c r="O6" s="34">
        <f t="shared" si="2"/>
        <v>65</v>
      </c>
    </row>
    <row r="7" spans="1:15" ht="16.5" x14ac:dyDescent="0.3">
      <c r="A7" s="4">
        <v>43075</v>
      </c>
      <c r="B7" s="10">
        <f t="shared" si="0"/>
        <v>51</v>
      </c>
      <c r="C7" s="27">
        <v>22</v>
      </c>
      <c r="D7" s="27">
        <v>17</v>
      </c>
      <c r="E7" s="28">
        <v>12</v>
      </c>
      <c r="F7" s="13">
        <f t="shared" si="1"/>
        <v>10</v>
      </c>
      <c r="G7" s="27">
        <v>7</v>
      </c>
      <c r="H7" s="27">
        <v>2</v>
      </c>
      <c r="I7" s="28">
        <v>1</v>
      </c>
      <c r="J7" s="29">
        <v>4</v>
      </c>
      <c r="K7" s="30">
        <v>4</v>
      </c>
      <c r="L7" s="31"/>
      <c r="M7" s="32">
        <v>1</v>
      </c>
      <c r="N7" s="33"/>
      <c r="O7" s="34">
        <f t="shared" si="2"/>
        <v>70</v>
      </c>
    </row>
    <row r="8" spans="1:15" ht="16.5" x14ac:dyDescent="0.3">
      <c r="A8" s="4">
        <v>43076</v>
      </c>
      <c r="B8" s="10">
        <f t="shared" si="0"/>
        <v>57</v>
      </c>
      <c r="C8" s="27">
        <v>15</v>
      </c>
      <c r="D8" s="27">
        <v>27</v>
      </c>
      <c r="E8" s="28">
        <v>15</v>
      </c>
      <c r="F8" s="13">
        <f t="shared" si="1"/>
        <v>19</v>
      </c>
      <c r="G8" s="27">
        <v>13</v>
      </c>
      <c r="H8" s="27">
        <v>5</v>
      </c>
      <c r="I8" s="28">
        <v>1</v>
      </c>
      <c r="J8" s="29">
        <v>5</v>
      </c>
      <c r="K8" s="30">
        <v>2</v>
      </c>
      <c r="L8" s="31"/>
      <c r="M8" s="32">
        <v>2</v>
      </c>
      <c r="N8" s="33"/>
      <c r="O8" s="34">
        <f t="shared" si="2"/>
        <v>85</v>
      </c>
    </row>
    <row r="9" spans="1:15" ht="16.5" x14ac:dyDescent="0.3">
      <c r="A9" s="4">
        <v>43077</v>
      </c>
      <c r="B9" s="10">
        <f t="shared" si="0"/>
        <v>59</v>
      </c>
      <c r="C9" s="27">
        <v>25</v>
      </c>
      <c r="D9" s="27">
        <v>21</v>
      </c>
      <c r="E9" s="28">
        <v>13</v>
      </c>
      <c r="F9" s="13">
        <f t="shared" si="1"/>
        <v>3</v>
      </c>
      <c r="G9" s="27">
        <v>2</v>
      </c>
      <c r="H9" s="27">
        <v>1</v>
      </c>
      <c r="I9" s="28"/>
      <c r="J9" s="29">
        <v>10</v>
      </c>
      <c r="K9" s="30">
        <v>8</v>
      </c>
      <c r="L9" s="31"/>
      <c r="M9" s="32">
        <v>2</v>
      </c>
      <c r="N9" s="33"/>
      <c r="O9" s="34">
        <f t="shared" si="2"/>
        <v>82</v>
      </c>
    </row>
    <row r="10" spans="1:15" ht="16.5" x14ac:dyDescent="0.3">
      <c r="A10" s="4">
        <v>43078</v>
      </c>
      <c r="B10" s="10">
        <f t="shared" si="0"/>
        <v>8</v>
      </c>
      <c r="C10" s="27">
        <v>7</v>
      </c>
      <c r="D10" s="27">
        <v>1</v>
      </c>
      <c r="E10" s="28"/>
      <c r="F10" s="13">
        <f t="shared" si="1"/>
        <v>1</v>
      </c>
      <c r="G10" s="27">
        <v>1</v>
      </c>
      <c r="H10" s="27"/>
      <c r="I10" s="28"/>
      <c r="J10" s="29"/>
      <c r="K10" s="30"/>
      <c r="L10" s="31"/>
      <c r="M10" s="32"/>
      <c r="N10" s="33"/>
      <c r="O10" s="34">
        <f t="shared" si="2"/>
        <v>9</v>
      </c>
    </row>
    <row r="11" spans="1:15" ht="16.5" x14ac:dyDescent="0.3">
      <c r="A11" s="4">
        <v>43079</v>
      </c>
      <c r="B11" s="10">
        <f t="shared" si="0"/>
        <v>0</v>
      </c>
      <c r="C11" s="27"/>
      <c r="D11" s="27"/>
      <c r="E11" s="28"/>
      <c r="F11" s="13">
        <f t="shared" si="1"/>
        <v>0</v>
      </c>
      <c r="G11" s="27"/>
      <c r="H11" s="27"/>
      <c r="I11" s="28"/>
      <c r="J11" s="29"/>
      <c r="K11" s="30"/>
      <c r="L11" s="31"/>
      <c r="M11" s="32"/>
      <c r="N11" s="33"/>
      <c r="O11" s="34">
        <f t="shared" si="2"/>
        <v>0</v>
      </c>
    </row>
    <row r="12" spans="1:15" ht="16.5" x14ac:dyDescent="0.3">
      <c r="A12" s="4">
        <v>43080</v>
      </c>
      <c r="B12" s="10">
        <f t="shared" si="0"/>
        <v>64</v>
      </c>
      <c r="C12" s="27">
        <v>25</v>
      </c>
      <c r="D12" s="27">
        <v>20</v>
      </c>
      <c r="E12" s="28">
        <v>19</v>
      </c>
      <c r="F12" s="13">
        <f t="shared" si="1"/>
        <v>8</v>
      </c>
      <c r="G12" s="27">
        <v>4</v>
      </c>
      <c r="H12" s="27">
        <v>4</v>
      </c>
      <c r="I12" s="28"/>
      <c r="J12" s="29">
        <v>8</v>
      </c>
      <c r="K12" s="30">
        <v>7</v>
      </c>
      <c r="L12" s="31">
        <v>1</v>
      </c>
      <c r="M12" s="32">
        <v>1</v>
      </c>
      <c r="N12" s="33"/>
      <c r="O12" s="34">
        <f t="shared" si="2"/>
        <v>89</v>
      </c>
    </row>
    <row r="13" spans="1:15" ht="16.5" x14ac:dyDescent="0.3">
      <c r="A13" s="4">
        <v>43081</v>
      </c>
      <c r="B13" s="10">
        <f t="shared" si="0"/>
        <v>56</v>
      </c>
      <c r="C13" s="27">
        <v>20</v>
      </c>
      <c r="D13" s="27">
        <v>21</v>
      </c>
      <c r="E13" s="28">
        <v>15</v>
      </c>
      <c r="F13" s="13">
        <f t="shared" si="1"/>
        <v>10</v>
      </c>
      <c r="G13" s="27">
        <v>6</v>
      </c>
      <c r="H13" s="27">
        <v>4</v>
      </c>
      <c r="I13" s="28"/>
      <c r="J13" s="29">
        <v>3</v>
      </c>
      <c r="K13" s="30">
        <v>4</v>
      </c>
      <c r="L13" s="31">
        <v>1</v>
      </c>
      <c r="M13" s="32">
        <v>2</v>
      </c>
      <c r="N13" s="33"/>
      <c r="O13" s="34">
        <f t="shared" si="2"/>
        <v>76</v>
      </c>
    </row>
    <row r="14" spans="1:15" ht="16.5" x14ac:dyDescent="0.3">
      <c r="A14" s="4">
        <v>43082</v>
      </c>
      <c r="B14" s="10">
        <f t="shared" si="0"/>
        <v>54</v>
      </c>
      <c r="C14" s="27">
        <v>18</v>
      </c>
      <c r="D14" s="27">
        <v>24</v>
      </c>
      <c r="E14" s="28">
        <v>12</v>
      </c>
      <c r="F14" s="13">
        <f t="shared" si="1"/>
        <v>14</v>
      </c>
      <c r="G14" s="27">
        <v>9</v>
      </c>
      <c r="H14" s="27">
        <v>4</v>
      </c>
      <c r="I14" s="28">
        <v>1</v>
      </c>
      <c r="J14" s="29">
        <v>14</v>
      </c>
      <c r="K14" s="30"/>
      <c r="L14" s="31"/>
      <c r="M14" s="32"/>
      <c r="N14" s="33"/>
      <c r="O14" s="34">
        <f t="shared" si="2"/>
        <v>82</v>
      </c>
    </row>
    <row r="15" spans="1:15" ht="16.5" x14ac:dyDescent="0.3">
      <c r="A15" s="4">
        <v>43083</v>
      </c>
      <c r="B15" s="10">
        <f t="shared" si="0"/>
        <v>59</v>
      </c>
      <c r="C15" s="27">
        <v>25</v>
      </c>
      <c r="D15" s="27">
        <v>20</v>
      </c>
      <c r="E15" s="28">
        <v>14</v>
      </c>
      <c r="F15" s="13">
        <f t="shared" si="1"/>
        <v>7</v>
      </c>
      <c r="G15" s="27">
        <v>5</v>
      </c>
      <c r="H15" s="27">
        <v>2</v>
      </c>
      <c r="I15" s="28"/>
      <c r="J15" s="29">
        <v>9</v>
      </c>
      <c r="K15" s="30">
        <v>8</v>
      </c>
      <c r="L15" s="31"/>
      <c r="M15" s="32">
        <v>1</v>
      </c>
      <c r="N15" s="33"/>
      <c r="O15" s="34">
        <f t="shared" si="2"/>
        <v>84</v>
      </c>
    </row>
    <row r="16" spans="1:15" ht="16.5" x14ac:dyDescent="0.3">
      <c r="A16" s="4">
        <v>43084</v>
      </c>
      <c r="B16" s="10">
        <f t="shared" si="0"/>
        <v>62</v>
      </c>
      <c r="C16" s="27">
        <v>27</v>
      </c>
      <c r="D16" s="27">
        <v>17</v>
      </c>
      <c r="E16" s="28">
        <v>18</v>
      </c>
      <c r="F16" s="13">
        <f t="shared" si="1"/>
        <v>8</v>
      </c>
      <c r="G16" s="27">
        <v>4</v>
      </c>
      <c r="H16" s="27">
        <v>4</v>
      </c>
      <c r="I16" s="28"/>
      <c r="J16" s="29">
        <v>5</v>
      </c>
      <c r="K16" s="30">
        <v>7</v>
      </c>
      <c r="L16" s="31"/>
      <c r="M16" s="32">
        <v>2</v>
      </c>
      <c r="N16" s="33"/>
      <c r="O16" s="34">
        <f t="shared" si="2"/>
        <v>84</v>
      </c>
    </row>
    <row r="17" spans="1:15" ht="16.5" x14ac:dyDescent="0.3">
      <c r="A17" s="4">
        <v>43085</v>
      </c>
      <c r="B17" s="10">
        <f t="shared" si="0"/>
        <v>10</v>
      </c>
      <c r="C17" s="27">
        <v>6</v>
      </c>
      <c r="D17" s="27">
        <v>3</v>
      </c>
      <c r="E17" s="28">
        <v>1</v>
      </c>
      <c r="F17" s="13">
        <f t="shared" si="1"/>
        <v>1</v>
      </c>
      <c r="G17" s="27">
        <v>1</v>
      </c>
      <c r="H17" s="27"/>
      <c r="I17" s="28"/>
      <c r="J17" s="29"/>
      <c r="K17" s="30">
        <v>1</v>
      </c>
      <c r="L17" s="31"/>
      <c r="M17" s="32"/>
      <c r="N17" s="33"/>
      <c r="O17" s="34">
        <f t="shared" si="2"/>
        <v>12</v>
      </c>
    </row>
    <row r="18" spans="1:15" ht="16.5" x14ac:dyDescent="0.3">
      <c r="A18" s="4">
        <v>43086</v>
      </c>
      <c r="B18" s="10">
        <f t="shared" si="0"/>
        <v>0</v>
      </c>
      <c r="C18" s="27"/>
      <c r="D18" s="27"/>
      <c r="E18" s="28"/>
      <c r="F18" s="13">
        <f t="shared" si="1"/>
        <v>0</v>
      </c>
      <c r="G18" s="27"/>
      <c r="H18" s="27"/>
      <c r="I18" s="28"/>
      <c r="J18" s="29"/>
      <c r="K18" s="30"/>
      <c r="L18" s="31"/>
      <c r="M18" s="32"/>
      <c r="N18" s="33"/>
      <c r="O18" s="34">
        <f t="shared" si="2"/>
        <v>0</v>
      </c>
    </row>
    <row r="19" spans="1:15" ht="16.5" x14ac:dyDescent="0.3">
      <c r="A19" s="4">
        <v>43087</v>
      </c>
      <c r="B19" s="10">
        <f t="shared" si="0"/>
        <v>61</v>
      </c>
      <c r="C19" s="27">
        <v>24</v>
      </c>
      <c r="D19" s="27">
        <v>26</v>
      </c>
      <c r="E19" s="28">
        <v>11</v>
      </c>
      <c r="F19" s="13">
        <f t="shared" si="1"/>
        <v>12</v>
      </c>
      <c r="G19" s="27">
        <v>8</v>
      </c>
      <c r="H19" s="27">
        <v>4</v>
      </c>
      <c r="I19" s="28">
        <v>0</v>
      </c>
      <c r="J19" s="29">
        <v>6</v>
      </c>
      <c r="K19" s="30">
        <v>13</v>
      </c>
      <c r="L19" s="31">
        <v>2</v>
      </c>
      <c r="M19" s="32">
        <v>2</v>
      </c>
      <c r="N19" s="33"/>
      <c r="O19" s="34">
        <f t="shared" si="2"/>
        <v>96</v>
      </c>
    </row>
    <row r="20" spans="1:15" ht="16.5" x14ac:dyDescent="0.3">
      <c r="A20" s="4">
        <v>43088</v>
      </c>
      <c r="B20" s="10">
        <f t="shared" si="0"/>
        <v>68</v>
      </c>
      <c r="C20" s="27">
        <v>30</v>
      </c>
      <c r="D20" s="27">
        <v>25</v>
      </c>
      <c r="E20" s="28">
        <v>13</v>
      </c>
      <c r="F20" s="13">
        <f t="shared" si="1"/>
        <v>9</v>
      </c>
      <c r="G20" s="27">
        <v>6</v>
      </c>
      <c r="H20" s="27">
        <v>3</v>
      </c>
      <c r="I20" s="28"/>
      <c r="J20" s="29">
        <v>5</v>
      </c>
      <c r="K20" s="30">
        <v>1</v>
      </c>
      <c r="L20" s="31"/>
      <c r="M20" s="32">
        <v>1</v>
      </c>
      <c r="N20" s="33"/>
      <c r="O20" s="34">
        <f t="shared" si="2"/>
        <v>84</v>
      </c>
    </row>
    <row r="21" spans="1:15" ht="16.5" x14ac:dyDescent="0.3">
      <c r="A21" s="4">
        <v>43089</v>
      </c>
      <c r="B21" s="10">
        <f t="shared" si="0"/>
        <v>62</v>
      </c>
      <c r="C21" s="27">
        <v>26</v>
      </c>
      <c r="D21" s="27">
        <v>23</v>
      </c>
      <c r="E21" s="28">
        <v>13</v>
      </c>
      <c r="F21" s="13">
        <f t="shared" si="1"/>
        <v>14</v>
      </c>
      <c r="G21" s="27">
        <v>8</v>
      </c>
      <c r="H21" s="27">
        <v>6</v>
      </c>
      <c r="I21" s="28"/>
      <c r="J21" s="29">
        <v>13</v>
      </c>
      <c r="K21" s="30">
        <v>4</v>
      </c>
      <c r="L21" s="31"/>
      <c r="M21" s="32">
        <v>3</v>
      </c>
      <c r="N21" s="33"/>
      <c r="O21" s="34">
        <f t="shared" si="2"/>
        <v>96</v>
      </c>
    </row>
    <row r="22" spans="1:15" ht="16.5" x14ac:dyDescent="0.3">
      <c r="A22" s="4">
        <v>43090</v>
      </c>
      <c r="B22" s="10">
        <f t="shared" si="0"/>
        <v>66</v>
      </c>
      <c r="C22" s="27">
        <v>26</v>
      </c>
      <c r="D22" s="27">
        <v>22</v>
      </c>
      <c r="E22" s="28">
        <v>18</v>
      </c>
      <c r="F22" s="13">
        <f t="shared" si="1"/>
        <v>13</v>
      </c>
      <c r="G22" s="27">
        <v>8</v>
      </c>
      <c r="H22" s="27">
        <v>5</v>
      </c>
      <c r="I22" s="28"/>
      <c r="J22" s="29">
        <v>5</v>
      </c>
      <c r="K22" s="30">
        <v>3</v>
      </c>
      <c r="L22" s="31">
        <v>2</v>
      </c>
      <c r="M22" s="32">
        <v>1</v>
      </c>
      <c r="N22" s="33"/>
      <c r="O22" s="34">
        <f t="shared" si="2"/>
        <v>90</v>
      </c>
    </row>
    <row r="23" spans="1:15" ht="16.5" x14ac:dyDescent="0.3">
      <c r="A23" s="4">
        <v>43091</v>
      </c>
      <c r="B23" s="10">
        <f t="shared" si="0"/>
        <v>65</v>
      </c>
      <c r="C23" s="27">
        <v>23</v>
      </c>
      <c r="D23" s="27">
        <v>25</v>
      </c>
      <c r="E23" s="28">
        <v>17</v>
      </c>
      <c r="F23" s="13">
        <f t="shared" si="1"/>
        <v>7</v>
      </c>
      <c r="G23" s="27">
        <v>3</v>
      </c>
      <c r="H23" s="27">
        <v>4</v>
      </c>
      <c r="I23" s="28"/>
      <c r="J23" s="29">
        <v>9</v>
      </c>
      <c r="K23" s="30">
        <v>7</v>
      </c>
      <c r="L23" s="31"/>
      <c r="M23" s="32">
        <v>1</v>
      </c>
      <c r="N23" s="33"/>
      <c r="O23" s="34">
        <f t="shared" si="2"/>
        <v>89</v>
      </c>
    </row>
    <row r="24" spans="1:15" ht="16.5" x14ac:dyDescent="0.3">
      <c r="A24" s="4">
        <v>43092</v>
      </c>
      <c r="B24" s="10">
        <f t="shared" si="0"/>
        <v>1</v>
      </c>
      <c r="C24" s="27"/>
      <c r="D24" s="27">
        <v>1</v>
      </c>
      <c r="E24" s="28"/>
      <c r="F24" s="13">
        <f t="shared" si="1"/>
        <v>5</v>
      </c>
      <c r="G24" s="27">
        <v>5</v>
      </c>
      <c r="H24" s="27"/>
      <c r="I24" s="28"/>
      <c r="J24" s="29">
        <v>1</v>
      </c>
      <c r="K24" s="30"/>
      <c r="L24" s="31"/>
      <c r="M24" s="32"/>
      <c r="N24" s="33"/>
      <c r="O24" s="34">
        <f t="shared" si="2"/>
        <v>7</v>
      </c>
    </row>
    <row r="25" spans="1:15" ht="16.5" x14ac:dyDescent="0.3">
      <c r="A25" s="4">
        <v>43093</v>
      </c>
      <c r="B25" s="10">
        <f t="shared" si="0"/>
        <v>0</v>
      </c>
      <c r="C25" s="27"/>
      <c r="D25" s="27"/>
      <c r="E25" s="28"/>
      <c r="F25" s="13">
        <f t="shared" si="1"/>
        <v>0</v>
      </c>
      <c r="G25" s="27"/>
      <c r="H25" s="27"/>
      <c r="I25" s="28"/>
      <c r="J25" s="29"/>
      <c r="K25" s="30"/>
      <c r="L25" s="31"/>
      <c r="M25" s="32"/>
      <c r="N25" s="33"/>
      <c r="O25" s="34">
        <f t="shared" si="2"/>
        <v>0</v>
      </c>
    </row>
    <row r="26" spans="1:15" ht="16.5" x14ac:dyDescent="0.3">
      <c r="A26" s="4">
        <v>43094</v>
      </c>
      <c r="B26" s="10">
        <f t="shared" si="0"/>
        <v>0</v>
      </c>
      <c r="C26" s="27"/>
      <c r="D26" s="27"/>
      <c r="E26" s="28"/>
      <c r="F26" s="13">
        <f t="shared" si="1"/>
        <v>0</v>
      </c>
      <c r="G26" s="27"/>
      <c r="H26" s="27"/>
      <c r="I26" s="28"/>
      <c r="J26" s="29"/>
      <c r="K26" s="30"/>
      <c r="L26" s="31"/>
      <c r="M26" s="32"/>
      <c r="N26" s="33"/>
      <c r="O26" s="34">
        <f t="shared" si="2"/>
        <v>0</v>
      </c>
    </row>
    <row r="27" spans="1:15" ht="16.5" x14ac:dyDescent="0.3">
      <c r="A27" s="4">
        <v>43095</v>
      </c>
      <c r="B27" s="10">
        <f t="shared" si="0"/>
        <v>45</v>
      </c>
      <c r="C27" s="27">
        <v>24</v>
      </c>
      <c r="D27" s="27">
        <v>9</v>
      </c>
      <c r="E27" s="28">
        <v>12</v>
      </c>
      <c r="F27" s="13">
        <f>G27+H27+I27</f>
        <v>7</v>
      </c>
      <c r="G27" s="27">
        <v>5</v>
      </c>
      <c r="H27" s="27">
        <v>2</v>
      </c>
      <c r="I27" s="28"/>
      <c r="J27" s="29">
        <v>4</v>
      </c>
      <c r="K27" s="30">
        <v>4</v>
      </c>
      <c r="L27" s="31"/>
      <c r="M27" s="32">
        <v>1</v>
      </c>
      <c r="N27" s="33"/>
      <c r="O27" s="34">
        <f t="shared" si="2"/>
        <v>61</v>
      </c>
    </row>
    <row r="28" spans="1:15" ht="16.5" x14ac:dyDescent="0.3">
      <c r="A28" s="4">
        <v>43096</v>
      </c>
      <c r="B28" s="10">
        <f t="shared" si="0"/>
        <v>48</v>
      </c>
      <c r="C28" s="27">
        <v>29</v>
      </c>
      <c r="D28" s="27">
        <v>12</v>
      </c>
      <c r="E28" s="28">
        <v>7</v>
      </c>
      <c r="F28" s="13">
        <f t="shared" si="1"/>
        <v>3</v>
      </c>
      <c r="G28" s="27">
        <v>3</v>
      </c>
      <c r="H28" s="27"/>
      <c r="I28" s="28"/>
      <c r="J28" s="29">
        <v>2</v>
      </c>
      <c r="K28" s="30">
        <v>4</v>
      </c>
      <c r="L28" s="31">
        <v>2</v>
      </c>
      <c r="M28" s="32"/>
      <c r="N28" s="33"/>
      <c r="O28" s="34">
        <f t="shared" si="2"/>
        <v>59</v>
      </c>
    </row>
    <row r="29" spans="1:15" ht="16.5" x14ac:dyDescent="0.3">
      <c r="A29" s="4">
        <v>43097</v>
      </c>
      <c r="B29" s="10">
        <f t="shared" si="0"/>
        <v>40</v>
      </c>
      <c r="C29" s="27">
        <v>24</v>
      </c>
      <c r="D29" s="27">
        <v>9</v>
      </c>
      <c r="E29" s="28">
        <v>7</v>
      </c>
      <c r="F29" s="13">
        <f t="shared" si="1"/>
        <v>11</v>
      </c>
      <c r="G29" s="27">
        <v>6</v>
      </c>
      <c r="H29" s="27">
        <v>5</v>
      </c>
      <c r="I29" s="28"/>
      <c r="J29" s="29">
        <v>7</v>
      </c>
      <c r="K29" s="30">
        <v>6</v>
      </c>
      <c r="L29" s="31"/>
      <c r="M29" s="32">
        <v>2</v>
      </c>
      <c r="N29" s="33"/>
      <c r="O29" s="34">
        <f t="shared" si="2"/>
        <v>66</v>
      </c>
    </row>
    <row r="30" spans="1:15" ht="16.5" x14ac:dyDescent="0.3">
      <c r="A30" s="4">
        <v>43098</v>
      </c>
      <c r="B30" s="10">
        <f t="shared" si="0"/>
        <v>39</v>
      </c>
      <c r="C30" s="27">
        <v>22</v>
      </c>
      <c r="D30" s="27">
        <v>12</v>
      </c>
      <c r="E30" s="28">
        <v>5</v>
      </c>
      <c r="F30" s="13">
        <f t="shared" si="1"/>
        <v>5</v>
      </c>
      <c r="G30" s="27">
        <v>5</v>
      </c>
      <c r="H30" s="27"/>
      <c r="I30" s="28"/>
      <c r="J30" s="29">
        <v>10</v>
      </c>
      <c r="K30" s="30">
        <v>5</v>
      </c>
      <c r="L30" s="31"/>
      <c r="M30" s="32"/>
      <c r="N30" s="33"/>
      <c r="O30" s="34">
        <f t="shared" si="2"/>
        <v>59</v>
      </c>
    </row>
    <row r="31" spans="1:15" ht="16.5" x14ac:dyDescent="0.3">
      <c r="A31" s="4">
        <v>43099</v>
      </c>
      <c r="B31" s="10">
        <f t="shared" si="0"/>
        <v>2</v>
      </c>
      <c r="C31" s="27">
        <v>1</v>
      </c>
      <c r="D31" s="27">
        <v>1</v>
      </c>
      <c r="E31" s="28"/>
      <c r="F31" s="13">
        <f t="shared" si="1"/>
        <v>2</v>
      </c>
      <c r="G31" s="27">
        <v>2</v>
      </c>
      <c r="H31" s="27"/>
      <c r="I31" s="28"/>
      <c r="J31" s="29"/>
      <c r="K31" s="30"/>
      <c r="L31" s="31"/>
      <c r="M31" s="32"/>
      <c r="N31" s="33"/>
      <c r="O31" s="34">
        <f t="shared" si="2"/>
        <v>4</v>
      </c>
    </row>
    <row r="32" spans="1:15" ht="17.25" thickBot="1" x14ac:dyDescent="0.35">
      <c r="A32" s="4">
        <v>43100</v>
      </c>
      <c r="B32" s="35">
        <f t="shared" si="0"/>
        <v>0</v>
      </c>
      <c r="C32" s="36"/>
      <c r="D32" s="36"/>
      <c r="E32" s="37"/>
      <c r="F32" s="38">
        <f t="shared" si="1"/>
        <v>0</v>
      </c>
      <c r="G32" s="36"/>
      <c r="H32" s="36"/>
      <c r="I32" s="37"/>
      <c r="J32" s="29"/>
      <c r="K32" s="30"/>
      <c r="L32" s="31"/>
      <c r="M32" s="32"/>
      <c r="N32" s="33"/>
      <c r="O32" s="39">
        <f t="shared" si="2"/>
        <v>0</v>
      </c>
    </row>
    <row r="33" spans="1:15" ht="17.25" thickBot="1" x14ac:dyDescent="0.35">
      <c r="A33" s="26" t="s">
        <v>10</v>
      </c>
      <c r="B33" s="17">
        <f>SUM(B2:B32)</f>
        <v>1107</v>
      </c>
      <c r="C33" s="17">
        <f t="shared" ref="C33:E33" si="3">SUM(C2:C32)</f>
        <v>479</v>
      </c>
      <c r="D33" s="17">
        <f t="shared" si="3"/>
        <v>376</v>
      </c>
      <c r="E33" s="17">
        <f t="shared" si="3"/>
        <v>252</v>
      </c>
      <c r="F33" s="18">
        <f>SUM(F2:F32)</f>
        <v>199</v>
      </c>
      <c r="G33" s="18">
        <f t="shared" ref="G33:I33" si="4">SUM(G2:G32)</f>
        <v>130</v>
      </c>
      <c r="H33" s="18">
        <f t="shared" si="4"/>
        <v>66</v>
      </c>
      <c r="I33" s="18">
        <f t="shared" si="4"/>
        <v>3</v>
      </c>
      <c r="J33" s="50">
        <f>SUM(J2:J32)</f>
        <v>145</v>
      </c>
      <c r="K33" s="50">
        <f t="shared" ref="K33:M33" si="5">SUM(K2:K32)</f>
        <v>103</v>
      </c>
      <c r="L33" s="50">
        <f t="shared" si="5"/>
        <v>8</v>
      </c>
      <c r="M33" s="50">
        <f t="shared" si="5"/>
        <v>26</v>
      </c>
      <c r="N33" s="33"/>
      <c r="O33" s="40">
        <f>SUM(O2:O32)</f>
        <v>1588</v>
      </c>
    </row>
  </sheetData>
  <conditionalFormatting sqref="B2 B5:B9 B12:B16 B19:B23 B27:B30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F0"/>
  </sheetPr>
  <dimension ref="A1:L31"/>
  <sheetViews>
    <sheetView showGridLines="0" showRowColHeaders="0" zoomScaleNormal="100" workbookViewId="0">
      <pane ySplit="1" topLeftCell="A2" activePane="bottomLeft" state="frozen"/>
      <selection pane="bottomLeft" activeCell="N28" sqref="N28"/>
    </sheetView>
  </sheetViews>
  <sheetFormatPr baseColWidth="10" defaultColWidth="9.140625" defaultRowHeight="15" x14ac:dyDescent="0.25"/>
  <cols>
    <col min="1" max="1" width="16.42578125" customWidth="1"/>
    <col min="2" max="2" width="14.28515625" customWidth="1"/>
    <col min="6" max="6" width="10.42578125" customWidth="1"/>
    <col min="11" max="11" width="9.140625" style="1"/>
  </cols>
  <sheetData>
    <row r="1" spans="1:12" ht="31.5" customHeight="1" x14ac:dyDescent="0.25">
      <c r="A1" s="21" t="s">
        <v>12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4"/>
      <c r="K1" s="25" t="s">
        <v>10</v>
      </c>
      <c r="L1" s="6" t="s">
        <v>26</v>
      </c>
    </row>
    <row r="2" spans="1:12" ht="16.5" x14ac:dyDescent="0.3">
      <c r="A2" s="5" t="s">
        <v>13</v>
      </c>
      <c r="B2" s="10">
        <f>'Janvier 2017'!B33</f>
        <v>805</v>
      </c>
      <c r="C2" s="11">
        <f>'Janvier 2017'!C33</f>
        <v>328</v>
      </c>
      <c r="D2" s="11">
        <f>'Janvier 2017'!D33</f>
        <v>256</v>
      </c>
      <c r="E2" s="12">
        <f>'Janvier 2017'!E33</f>
        <v>221</v>
      </c>
      <c r="F2" s="13">
        <f>'Janvier 2017'!F33</f>
        <v>195</v>
      </c>
      <c r="G2" s="11">
        <f>'Janvier 2017'!G33</f>
        <v>119</v>
      </c>
      <c r="H2" s="11">
        <f>'Janvier 2017'!H33</f>
        <v>75</v>
      </c>
      <c r="I2" s="12">
        <f>'Janvier 2017'!I33</f>
        <v>1</v>
      </c>
      <c r="J2" s="14"/>
      <c r="K2" s="15">
        <f t="shared" ref="K2:K13" si="0">B2+F2</f>
        <v>1000</v>
      </c>
      <c r="L2" s="16">
        <v>37</v>
      </c>
    </row>
    <row r="3" spans="1:12" ht="16.5" x14ac:dyDescent="0.3">
      <c r="A3" s="5" t="s">
        <v>14</v>
      </c>
      <c r="B3" s="10">
        <f>'Février 2017'!B30</f>
        <v>759</v>
      </c>
      <c r="C3" s="11">
        <f>'Février 2017'!C30</f>
        <v>311</v>
      </c>
      <c r="D3" s="11">
        <f>'Février 2017'!D30</f>
        <v>269</v>
      </c>
      <c r="E3" s="12">
        <f>'Février 2017'!E30</f>
        <v>179</v>
      </c>
      <c r="F3" s="13">
        <f>'Février 2017'!F30</f>
        <v>154</v>
      </c>
      <c r="G3" s="11">
        <f>'Février 2017'!G30</f>
        <v>99</v>
      </c>
      <c r="H3" s="11">
        <f>'Février 2017'!H30</f>
        <v>51</v>
      </c>
      <c r="I3" s="12">
        <f>'Février 2017'!I30</f>
        <v>4</v>
      </c>
      <c r="J3" s="14"/>
      <c r="K3" s="15">
        <f t="shared" si="0"/>
        <v>913</v>
      </c>
      <c r="L3" s="16">
        <f>AVERAGEIF('Février 2017'!B2:B29,"&gt;13")</f>
        <v>37.1</v>
      </c>
    </row>
    <row r="4" spans="1:12" ht="16.5" x14ac:dyDescent="0.3">
      <c r="A4" s="5" t="s">
        <v>15</v>
      </c>
      <c r="B4" s="10">
        <f>'Mars 2017'!B33</f>
        <v>992</v>
      </c>
      <c r="C4" s="11">
        <f>'Mars 2017'!C33</f>
        <v>377</v>
      </c>
      <c r="D4" s="11">
        <f>'Mars 2017'!D33</f>
        <v>337</v>
      </c>
      <c r="E4" s="12">
        <f>'Mars 2017'!E33</f>
        <v>278</v>
      </c>
      <c r="F4" s="13">
        <f>'Mars 2017'!F33</f>
        <v>184</v>
      </c>
      <c r="G4" s="11">
        <f>'Mars 2017'!G33</f>
        <v>121</v>
      </c>
      <c r="H4" s="11">
        <f>'Mars 2017'!H33</f>
        <v>63</v>
      </c>
      <c r="I4" s="12">
        <f>'Mars 2017'!I33</f>
        <v>0</v>
      </c>
      <c r="J4" s="14"/>
      <c r="K4" s="15">
        <f t="shared" si="0"/>
        <v>1176</v>
      </c>
      <c r="L4" s="16">
        <f>AVERAGEIF('Mars 2017'!B2:B32,"&gt;13")</f>
        <v>42.304347826086953</v>
      </c>
    </row>
    <row r="5" spans="1:12" ht="16.5" x14ac:dyDescent="0.3">
      <c r="A5" s="5" t="s">
        <v>16</v>
      </c>
      <c r="B5" s="10">
        <f>'Avril 2017'!B33</f>
        <v>900</v>
      </c>
      <c r="C5" s="11">
        <f>'Avril 2017'!C33</f>
        <v>377</v>
      </c>
      <c r="D5" s="11">
        <f>'Avril 2017'!D33</f>
        <v>314</v>
      </c>
      <c r="E5" s="12">
        <f>'Avril 2017'!E33</f>
        <v>209</v>
      </c>
      <c r="F5" s="13">
        <f>'Avril 2017'!F33</f>
        <v>167</v>
      </c>
      <c r="G5" s="11">
        <f>'Avril 2017'!G33</f>
        <v>104</v>
      </c>
      <c r="H5" s="11">
        <f>'Avril 2017'!H33</f>
        <v>61</v>
      </c>
      <c r="I5" s="12">
        <f>'Avril 2017'!I33</f>
        <v>2</v>
      </c>
      <c r="J5" s="14"/>
      <c r="K5" s="15">
        <f t="shared" si="0"/>
        <v>1067</v>
      </c>
      <c r="L5" s="16">
        <f>AVERAGEIF('Avril 2017'!B2:B31,"&gt;13")</f>
        <v>45.789473684210527</v>
      </c>
    </row>
    <row r="6" spans="1:12" ht="16.5" x14ac:dyDescent="0.3">
      <c r="A6" s="5" t="s">
        <v>17</v>
      </c>
      <c r="B6" s="10">
        <f>'Mai 2017'!B33</f>
        <v>925</v>
      </c>
      <c r="C6" s="11">
        <f>'Mai 2017'!C33</f>
        <v>395</v>
      </c>
      <c r="D6" s="11">
        <f>'Mai 2017'!D33</f>
        <v>306</v>
      </c>
      <c r="E6" s="12">
        <f>'Mai 2017'!E33</f>
        <v>224</v>
      </c>
      <c r="F6" s="13">
        <f>'Mai 2017'!F33</f>
        <v>145</v>
      </c>
      <c r="G6" s="11">
        <f>'Mai 2017'!G33</f>
        <v>90</v>
      </c>
      <c r="H6" s="11">
        <f>'Mai 2017'!H33</f>
        <v>54</v>
      </c>
      <c r="I6" s="12">
        <f>'Mai 2017'!I33</f>
        <v>1</v>
      </c>
      <c r="J6" s="14"/>
      <c r="K6" s="15">
        <f t="shared" si="0"/>
        <v>1070</v>
      </c>
      <c r="L6" s="16">
        <f>AVERAGEIF('Mai 2017'!B2:B32,"&gt;13")</f>
        <v>45.2</v>
      </c>
    </row>
    <row r="7" spans="1:12" ht="16.5" x14ac:dyDescent="0.3">
      <c r="A7" s="5" t="s">
        <v>18</v>
      </c>
      <c r="B7" s="10">
        <f>'Juin 2017'!B33</f>
        <v>1211</v>
      </c>
      <c r="C7" s="11">
        <f>'Juin 2017'!C33</f>
        <v>513</v>
      </c>
      <c r="D7" s="11">
        <f>'Juin 2017'!D33</f>
        <v>396</v>
      </c>
      <c r="E7" s="12">
        <f>'Juin 2017'!E33</f>
        <v>302</v>
      </c>
      <c r="F7" s="13">
        <f>'Juin 2017'!F33</f>
        <v>166</v>
      </c>
      <c r="G7" s="11">
        <f>'Juin 2017'!G33</f>
        <v>111</v>
      </c>
      <c r="H7" s="11">
        <f>'Juin 2017'!H33</f>
        <v>55</v>
      </c>
      <c r="I7" s="12">
        <f>'Juin 2017'!I33</f>
        <v>0</v>
      </c>
      <c r="J7" s="14"/>
      <c r="K7" s="15">
        <f t="shared" si="0"/>
        <v>1377</v>
      </c>
      <c r="L7" s="16">
        <f>AVERAGEIF('Juin 2017'!B2:B31,"&gt;13")</f>
        <v>56.142857142857146</v>
      </c>
    </row>
    <row r="8" spans="1:12" ht="16.5" x14ac:dyDescent="0.3">
      <c r="A8" s="5" t="s">
        <v>19</v>
      </c>
      <c r="B8" s="10">
        <f>'Juillet 2017'!B33</f>
        <v>1251</v>
      </c>
      <c r="C8" s="11">
        <f>'Juillet 2017'!C33</f>
        <v>578</v>
      </c>
      <c r="D8" s="11">
        <f>'Juillet 2017'!D33</f>
        <v>426</v>
      </c>
      <c r="E8" s="12">
        <f>'Juillet 2017'!E33</f>
        <v>247</v>
      </c>
      <c r="F8" s="13">
        <f>'Juillet 2017'!F33</f>
        <v>174</v>
      </c>
      <c r="G8" s="11">
        <f>'Juillet 2017'!G33</f>
        <v>118</v>
      </c>
      <c r="H8" s="11">
        <f>'Juillet 2017'!H33</f>
        <v>55</v>
      </c>
      <c r="I8" s="12">
        <f>'Juillet 2017'!I33</f>
        <v>1</v>
      </c>
      <c r="J8" s="14"/>
      <c r="K8" s="15">
        <f t="shared" si="0"/>
        <v>1425</v>
      </c>
      <c r="L8" s="16">
        <f>AVERAGEIF('Juillet 2017'!B2:B32,"&gt;13")</f>
        <v>60.6</v>
      </c>
    </row>
    <row r="9" spans="1:12" ht="16.5" x14ac:dyDescent="0.3">
      <c r="A9" s="5" t="s">
        <v>20</v>
      </c>
      <c r="B9" s="10">
        <f>'Aout 2017'!B33</f>
        <v>1040</v>
      </c>
      <c r="C9" s="11">
        <f>'Aout 2017'!C33</f>
        <v>411</v>
      </c>
      <c r="D9" s="11">
        <f>'Aout 2017'!D33</f>
        <v>375</v>
      </c>
      <c r="E9" s="12">
        <f>'Aout 2017'!E33</f>
        <v>254</v>
      </c>
      <c r="F9" s="13">
        <f>'Aout 2017'!F33</f>
        <v>144</v>
      </c>
      <c r="G9" s="11">
        <f>'Aout 2017'!G33</f>
        <v>100</v>
      </c>
      <c r="H9" s="11">
        <f>'Aout 2017'!H33</f>
        <v>44</v>
      </c>
      <c r="I9" s="12">
        <f>'Aout 2017'!I33</f>
        <v>0</v>
      </c>
      <c r="J9" s="14"/>
      <c r="K9" s="15">
        <f t="shared" si="0"/>
        <v>1184</v>
      </c>
      <c r="L9" s="16">
        <f>AVERAGEIF('Aout 2017'!B2:B32,"&gt;13")</f>
        <v>46.454545454545453</v>
      </c>
    </row>
    <row r="10" spans="1:12" ht="16.5" x14ac:dyDescent="0.3">
      <c r="A10" s="5" t="s">
        <v>21</v>
      </c>
      <c r="B10" s="10">
        <f>'Septembre 2017'!B33</f>
        <v>915</v>
      </c>
      <c r="C10" s="11">
        <f>'Septembre 2017'!C33</f>
        <v>348</v>
      </c>
      <c r="D10" s="11">
        <f>'Septembre 2017'!D33</f>
        <v>346</v>
      </c>
      <c r="E10" s="12">
        <f>'Septembre 2017'!E33</f>
        <v>221</v>
      </c>
      <c r="F10" s="13">
        <f>'Septembre 2017'!F33</f>
        <v>165</v>
      </c>
      <c r="G10" s="11">
        <f>'Septembre 2017'!G33</f>
        <v>106</v>
      </c>
      <c r="H10" s="11">
        <f>'Septembre 2017'!H33</f>
        <v>55</v>
      </c>
      <c r="I10" s="12">
        <f>'Septembre 2017'!I33</f>
        <v>4</v>
      </c>
      <c r="J10" s="14"/>
      <c r="K10" s="15">
        <f t="shared" si="0"/>
        <v>1080</v>
      </c>
      <c r="L10" s="16">
        <f>AVERAGEIF('Septembre 2017'!B2:B31,"&gt;13")</f>
        <v>42.428571428571431</v>
      </c>
    </row>
    <row r="11" spans="1:12" ht="16.5" x14ac:dyDescent="0.3">
      <c r="A11" s="5" t="s">
        <v>22</v>
      </c>
      <c r="B11" s="10">
        <f>'Octobre 2017'!B33</f>
        <v>1023</v>
      </c>
      <c r="C11" s="11">
        <f>'Octobre 2017'!C33</f>
        <v>440</v>
      </c>
      <c r="D11" s="11">
        <f>'Octobre 2017'!D33</f>
        <v>353</v>
      </c>
      <c r="E11" s="12">
        <f>'Octobre 2017'!E33</f>
        <v>230</v>
      </c>
      <c r="F11" s="13">
        <f>'Octobre 2017'!F33</f>
        <v>197</v>
      </c>
      <c r="G11" s="11">
        <f>'Octobre 2017'!G33</f>
        <v>108</v>
      </c>
      <c r="H11" s="11">
        <f>'Octobre 2017'!H33</f>
        <v>87</v>
      </c>
      <c r="I11" s="12">
        <f>'Octobre 2017'!I33</f>
        <v>2</v>
      </c>
      <c r="J11" s="14"/>
      <c r="K11" s="15">
        <f t="shared" si="0"/>
        <v>1220</v>
      </c>
      <c r="L11" s="16">
        <f>AVERAGEIF('Octobre 2017'!B2:B32,"&gt;13")</f>
        <v>45.636363636363633</v>
      </c>
    </row>
    <row r="12" spans="1:12" ht="16.5" x14ac:dyDescent="0.3">
      <c r="A12" s="5" t="s">
        <v>23</v>
      </c>
      <c r="B12" s="10">
        <f>'Novembre 2017'!B33</f>
        <v>971</v>
      </c>
      <c r="C12" s="11">
        <f>'Novembre 2017'!C33</f>
        <v>384</v>
      </c>
      <c r="D12" s="11">
        <f>'Novembre 2017'!D33</f>
        <v>362</v>
      </c>
      <c r="E12" s="12">
        <f>'Novembre 2017'!E33</f>
        <v>225</v>
      </c>
      <c r="F12" s="13">
        <f>'Novembre 2017'!F33</f>
        <v>187</v>
      </c>
      <c r="G12" s="11">
        <f>'Novembre 2017'!G33</f>
        <v>115</v>
      </c>
      <c r="H12" s="11">
        <f>'Novembre 2017'!H33</f>
        <v>72</v>
      </c>
      <c r="I12" s="12">
        <f>'Novembre 2017'!I33</f>
        <v>0</v>
      </c>
      <c r="J12" s="14"/>
      <c r="K12" s="15">
        <f t="shared" si="0"/>
        <v>1158</v>
      </c>
      <c r="L12" s="16">
        <f>AVERAGEIF('Novembre 2017'!B2:B31,"&gt;13")</f>
        <v>44.904761904761905</v>
      </c>
    </row>
    <row r="13" spans="1:12" ht="17.25" thickBot="1" x14ac:dyDescent="0.35">
      <c r="A13" s="5" t="s">
        <v>24</v>
      </c>
      <c r="B13" s="10">
        <f>'Décembre 2017'!B33</f>
        <v>1107</v>
      </c>
      <c r="C13" s="11">
        <f>'Décembre 2017'!C33</f>
        <v>479</v>
      </c>
      <c r="D13" s="11">
        <f>'Décembre 2017'!D33</f>
        <v>376</v>
      </c>
      <c r="E13" s="12">
        <f>'Décembre 2017'!E33</f>
        <v>252</v>
      </c>
      <c r="F13" s="13">
        <f>'Décembre 2017'!F33</f>
        <v>199</v>
      </c>
      <c r="G13" s="11">
        <f>'Décembre 2017'!G33</f>
        <v>130</v>
      </c>
      <c r="H13" s="11">
        <f>'Décembre 2017'!H33</f>
        <v>66</v>
      </c>
      <c r="I13" s="12">
        <f>'Décembre 2017'!I33</f>
        <v>3</v>
      </c>
      <c r="J13" s="14"/>
      <c r="K13" s="15">
        <f t="shared" si="0"/>
        <v>1306</v>
      </c>
      <c r="L13" s="16">
        <f>AVERAGEIF('Décembre 2017'!B2:B32,"&gt;13")</f>
        <v>54.05</v>
      </c>
    </row>
    <row r="14" spans="1:12" ht="17.25" thickBot="1" x14ac:dyDescent="0.35">
      <c r="A14" s="26" t="s">
        <v>25</v>
      </c>
      <c r="B14" s="17">
        <f t="shared" ref="B14:I14" si="1">B2+B3+B4+B5+B6+B7+B8+B9+B10+B11+B12+B13</f>
        <v>11899</v>
      </c>
      <c r="C14" s="17">
        <f t="shared" si="1"/>
        <v>4941</v>
      </c>
      <c r="D14" s="17">
        <f t="shared" si="1"/>
        <v>4116</v>
      </c>
      <c r="E14" s="17">
        <f t="shared" si="1"/>
        <v>2842</v>
      </c>
      <c r="F14" s="18">
        <f t="shared" si="1"/>
        <v>2077</v>
      </c>
      <c r="G14" s="18">
        <f t="shared" si="1"/>
        <v>1321</v>
      </c>
      <c r="H14" s="18">
        <f t="shared" si="1"/>
        <v>738</v>
      </c>
      <c r="I14" s="18">
        <f t="shared" si="1"/>
        <v>18</v>
      </c>
      <c r="J14" s="14"/>
      <c r="K14" s="19">
        <f>K2+K3+K4+K5+K6+K7+K8+K9+K10+K11+K12+K13</f>
        <v>13976</v>
      </c>
      <c r="L14" s="20">
        <f>AVERAGEIF(L2:L13,"&lt;&gt;#DIV/0!")</f>
        <v>46.467576756449752</v>
      </c>
    </row>
    <row r="31" spans="1:12" x14ac:dyDescent="0.25">
      <c r="A31" s="138"/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</row>
  </sheetData>
  <mergeCells count="1">
    <mergeCell ref="A31:L31"/>
  </mergeCells>
  <conditionalFormatting sqref="B2:B13">
    <cfRule type="iconSet" priority="3">
      <iconSet iconSet="3Symbols">
        <cfvo type="percent" val="0"/>
        <cfvo type="percent" val="33"/>
        <cfvo type="percent" val="67"/>
      </iconSet>
    </cfRule>
  </conditionalFormatting>
  <conditionalFormatting sqref="L2:L13">
    <cfRule type="containsErrors" dxfId="18" priority="1">
      <formula>ISERROR(L2)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7030A0"/>
  </sheetPr>
  <dimension ref="A1:P33"/>
  <sheetViews>
    <sheetView showGridLines="0" showRowColHeaders="0" zoomScaleNormal="100" workbookViewId="0">
      <pane ySplit="1" topLeftCell="A2" activePane="bottomLeft" state="frozen"/>
      <selection pane="bottomLeft" activeCell="P1" sqref="P1"/>
    </sheetView>
  </sheetViews>
  <sheetFormatPr baseColWidth="10" defaultColWidth="9.140625" defaultRowHeight="15" x14ac:dyDescent="0.25"/>
  <cols>
    <col min="1" max="1" width="12.140625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  <col min="16" max="16" width="10.7109375" bestFit="1" customWidth="1"/>
  </cols>
  <sheetData>
    <row r="1" spans="1:16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6" ht="16.5" x14ac:dyDescent="0.3">
      <c r="A2" s="2">
        <v>43101</v>
      </c>
      <c r="B2" s="55">
        <f>C2+D2+E2</f>
        <v>0</v>
      </c>
      <c r="C2" s="27">
        <v>0</v>
      </c>
      <c r="D2" s="27">
        <v>0</v>
      </c>
      <c r="E2" s="27">
        <v>0</v>
      </c>
      <c r="F2" s="13">
        <v>0</v>
      </c>
      <c r="G2" s="27">
        <v>0</v>
      </c>
      <c r="H2" s="27">
        <v>0</v>
      </c>
      <c r="I2" s="27">
        <v>0</v>
      </c>
      <c r="J2" s="29">
        <v>0</v>
      </c>
      <c r="K2" s="30">
        <v>0</v>
      </c>
      <c r="L2" s="31">
        <v>0</v>
      </c>
      <c r="M2" s="32">
        <v>0</v>
      </c>
      <c r="N2" s="33"/>
      <c r="O2" s="34">
        <f>B2+F2+J2+K2+L2+M2</f>
        <v>0</v>
      </c>
      <c r="P2" s="54"/>
    </row>
    <row r="3" spans="1:16" ht="16.5" x14ac:dyDescent="0.3">
      <c r="A3" s="2">
        <v>43102</v>
      </c>
      <c r="B3" s="55">
        <f t="shared" ref="B3:B32" si="0">C3+D3+E3</f>
        <v>35</v>
      </c>
      <c r="C3" s="27">
        <v>13</v>
      </c>
      <c r="D3" s="27">
        <v>13</v>
      </c>
      <c r="E3" s="27">
        <v>9</v>
      </c>
      <c r="F3" s="13">
        <v>4</v>
      </c>
      <c r="G3" s="27">
        <v>3</v>
      </c>
      <c r="H3" s="27">
        <v>1</v>
      </c>
      <c r="I3" s="27">
        <v>0</v>
      </c>
      <c r="J3" s="29">
        <v>5</v>
      </c>
      <c r="K3" s="30">
        <v>1</v>
      </c>
      <c r="L3" s="31">
        <v>0</v>
      </c>
      <c r="M3" s="32">
        <v>2</v>
      </c>
      <c r="N3" s="33"/>
      <c r="O3" s="34">
        <f t="shared" ref="O3:O32" si="1">B3+F3+J3+K3+L3+M3</f>
        <v>47</v>
      </c>
    </row>
    <row r="4" spans="1:16" ht="16.5" x14ac:dyDescent="0.3">
      <c r="A4" s="2">
        <v>43103</v>
      </c>
      <c r="B4" s="55">
        <f t="shared" si="0"/>
        <v>50</v>
      </c>
      <c r="C4" s="27">
        <v>22</v>
      </c>
      <c r="D4" s="27">
        <v>14</v>
      </c>
      <c r="E4" s="27">
        <v>14</v>
      </c>
      <c r="F4" s="13">
        <f t="shared" ref="F4:F32" si="2">G4+H4+I4</f>
        <v>8</v>
      </c>
      <c r="G4" s="27">
        <v>5</v>
      </c>
      <c r="H4" s="27">
        <v>3</v>
      </c>
      <c r="I4" s="27">
        <v>0</v>
      </c>
      <c r="J4" s="29">
        <v>8</v>
      </c>
      <c r="K4" s="30">
        <v>5</v>
      </c>
      <c r="L4" s="31">
        <v>0</v>
      </c>
      <c r="M4" s="32">
        <v>3</v>
      </c>
      <c r="N4" s="33"/>
      <c r="O4" s="34">
        <f t="shared" si="1"/>
        <v>74</v>
      </c>
    </row>
    <row r="5" spans="1:16" ht="16.5" x14ac:dyDescent="0.3">
      <c r="A5" s="2">
        <v>43104</v>
      </c>
      <c r="B5" s="55">
        <f t="shared" si="0"/>
        <v>46</v>
      </c>
      <c r="C5" s="27">
        <v>14</v>
      </c>
      <c r="D5" s="27">
        <v>17</v>
      </c>
      <c r="E5" s="27">
        <v>15</v>
      </c>
      <c r="F5" s="13">
        <f t="shared" si="2"/>
        <v>9</v>
      </c>
      <c r="G5" s="27">
        <v>7</v>
      </c>
      <c r="H5" s="27">
        <v>2</v>
      </c>
      <c r="I5" s="27">
        <v>0</v>
      </c>
      <c r="J5" s="29">
        <v>13</v>
      </c>
      <c r="K5" s="30">
        <v>3</v>
      </c>
      <c r="L5" s="31">
        <v>0</v>
      </c>
      <c r="M5" s="32">
        <v>3</v>
      </c>
      <c r="N5" s="33"/>
      <c r="O5" s="34">
        <f t="shared" si="1"/>
        <v>74</v>
      </c>
    </row>
    <row r="6" spans="1:16" ht="16.5" x14ac:dyDescent="0.3">
      <c r="A6" s="2">
        <v>43105</v>
      </c>
      <c r="B6" s="55">
        <f t="shared" si="0"/>
        <v>44</v>
      </c>
      <c r="C6" s="27">
        <v>20</v>
      </c>
      <c r="D6" s="27">
        <v>12</v>
      </c>
      <c r="E6" s="27">
        <v>12</v>
      </c>
      <c r="F6" s="13">
        <f t="shared" si="2"/>
        <v>6</v>
      </c>
      <c r="G6" s="27">
        <v>3</v>
      </c>
      <c r="H6" s="27">
        <v>3</v>
      </c>
      <c r="I6" s="27">
        <v>0</v>
      </c>
      <c r="J6" s="29">
        <v>4</v>
      </c>
      <c r="K6" s="30">
        <v>1</v>
      </c>
      <c r="L6" s="31">
        <v>0</v>
      </c>
      <c r="M6" s="32">
        <v>5</v>
      </c>
      <c r="N6" s="33"/>
      <c r="O6" s="34">
        <f t="shared" si="1"/>
        <v>60</v>
      </c>
    </row>
    <row r="7" spans="1:16" ht="16.5" x14ac:dyDescent="0.3">
      <c r="A7" s="2">
        <v>43106</v>
      </c>
      <c r="B7" s="55">
        <f t="shared" si="0"/>
        <v>5</v>
      </c>
      <c r="C7" s="27">
        <v>3</v>
      </c>
      <c r="D7" s="27">
        <v>0</v>
      </c>
      <c r="E7" s="27">
        <v>2</v>
      </c>
      <c r="F7" s="13">
        <f t="shared" si="2"/>
        <v>0</v>
      </c>
      <c r="G7" s="27">
        <v>0</v>
      </c>
      <c r="H7" s="27">
        <v>0</v>
      </c>
      <c r="I7" s="27">
        <v>0</v>
      </c>
      <c r="J7" s="29">
        <v>0</v>
      </c>
      <c r="K7" s="30">
        <v>1</v>
      </c>
      <c r="L7" s="31">
        <v>0</v>
      </c>
      <c r="M7" s="32">
        <v>0</v>
      </c>
      <c r="N7" s="33"/>
      <c r="O7" s="34">
        <f t="shared" si="1"/>
        <v>6</v>
      </c>
    </row>
    <row r="8" spans="1:16" ht="16.5" x14ac:dyDescent="0.3">
      <c r="A8" s="2">
        <v>43107</v>
      </c>
      <c r="B8" s="55">
        <f t="shared" si="0"/>
        <v>0</v>
      </c>
      <c r="C8" s="27">
        <v>0</v>
      </c>
      <c r="D8" s="27">
        <v>0</v>
      </c>
      <c r="E8" s="27">
        <v>0</v>
      </c>
      <c r="F8" s="13">
        <f t="shared" si="2"/>
        <v>0</v>
      </c>
      <c r="G8" s="27">
        <v>0</v>
      </c>
      <c r="H8" s="27">
        <v>0</v>
      </c>
      <c r="I8" s="27">
        <v>0</v>
      </c>
      <c r="J8" s="29">
        <v>0</v>
      </c>
      <c r="K8" s="30">
        <v>0</v>
      </c>
      <c r="L8" s="31">
        <v>0</v>
      </c>
      <c r="M8" s="32">
        <v>0</v>
      </c>
      <c r="N8" s="33"/>
      <c r="O8" s="34">
        <f t="shared" si="1"/>
        <v>0</v>
      </c>
    </row>
    <row r="9" spans="1:16" ht="16.5" x14ac:dyDescent="0.3">
      <c r="A9" s="2">
        <v>43108</v>
      </c>
      <c r="B9" s="55">
        <f t="shared" si="0"/>
        <v>50</v>
      </c>
      <c r="C9" s="27">
        <v>24</v>
      </c>
      <c r="D9" s="27">
        <v>17</v>
      </c>
      <c r="E9" s="27">
        <v>9</v>
      </c>
      <c r="F9" s="13">
        <f t="shared" si="2"/>
        <v>14</v>
      </c>
      <c r="G9" s="27">
        <v>9</v>
      </c>
      <c r="H9" s="27">
        <v>5</v>
      </c>
      <c r="I9" s="27">
        <v>0</v>
      </c>
      <c r="J9" s="29">
        <v>12</v>
      </c>
      <c r="K9" s="30">
        <v>3</v>
      </c>
      <c r="L9" s="31">
        <v>0</v>
      </c>
      <c r="M9" s="32">
        <v>0</v>
      </c>
      <c r="N9" s="33"/>
      <c r="O9" s="34">
        <f t="shared" si="1"/>
        <v>79</v>
      </c>
    </row>
    <row r="10" spans="1:16" ht="16.5" x14ac:dyDescent="0.3">
      <c r="A10" s="2">
        <v>43109</v>
      </c>
      <c r="B10" s="55">
        <f t="shared" si="0"/>
        <v>47</v>
      </c>
      <c r="C10" s="27">
        <v>18</v>
      </c>
      <c r="D10" s="27">
        <v>17</v>
      </c>
      <c r="E10" s="27">
        <v>12</v>
      </c>
      <c r="F10" s="13">
        <f t="shared" si="2"/>
        <v>14</v>
      </c>
      <c r="G10" s="27">
        <v>9</v>
      </c>
      <c r="H10" s="27">
        <v>5</v>
      </c>
      <c r="I10" s="27">
        <v>0</v>
      </c>
      <c r="J10" s="29">
        <v>9</v>
      </c>
      <c r="K10" s="30">
        <v>5</v>
      </c>
      <c r="L10" s="31">
        <v>0</v>
      </c>
      <c r="M10" s="32">
        <v>2</v>
      </c>
      <c r="N10" s="33"/>
      <c r="O10" s="34">
        <f t="shared" si="1"/>
        <v>77</v>
      </c>
    </row>
    <row r="11" spans="1:16" ht="16.5" x14ac:dyDescent="0.3">
      <c r="A11" s="2">
        <v>43110</v>
      </c>
      <c r="B11" s="55">
        <f t="shared" si="0"/>
        <v>61</v>
      </c>
      <c r="C11" s="27">
        <v>20</v>
      </c>
      <c r="D11" s="27">
        <v>24</v>
      </c>
      <c r="E11" s="27">
        <v>17</v>
      </c>
      <c r="F11" s="13">
        <f t="shared" si="2"/>
        <v>11</v>
      </c>
      <c r="G11" s="27">
        <v>6</v>
      </c>
      <c r="H11" s="27">
        <v>5</v>
      </c>
      <c r="I11" s="27">
        <v>0</v>
      </c>
      <c r="J11" s="29">
        <v>13</v>
      </c>
      <c r="K11" s="30">
        <v>2</v>
      </c>
      <c r="L11" s="31">
        <v>0</v>
      </c>
      <c r="M11" s="32">
        <v>0</v>
      </c>
      <c r="N11" s="33"/>
      <c r="O11" s="34">
        <f t="shared" si="1"/>
        <v>87</v>
      </c>
    </row>
    <row r="12" spans="1:16" ht="16.5" x14ac:dyDescent="0.3">
      <c r="A12" s="2">
        <v>43111</v>
      </c>
      <c r="B12" s="55">
        <f t="shared" si="0"/>
        <v>49</v>
      </c>
      <c r="C12" s="27">
        <v>20</v>
      </c>
      <c r="D12" s="27">
        <v>14</v>
      </c>
      <c r="E12" s="27">
        <v>15</v>
      </c>
      <c r="F12" s="13">
        <f t="shared" si="2"/>
        <v>9</v>
      </c>
      <c r="G12" s="27">
        <v>6</v>
      </c>
      <c r="H12" s="27">
        <v>3</v>
      </c>
      <c r="I12" s="27">
        <v>0</v>
      </c>
      <c r="J12" s="29">
        <v>12</v>
      </c>
      <c r="K12" s="30">
        <v>4</v>
      </c>
      <c r="L12" s="31">
        <v>2</v>
      </c>
      <c r="M12" s="32">
        <v>0</v>
      </c>
      <c r="N12" s="33"/>
      <c r="O12" s="34">
        <f t="shared" si="1"/>
        <v>76</v>
      </c>
    </row>
    <row r="13" spans="1:16" ht="16.5" x14ac:dyDescent="0.3">
      <c r="A13" s="2">
        <v>43112</v>
      </c>
      <c r="B13" s="55">
        <f t="shared" si="0"/>
        <v>46</v>
      </c>
      <c r="C13" s="27">
        <v>21</v>
      </c>
      <c r="D13" s="27">
        <v>15</v>
      </c>
      <c r="E13" s="27">
        <v>10</v>
      </c>
      <c r="F13" s="13">
        <f t="shared" si="2"/>
        <v>11</v>
      </c>
      <c r="G13" s="27">
        <v>8</v>
      </c>
      <c r="H13" s="27">
        <v>3</v>
      </c>
      <c r="I13" s="27">
        <v>0</v>
      </c>
      <c r="J13" s="29">
        <v>10</v>
      </c>
      <c r="K13" s="30">
        <v>1</v>
      </c>
      <c r="L13" s="31">
        <v>1</v>
      </c>
      <c r="M13" s="32">
        <v>0</v>
      </c>
      <c r="N13" s="33"/>
      <c r="O13" s="34">
        <f t="shared" si="1"/>
        <v>69</v>
      </c>
    </row>
    <row r="14" spans="1:16" ht="16.5" x14ac:dyDescent="0.3">
      <c r="A14" s="2">
        <v>43113</v>
      </c>
      <c r="B14" s="55">
        <f t="shared" si="0"/>
        <v>3</v>
      </c>
      <c r="C14" s="27">
        <v>3</v>
      </c>
      <c r="D14" s="27">
        <v>0</v>
      </c>
      <c r="E14" s="27">
        <v>0</v>
      </c>
      <c r="F14" s="13">
        <f t="shared" si="2"/>
        <v>0</v>
      </c>
      <c r="G14" s="27">
        <v>0</v>
      </c>
      <c r="H14" s="27">
        <v>0</v>
      </c>
      <c r="I14" s="27">
        <v>0</v>
      </c>
      <c r="J14" s="29">
        <v>2</v>
      </c>
      <c r="K14" s="30">
        <v>0</v>
      </c>
      <c r="L14" s="31">
        <v>0</v>
      </c>
      <c r="M14" s="32">
        <v>0</v>
      </c>
      <c r="N14" s="33"/>
      <c r="O14" s="34">
        <f t="shared" si="1"/>
        <v>5</v>
      </c>
    </row>
    <row r="15" spans="1:16" ht="16.5" x14ac:dyDescent="0.3">
      <c r="A15" s="2">
        <v>43114</v>
      </c>
      <c r="B15" s="55">
        <f t="shared" si="0"/>
        <v>0</v>
      </c>
      <c r="C15" s="27">
        <v>0</v>
      </c>
      <c r="D15" s="27">
        <v>0</v>
      </c>
      <c r="E15" s="27">
        <v>0</v>
      </c>
      <c r="F15" s="13">
        <f t="shared" si="2"/>
        <v>0</v>
      </c>
      <c r="G15" s="27">
        <v>0</v>
      </c>
      <c r="H15" s="27">
        <v>0</v>
      </c>
      <c r="I15" s="27">
        <v>0</v>
      </c>
      <c r="J15" s="29">
        <v>0</v>
      </c>
      <c r="K15" s="30">
        <v>0</v>
      </c>
      <c r="L15" s="31">
        <v>0</v>
      </c>
      <c r="M15" s="32">
        <v>0</v>
      </c>
      <c r="N15" s="33"/>
      <c r="O15" s="34">
        <f t="shared" si="1"/>
        <v>0</v>
      </c>
    </row>
    <row r="16" spans="1:16" ht="16.5" x14ac:dyDescent="0.3">
      <c r="A16" s="2">
        <v>43115</v>
      </c>
      <c r="B16" s="55">
        <f t="shared" si="0"/>
        <v>57</v>
      </c>
      <c r="C16" s="27">
        <v>25</v>
      </c>
      <c r="D16" s="27">
        <v>22</v>
      </c>
      <c r="E16" s="27">
        <v>10</v>
      </c>
      <c r="F16" s="13">
        <f t="shared" si="2"/>
        <v>11</v>
      </c>
      <c r="G16" s="27">
        <v>6</v>
      </c>
      <c r="H16" s="27">
        <v>5</v>
      </c>
      <c r="I16" s="27">
        <v>0</v>
      </c>
      <c r="J16" s="29">
        <v>5</v>
      </c>
      <c r="K16" s="30">
        <v>2</v>
      </c>
      <c r="L16" s="31">
        <v>0</v>
      </c>
      <c r="M16" s="32">
        <v>4</v>
      </c>
      <c r="N16" s="33"/>
      <c r="O16" s="34">
        <f t="shared" si="1"/>
        <v>79</v>
      </c>
    </row>
    <row r="17" spans="1:15" ht="16.5" x14ac:dyDescent="0.3">
      <c r="A17" s="2">
        <v>43116</v>
      </c>
      <c r="B17" s="55">
        <f t="shared" si="0"/>
        <v>46</v>
      </c>
      <c r="C17" s="27">
        <v>18</v>
      </c>
      <c r="D17" s="27">
        <v>12</v>
      </c>
      <c r="E17" s="27">
        <v>16</v>
      </c>
      <c r="F17" s="13">
        <f t="shared" si="2"/>
        <v>12</v>
      </c>
      <c r="G17" s="27">
        <v>8</v>
      </c>
      <c r="H17" s="27">
        <v>4</v>
      </c>
      <c r="I17" s="27">
        <v>0</v>
      </c>
      <c r="J17" s="29">
        <v>6</v>
      </c>
      <c r="K17" s="30">
        <v>4</v>
      </c>
      <c r="L17" s="31">
        <v>0</v>
      </c>
      <c r="M17" s="32">
        <v>1</v>
      </c>
      <c r="N17" s="33"/>
      <c r="O17" s="34">
        <f t="shared" si="1"/>
        <v>69</v>
      </c>
    </row>
    <row r="18" spans="1:15" ht="16.5" x14ac:dyDescent="0.3">
      <c r="A18" s="2">
        <v>43117</v>
      </c>
      <c r="B18" s="55">
        <f t="shared" si="0"/>
        <v>48</v>
      </c>
      <c r="C18" s="27">
        <v>20</v>
      </c>
      <c r="D18" s="27">
        <v>18</v>
      </c>
      <c r="E18" s="27">
        <v>10</v>
      </c>
      <c r="F18" s="13">
        <f t="shared" si="2"/>
        <v>7</v>
      </c>
      <c r="G18" s="27">
        <v>3</v>
      </c>
      <c r="H18" s="27">
        <v>4</v>
      </c>
      <c r="I18" s="27">
        <v>0</v>
      </c>
      <c r="J18" s="29">
        <v>5</v>
      </c>
      <c r="K18" s="30">
        <v>4</v>
      </c>
      <c r="L18" s="31">
        <v>1</v>
      </c>
      <c r="M18" s="32">
        <v>1</v>
      </c>
      <c r="N18" s="33"/>
      <c r="O18" s="34">
        <f t="shared" si="1"/>
        <v>66</v>
      </c>
    </row>
    <row r="19" spans="1:15" ht="16.5" x14ac:dyDescent="0.3">
      <c r="A19" s="2">
        <v>43118</v>
      </c>
      <c r="B19" s="55">
        <f t="shared" si="0"/>
        <v>43</v>
      </c>
      <c r="C19" s="27">
        <v>15</v>
      </c>
      <c r="D19" s="27">
        <v>14</v>
      </c>
      <c r="E19" s="27">
        <v>14</v>
      </c>
      <c r="F19" s="13">
        <f t="shared" si="2"/>
        <v>6</v>
      </c>
      <c r="G19" s="27">
        <v>5</v>
      </c>
      <c r="H19" s="27">
        <v>1</v>
      </c>
      <c r="I19" s="27">
        <v>0</v>
      </c>
      <c r="J19" s="29">
        <v>4</v>
      </c>
      <c r="K19" s="30">
        <v>6</v>
      </c>
      <c r="L19" s="31">
        <v>0</v>
      </c>
      <c r="M19" s="32">
        <v>5</v>
      </c>
      <c r="N19" s="33"/>
      <c r="O19" s="34">
        <f t="shared" si="1"/>
        <v>64</v>
      </c>
    </row>
    <row r="20" spans="1:15" ht="16.5" x14ac:dyDescent="0.3">
      <c r="A20" s="2">
        <v>43119</v>
      </c>
      <c r="B20" s="55">
        <f t="shared" si="0"/>
        <v>41</v>
      </c>
      <c r="C20" s="27">
        <v>15</v>
      </c>
      <c r="D20" s="27">
        <v>12</v>
      </c>
      <c r="E20" s="27">
        <v>14</v>
      </c>
      <c r="F20" s="13">
        <f t="shared" si="2"/>
        <v>8</v>
      </c>
      <c r="G20" s="27">
        <v>5</v>
      </c>
      <c r="H20" s="27">
        <v>3</v>
      </c>
      <c r="I20" s="27">
        <v>0</v>
      </c>
      <c r="J20" s="29">
        <v>8</v>
      </c>
      <c r="K20" s="30">
        <v>3</v>
      </c>
      <c r="L20" s="31">
        <v>0</v>
      </c>
      <c r="M20" s="32">
        <v>3</v>
      </c>
      <c r="N20" s="33"/>
      <c r="O20" s="34">
        <f t="shared" si="1"/>
        <v>63</v>
      </c>
    </row>
    <row r="21" spans="1:15" ht="16.5" x14ac:dyDescent="0.3">
      <c r="A21" s="2">
        <v>43120</v>
      </c>
      <c r="B21" s="55">
        <f t="shared" si="0"/>
        <v>3</v>
      </c>
      <c r="C21" s="27">
        <v>3</v>
      </c>
      <c r="D21" s="27">
        <v>0</v>
      </c>
      <c r="E21" s="27">
        <v>0</v>
      </c>
      <c r="F21" s="13">
        <f t="shared" si="2"/>
        <v>0</v>
      </c>
      <c r="G21" s="27">
        <v>0</v>
      </c>
      <c r="H21" s="27">
        <v>0</v>
      </c>
      <c r="I21" s="27">
        <v>0</v>
      </c>
      <c r="J21" s="29">
        <v>1</v>
      </c>
      <c r="K21" s="30">
        <v>1</v>
      </c>
      <c r="L21" s="31">
        <v>0</v>
      </c>
      <c r="M21" s="32">
        <v>0</v>
      </c>
      <c r="N21" s="33"/>
      <c r="O21" s="34">
        <f t="shared" si="1"/>
        <v>5</v>
      </c>
    </row>
    <row r="22" spans="1:15" ht="16.5" x14ac:dyDescent="0.3">
      <c r="A22" s="2">
        <v>43121</v>
      </c>
      <c r="B22" s="55">
        <f t="shared" si="0"/>
        <v>0</v>
      </c>
      <c r="C22" s="27">
        <v>0</v>
      </c>
      <c r="D22" s="27">
        <v>0</v>
      </c>
      <c r="E22" s="27">
        <v>0</v>
      </c>
      <c r="F22" s="13">
        <f t="shared" si="2"/>
        <v>0</v>
      </c>
      <c r="G22" s="27">
        <v>0</v>
      </c>
      <c r="H22" s="27">
        <v>0</v>
      </c>
      <c r="I22" s="27">
        <v>0</v>
      </c>
      <c r="J22" s="29">
        <v>0</v>
      </c>
      <c r="K22" s="30">
        <v>0</v>
      </c>
      <c r="L22" s="31">
        <v>0</v>
      </c>
      <c r="M22" s="32">
        <v>0</v>
      </c>
      <c r="N22" s="33"/>
      <c r="O22" s="34">
        <f t="shared" si="1"/>
        <v>0</v>
      </c>
    </row>
    <row r="23" spans="1:15" ht="16.5" x14ac:dyDescent="0.3">
      <c r="A23" s="2">
        <v>43122</v>
      </c>
      <c r="B23" s="55">
        <f t="shared" si="0"/>
        <v>38</v>
      </c>
      <c r="C23" s="27">
        <v>20</v>
      </c>
      <c r="D23" s="27">
        <v>10</v>
      </c>
      <c r="E23" s="27">
        <v>8</v>
      </c>
      <c r="F23" s="13">
        <f t="shared" si="2"/>
        <v>8</v>
      </c>
      <c r="G23" s="27">
        <v>3</v>
      </c>
      <c r="H23" s="27">
        <v>5</v>
      </c>
      <c r="I23" s="27">
        <v>0</v>
      </c>
      <c r="J23" s="29">
        <v>7</v>
      </c>
      <c r="K23" s="30">
        <v>4</v>
      </c>
      <c r="L23" s="31">
        <v>0</v>
      </c>
      <c r="M23" s="32">
        <v>1</v>
      </c>
      <c r="N23" s="33"/>
      <c r="O23" s="34">
        <f t="shared" si="1"/>
        <v>58</v>
      </c>
    </row>
    <row r="24" spans="1:15" ht="16.5" x14ac:dyDescent="0.3">
      <c r="A24" s="2">
        <v>43123</v>
      </c>
      <c r="B24" s="55">
        <f t="shared" si="0"/>
        <v>45</v>
      </c>
      <c r="C24" s="27">
        <v>17</v>
      </c>
      <c r="D24" s="27">
        <v>14</v>
      </c>
      <c r="E24" s="27">
        <v>14</v>
      </c>
      <c r="F24" s="13">
        <f t="shared" si="2"/>
        <v>18</v>
      </c>
      <c r="G24" s="27">
        <v>10</v>
      </c>
      <c r="H24" s="27">
        <v>7</v>
      </c>
      <c r="I24" s="27">
        <v>1</v>
      </c>
      <c r="J24" s="29">
        <v>8</v>
      </c>
      <c r="K24" s="30">
        <v>4</v>
      </c>
      <c r="L24" s="31">
        <v>1</v>
      </c>
      <c r="M24" s="32">
        <v>0</v>
      </c>
      <c r="N24" s="33"/>
      <c r="O24" s="34">
        <f t="shared" si="1"/>
        <v>76</v>
      </c>
    </row>
    <row r="25" spans="1:15" ht="16.5" x14ac:dyDescent="0.3">
      <c r="A25" s="2">
        <v>43124</v>
      </c>
      <c r="B25" s="55">
        <f t="shared" si="0"/>
        <v>41</v>
      </c>
      <c r="C25" s="27">
        <v>17</v>
      </c>
      <c r="D25" s="27">
        <v>17</v>
      </c>
      <c r="E25" s="27">
        <v>7</v>
      </c>
      <c r="F25" s="13">
        <f t="shared" si="2"/>
        <v>19</v>
      </c>
      <c r="G25" s="27">
        <v>11</v>
      </c>
      <c r="H25" s="27">
        <v>8</v>
      </c>
      <c r="I25" s="27">
        <v>0</v>
      </c>
      <c r="J25" s="29">
        <v>7</v>
      </c>
      <c r="K25" s="30">
        <v>3</v>
      </c>
      <c r="L25" s="31">
        <v>0</v>
      </c>
      <c r="M25" s="32">
        <v>3</v>
      </c>
      <c r="N25" s="33"/>
      <c r="O25" s="34">
        <f t="shared" si="1"/>
        <v>73</v>
      </c>
    </row>
    <row r="26" spans="1:15" ht="16.5" x14ac:dyDescent="0.3">
      <c r="A26" s="2">
        <v>43125</v>
      </c>
      <c r="B26" s="55">
        <f t="shared" si="0"/>
        <v>49</v>
      </c>
      <c r="C26" s="27">
        <v>16</v>
      </c>
      <c r="D26" s="27">
        <v>20</v>
      </c>
      <c r="E26" s="27">
        <v>13</v>
      </c>
      <c r="F26" s="13">
        <f t="shared" si="2"/>
        <v>10</v>
      </c>
      <c r="G26" s="27">
        <v>5</v>
      </c>
      <c r="H26" s="27">
        <v>4</v>
      </c>
      <c r="I26" s="27">
        <v>1</v>
      </c>
      <c r="J26" s="29">
        <v>9</v>
      </c>
      <c r="K26" s="30">
        <v>2</v>
      </c>
      <c r="L26" s="31">
        <v>0</v>
      </c>
      <c r="M26" s="32">
        <v>1</v>
      </c>
      <c r="N26" s="33"/>
      <c r="O26" s="34">
        <f t="shared" si="1"/>
        <v>71</v>
      </c>
    </row>
    <row r="27" spans="1:15" ht="16.5" x14ac:dyDescent="0.3">
      <c r="A27" s="2">
        <v>43126</v>
      </c>
      <c r="B27" s="55">
        <f t="shared" si="0"/>
        <v>51</v>
      </c>
      <c r="C27" s="27">
        <v>24</v>
      </c>
      <c r="D27" s="27">
        <v>16</v>
      </c>
      <c r="E27" s="27">
        <v>11</v>
      </c>
      <c r="F27" s="13">
        <f t="shared" si="2"/>
        <v>8</v>
      </c>
      <c r="G27" s="27">
        <v>3</v>
      </c>
      <c r="H27" s="27">
        <v>5</v>
      </c>
      <c r="I27" s="27">
        <v>0</v>
      </c>
      <c r="J27" s="29">
        <v>4</v>
      </c>
      <c r="K27" s="30">
        <v>3</v>
      </c>
      <c r="L27" s="31">
        <v>2</v>
      </c>
      <c r="M27" s="32">
        <v>0</v>
      </c>
      <c r="N27" s="33"/>
      <c r="O27" s="34">
        <f t="shared" si="1"/>
        <v>68</v>
      </c>
    </row>
    <row r="28" spans="1:15" ht="16.5" x14ac:dyDescent="0.3">
      <c r="A28" s="2">
        <v>43127</v>
      </c>
      <c r="B28" s="55">
        <f t="shared" si="0"/>
        <v>9</v>
      </c>
      <c r="C28" s="27">
        <v>9</v>
      </c>
      <c r="D28" s="27">
        <v>0</v>
      </c>
      <c r="E28" s="27">
        <v>0</v>
      </c>
      <c r="F28" s="13">
        <f t="shared" si="2"/>
        <v>2</v>
      </c>
      <c r="G28" s="27">
        <v>2</v>
      </c>
      <c r="H28" s="27">
        <v>0</v>
      </c>
      <c r="I28" s="27">
        <v>0</v>
      </c>
      <c r="J28" s="29">
        <v>0</v>
      </c>
      <c r="K28" s="30">
        <v>0</v>
      </c>
      <c r="L28" s="31">
        <v>0</v>
      </c>
      <c r="M28" s="32">
        <v>0</v>
      </c>
      <c r="N28" s="33"/>
      <c r="O28" s="34">
        <f t="shared" si="1"/>
        <v>11</v>
      </c>
    </row>
    <row r="29" spans="1:15" ht="16.5" x14ac:dyDescent="0.3">
      <c r="A29" s="2">
        <v>43128</v>
      </c>
      <c r="B29" s="55">
        <f t="shared" si="0"/>
        <v>0</v>
      </c>
      <c r="C29" s="27">
        <v>0</v>
      </c>
      <c r="D29" s="27">
        <v>0</v>
      </c>
      <c r="E29" s="27">
        <v>0</v>
      </c>
      <c r="F29" s="13">
        <f t="shared" si="2"/>
        <v>0</v>
      </c>
      <c r="G29" s="27">
        <v>0</v>
      </c>
      <c r="H29" s="27">
        <v>0</v>
      </c>
      <c r="I29" s="27">
        <v>0</v>
      </c>
      <c r="J29" s="29">
        <v>0</v>
      </c>
      <c r="K29" s="30">
        <v>0</v>
      </c>
      <c r="L29" s="31">
        <v>0</v>
      </c>
      <c r="M29" s="32">
        <v>0</v>
      </c>
      <c r="N29" s="33"/>
      <c r="O29" s="34">
        <f t="shared" si="1"/>
        <v>0</v>
      </c>
    </row>
    <row r="30" spans="1:15" ht="16.5" x14ac:dyDescent="0.3">
      <c r="A30" s="2">
        <v>43129</v>
      </c>
      <c r="B30" s="55">
        <f t="shared" si="0"/>
        <v>56</v>
      </c>
      <c r="C30" s="27">
        <v>23</v>
      </c>
      <c r="D30" s="27">
        <v>20</v>
      </c>
      <c r="E30" s="27">
        <v>13</v>
      </c>
      <c r="F30" s="13">
        <f t="shared" si="2"/>
        <v>11</v>
      </c>
      <c r="G30" s="27">
        <v>6</v>
      </c>
      <c r="H30" s="27">
        <v>5</v>
      </c>
      <c r="I30" s="27">
        <v>0</v>
      </c>
      <c r="J30" s="29">
        <v>4</v>
      </c>
      <c r="K30" s="30">
        <v>4</v>
      </c>
      <c r="L30" s="31">
        <v>0</v>
      </c>
      <c r="M30" s="32">
        <v>2</v>
      </c>
      <c r="N30" s="33"/>
      <c r="O30" s="34">
        <f t="shared" si="1"/>
        <v>77</v>
      </c>
    </row>
    <row r="31" spans="1:15" ht="16.5" x14ac:dyDescent="0.3">
      <c r="A31" s="2">
        <v>43130</v>
      </c>
      <c r="B31" s="55">
        <f t="shared" si="0"/>
        <v>47</v>
      </c>
      <c r="C31" s="27">
        <v>19</v>
      </c>
      <c r="D31" s="27">
        <v>15</v>
      </c>
      <c r="E31" s="27">
        <v>13</v>
      </c>
      <c r="F31" s="13">
        <f t="shared" si="2"/>
        <v>10</v>
      </c>
      <c r="G31" s="27">
        <v>6</v>
      </c>
      <c r="H31" s="27">
        <v>4</v>
      </c>
      <c r="I31" s="27">
        <v>0</v>
      </c>
      <c r="J31" s="29">
        <v>4</v>
      </c>
      <c r="K31" s="30">
        <v>7</v>
      </c>
      <c r="L31" s="31">
        <v>1</v>
      </c>
      <c r="M31" s="32">
        <v>2</v>
      </c>
      <c r="N31" s="33"/>
      <c r="O31" s="34">
        <f t="shared" si="1"/>
        <v>71</v>
      </c>
    </row>
    <row r="32" spans="1:15" ht="17.25" thickBot="1" x14ac:dyDescent="0.35">
      <c r="A32" s="2">
        <v>43131</v>
      </c>
      <c r="B32" s="56">
        <f t="shared" si="0"/>
        <v>60</v>
      </c>
      <c r="C32" s="27">
        <v>23</v>
      </c>
      <c r="D32" s="27">
        <v>21</v>
      </c>
      <c r="E32" s="27">
        <v>16</v>
      </c>
      <c r="F32" s="38">
        <f t="shared" si="2"/>
        <v>11</v>
      </c>
      <c r="G32" s="27">
        <v>7</v>
      </c>
      <c r="H32" s="27">
        <v>4</v>
      </c>
      <c r="I32" s="27">
        <v>0</v>
      </c>
      <c r="J32" s="29">
        <v>10</v>
      </c>
      <c r="K32" s="30">
        <v>6</v>
      </c>
      <c r="L32" s="31">
        <v>1</v>
      </c>
      <c r="M32" s="32">
        <v>2</v>
      </c>
      <c r="N32" s="33"/>
      <c r="O32" s="39">
        <f t="shared" si="1"/>
        <v>90</v>
      </c>
    </row>
    <row r="33" spans="1:15" ht="17.25" thickBot="1" x14ac:dyDescent="0.35">
      <c r="A33" s="26" t="s">
        <v>10</v>
      </c>
      <c r="B33" s="57">
        <f>SUM(B2:B32)</f>
        <v>1070</v>
      </c>
      <c r="C33" s="17">
        <f t="shared" ref="C33:D33" si="3">SUM(C2:C32)</f>
        <v>442</v>
      </c>
      <c r="D33" s="17">
        <f t="shared" si="3"/>
        <v>354</v>
      </c>
      <c r="E33" s="17">
        <f>SUM(E2:E32)</f>
        <v>274</v>
      </c>
      <c r="F33" s="18">
        <f>SUM(F2:F32)</f>
        <v>227</v>
      </c>
      <c r="G33" s="18">
        <f t="shared" ref="G33:I33" si="4">SUM(G2:G32)</f>
        <v>136</v>
      </c>
      <c r="H33" s="18">
        <f t="shared" si="4"/>
        <v>89</v>
      </c>
      <c r="I33" s="18">
        <f t="shared" si="4"/>
        <v>2</v>
      </c>
      <c r="J33" s="11">
        <f>SUM(J2:J32)</f>
        <v>170</v>
      </c>
      <c r="K33" s="11">
        <f t="shared" ref="K33:M33" si="5">SUM(K2:K32)</f>
        <v>79</v>
      </c>
      <c r="L33" s="11">
        <f t="shared" si="5"/>
        <v>9</v>
      </c>
      <c r="M33" s="11">
        <f t="shared" si="5"/>
        <v>40</v>
      </c>
      <c r="N33" s="33"/>
      <c r="O33" s="40">
        <f>SUM(O2:O32)</f>
        <v>1595</v>
      </c>
    </row>
  </sheetData>
  <conditionalFormatting sqref="B2:B32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{4B8E2BAD-388F-4712-A09B-948530153332}</x14:id>
        </ext>
      </extLst>
    </cfRule>
  </conditionalFormatting>
  <conditionalFormatting sqref="B3:B6 B9:B13 B16:B20 B23:B27 B30:B32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B8E2BAD-388F-4712-A09B-94853015333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B2:B32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7030A0"/>
  </sheetPr>
  <dimension ref="A1:O30"/>
  <sheetViews>
    <sheetView showGridLines="0" showRowColHeaders="0" zoomScaleNormal="100" workbookViewId="0">
      <pane ySplit="1" topLeftCell="A2" activePane="bottomLeft" state="frozen"/>
      <selection pane="bottomLeft" activeCell="G5" sqref="G5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43132</v>
      </c>
      <c r="B2" s="55">
        <f>C2+D2+E2</f>
        <v>50</v>
      </c>
      <c r="C2" s="27">
        <v>18</v>
      </c>
      <c r="D2" s="27">
        <v>17</v>
      </c>
      <c r="E2" s="27">
        <v>15</v>
      </c>
      <c r="F2" s="13">
        <f>G2+H2+I2</f>
        <v>12</v>
      </c>
      <c r="G2" s="27">
        <v>7</v>
      </c>
      <c r="H2" s="27">
        <v>5</v>
      </c>
      <c r="I2" s="27">
        <v>0</v>
      </c>
      <c r="J2" s="29">
        <v>12</v>
      </c>
      <c r="K2" s="30">
        <v>3</v>
      </c>
      <c r="L2" s="31">
        <v>1</v>
      </c>
      <c r="M2" s="32">
        <v>0</v>
      </c>
      <c r="N2" s="33"/>
      <c r="O2" s="34">
        <f>B2+F2+J2+K2+L2+M2</f>
        <v>78</v>
      </c>
    </row>
    <row r="3" spans="1:15" ht="16.5" x14ac:dyDescent="0.3">
      <c r="A3" s="2">
        <v>43133</v>
      </c>
      <c r="B3" s="55">
        <f t="shared" ref="B3:B29" si="0">C3+D3+E3</f>
        <v>55</v>
      </c>
      <c r="C3" s="27">
        <v>21</v>
      </c>
      <c r="D3" s="27">
        <v>20</v>
      </c>
      <c r="E3" s="27">
        <v>14</v>
      </c>
      <c r="F3" s="13">
        <f t="shared" ref="F3:F29" si="1">G3+H3+I3</f>
        <v>12</v>
      </c>
      <c r="G3" s="27">
        <v>5</v>
      </c>
      <c r="H3" s="27">
        <v>7</v>
      </c>
      <c r="I3" s="27">
        <v>0</v>
      </c>
      <c r="J3" s="29">
        <v>5</v>
      </c>
      <c r="K3" s="30">
        <v>7</v>
      </c>
      <c r="L3" s="31">
        <v>0</v>
      </c>
      <c r="M3" s="32">
        <v>1</v>
      </c>
      <c r="N3" s="33"/>
      <c r="O3" s="34">
        <f t="shared" ref="O3:O29" si="2">B3+F3+J3+K3+L3+M3</f>
        <v>80</v>
      </c>
    </row>
    <row r="4" spans="1:15" ht="16.5" x14ac:dyDescent="0.3">
      <c r="A4" s="2">
        <v>43134</v>
      </c>
      <c r="B4" s="55">
        <f t="shared" si="0"/>
        <v>6</v>
      </c>
      <c r="C4" s="27">
        <v>6</v>
      </c>
      <c r="D4" s="27">
        <v>0</v>
      </c>
      <c r="E4" s="27">
        <v>0</v>
      </c>
      <c r="F4" s="13">
        <f t="shared" si="1"/>
        <v>0</v>
      </c>
      <c r="G4" s="27">
        <v>0</v>
      </c>
      <c r="H4" s="27">
        <v>0</v>
      </c>
      <c r="I4" s="27">
        <v>0</v>
      </c>
      <c r="J4" s="29">
        <v>0</v>
      </c>
      <c r="K4" s="30">
        <v>0</v>
      </c>
      <c r="L4" s="31">
        <v>0</v>
      </c>
      <c r="M4" s="32">
        <v>0</v>
      </c>
      <c r="N4" s="33"/>
      <c r="O4" s="34">
        <f t="shared" si="2"/>
        <v>6</v>
      </c>
    </row>
    <row r="5" spans="1:15" ht="16.5" x14ac:dyDescent="0.3">
      <c r="A5" s="2">
        <v>43135</v>
      </c>
      <c r="B5" s="55">
        <f t="shared" si="0"/>
        <v>0</v>
      </c>
      <c r="C5" s="27">
        <v>0</v>
      </c>
      <c r="D5" s="27">
        <v>0</v>
      </c>
      <c r="E5" s="27">
        <v>0</v>
      </c>
      <c r="F5" s="13">
        <f t="shared" si="1"/>
        <v>0</v>
      </c>
      <c r="G5" s="27">
        <v>0</v>
      </c>
      <c r="H5" s="27">
        <v>0</v>
      </c>
      <c r="I5" s="27">
        <v>0</v>
      </c>
      <c r="J5" s="29">
        <v>0</v>
      </c>
      <c r="K5" s="30">
        <v>0</v>
      </c>
      <c r="L5" s="31">
        <v>0</v>
      </c>
      <c r="M5" s="32">
        <v>0</v>
      </c>
      <c r="N5" s="33"/>
      <c r="O5" s="34">
        <f t="shared" si="2"/>
        <v>0</v>
      </c>
    </row>
    <row r="6" spans="1:15" ht="16.5" x14ac:dyDescent="0.3">
      <c r="A6" s="2">
        <v>43136</v>
      </c>
      <c r="B6" s="55">
        <f t="shared" si="0"/>
        <v>53</v>
      </c>
      <c r="C6" s="27">
        <v>27</v>
      </c>
      <c r="D6" s="27">
        <v>17</v>
      </c>
      <c r="E6" s="27">
        <v>9</v>
      </c>
      <c r="F6" s="13">
        <f t="shared" si="1"/>
        <v>12</v>
      </c>
      <c r="G6" s="27">
        <v>6</v>
      </c>
      <c r="H6" s="27">
        <v>5</v>
      </c>
      <c r="I6" s="27">
        <v>1</v>
      </c>
      <c r="J6" s="29">
        <v>8</v>
      </c>
      <c r="K6" s="30">
        <v>5</v>
      </c>
      <c r="L6" s="31">
        <v>0</v>
      </c>
      <c r="M6" s="32">
        <v>1</v>
      </c>
      <c r="N6" s="33"/>
      <c r="O6" s="34">
        <f t="shared" si="2"/>
        <v>79</v>
      </c>
    </row>
    <row r="7" spans="1:15" ht="16.5" x14ac:dyDescent="0.3">
      <c r="A7" s="2">
        <v>43137</v>
      </c>
      <c r="B7" s="55">
        <f t="shared" si="0"/>
        <v>45</v>
      </c>
      <c r="C7" s="27">
        <v>19</v>
      </c>
      <c r="D7" s="27">
        <v>13</v>
      </c>
      <c r="E7" s="27">
        <v>13</v>
      </c>
      <c r="F7" s="13">
        <f t="shared" si="1"/>
        <v>12</v>
      </c>
      <c r="G7" s="27">
        <v>5</v>
      </c>
      <c r="H7" s="27">
        <v>6</v>
      </c>
      <c r="I7" s="27">
        <v>1</v>
      </c>
      <c r="J7" s="29">
        <v>9</v>
      </c>
      <c r="K7" s="30">
        <v>6</v>
      </c>
      <c r="L7" s="31">
        <v>1</v>
      </c>
      <c r="M7" s="32">
        <v>0</v>
      </c>
      <c r="N7" s="33"/>
      <c r="O7" s="34">
        <f t="shared" si="2"/>
        <v>73</v>
      </c>
    </row>
    <row r="8" spans="1:15" ht="16.5" x14ac:dyDescent="0.3">
      <c r="A8" s="2">
        <v>43138</v>
      </c>
      <c r="B8" s="55">
        <f t="shared" si="0"/>
        <v>47</v>
      </c>
      <c r="C8" s="27">
        <v>16</v>
      </c>
      <c r="D8" s="27">
        <v>19</v>
      </c>
      <c r="E8" s="27">
        <v>12</v>
      </c>
      <c r="F8" s="13">
        <f t="shared" si="1"/>
        <v>7</v>
      </c>
      <c r="G8" s="27">
        <v>2</v>
      </c>
      <c r="H8" s="27">
        <v>5</v>
      </c>
      <c r="I8" s="27">
        <v>0</v>
      </c>
      <c r="J8" s="29">
        <v>6</v>
      </c>
      <c r="K8" s="30">
        <v>3</v>
      </c>
      <c r="L8" s="31">
        <v>0</v>
      </c>
      <c r="M8" s="32">
        <v>2</v>
      </c>
      <c r="N8" s="33"/>
      <c r="O8" s="34">
        <f t="shared" si="2"/>
        <v>65</v>
      </c>
    </row>
    <row r="9" spans="1:15" ht="16.5" x14ac:dyDescent="0.3">
      <c r="A9" s="2">
        <v>43139</v>
      </c>
      <c r="B9" s="55">
        <f t="shared" si="0"/>
        <v>36</v>
      </c>
      <c r="C9" s="27">
        <v>14</v>
      </c>
      <c r="D9" s="27">
        <v>11</v>
      </c>
      <c r="E9" s="27">
        <v>11</v>
      </c>
      <c r="F9" s="13">
        <f t="shared" si="1"/>
        <v>8</v>
      </c>
      <c r="G9" s="27">
        <v>5</v>
      </c>
      <c r="H9" s="27">
        <v>3</v>
      </c>
      <c r="I9" s="27">
        <v>0</v>
      </c>
      <c r="J9" s="29">
        <v>8</v>
      </c>
      <c r="K9" s="30">
        <v>0</v>
      </c>
      <c r="L9" s="31">
        <v>0</v>
      </c>
      <c r="M9" s="32">
        <v>0</v>
      </c>
      <c r="N9" s="33"/>
      <c r="O9" s="34">
        <f t="shared" si="2"/>
        <v>52</v>
      </c>
    </row>
    <row r="10" spans="1:15" ht="16.5" x14ac:dyDescent="0.3">
      <c r="A10" s="2">
        <v>43140</v>
      </c>
      <c r="B10" s="55">
        <f t="shared" si="0"/>
        <v>41</v>
      </c>
      <c r="C10" s="27">
        <v>13</v>
      </c>
      <c r="D10" s="27">
        <v>15</v>
      </c>
      <c r="E10" s="27">
        <v>13</v>
      </c>
      <c r="F10" s="13">
        <f t="shared" si="1"/>
        <v>6</v>
      </c>
      <c r="G10" s="27">
        <v>4</v>
      </c>
      <c r="H10" s="27">
        <v>2</v>
      </c>
      <c r="I10" s="27">
        <v>0</v>
      </c>
      <c r="J10" s="29">
        <v>8</v>
      </c>
      <c r="K10" s="30">
        <v>6</v>
      </c>
      <c r="L10" s="31">
        <v>1</v>
      </c>
      <c r="M10" s="32">
        <v>2</v>
      </c>
      <c r="N10" s="33"/>
      <c r="O10" s="34">
        <f t="shared" si="2"/>
        <v>64</v>
      </c>
    </row>
    <row r="11" spans="1:15" ht="16.5" x14ac:dyDescent="0.3">
      <c r="A11" s="2">
        <v>43141</v>
      </c>
      <c r="B11" s="55">
        <f t="shared" si="0"/>
        <v>8</v>
      </c>
      <c r="C11" s="27">
        <v>7</v>
      </c>
      <c r="D11" s="27">
        <v>1</v>
      </c>
      <c r="E11" s="27">
        <v>0</v>
      </c>
      <c r="F11" s="13">
        <f t="shared" si="1"/>
        <v>1</v>
      </c>
      <c r="G11" s="27">
        <v>1</v>
      </c>
      <c r="H11" s="27">
        <v>0</v>
      </c>
      <c r="I11" s="27">
        <v>0</v>
      </c>
      <c r="J11" s="29">
        <v>0</v>
      </c>
      <c r="K11" s="30">
        <v>0</v>
      </c>
      <c r="L11" s="31">
        <v>0</v>
      </c>
      <c r="M11" s="32">
        <v>0</v>
      </c>
      <c r="N11" s="33"/>
      <c r="O11" s="34">
        <f t="shared" si="2"/>
        <v>9</v>
      </c>
    </row>
    <row r="12" spans="1:15" ht="16.5" x14ac:dyDescent="0.3">
      <c r="A12" s="2">
        <v>43142</v>
      </c>
      <c r="B12" s="55">
        <f t="shared" si="0"/>
        <v>0</v>
      </c>
      <c r="C12" s="27">
        <v>0</v>
      </c>
      <c r="D12" s="27">
        <v>0</v>
      </c>
      <c r="E12" s="27">
        <v>0</v>
      </c>
      <c r="F12" s="13">
        <f t="shared" si="1"/>
        <v>0</v>
      </c>
      <c r="G12" s="27">
        <v>0</v>
      </c>
      <c r="H12" s="27">
        <v>0</v>
      </c>
      <c r="I12" s="27">
        <v>0</v>
      </c>
      <c r="J12" s="29">
        <v>0</v>
      </c>
      <c r="K12" s="30">
        <v>0</v>
      </c>
      <c r="L12" s="31">
        <v>0</v>
      </c>
      <c r="M12" s="32">
        <v>0</v>
      </c>
      <c r="N12" s="33"/>
      <c r="O12" s="34">
        <f t="shared" si="2"/>
        <v>0</v>
      </c>
    </row>
    <row r="13" spans="1:15" ht="16.5" x14ac:dyDescent="0.3">
      <c r="A13" s="2">
        <v>43143</v>
      </c>
      <c r="B13" s="55">
        <f t="shared" si="0"/>
        <v>57</v>
      </c>
      <c r="C13" s="27">
        <v>23</v>
      </c>
      <c r="D13" s="27">
        <v>19</v>
      </c>
      <c r="E13" s="27">
        <v>15</v>
      </c>
      <c r="F13" s="13">
        <f t="shared" si="1"/>
        <v>9</v>
      </c>
      <c r="G13" s="27">
        <v>6</v>
      </c>
      <c r="H13" s="27">
        <v>2</v>
      </c>
      <c r="I13" s="27">
        <v>1</v>
      </c>
      <c r="J13" s="29">
        <v>3</v>
      </c>
      <c r="K13" s="30">
        <v>7</v>
      </c>
      <c r="L13" s="31">
        <v>0</v>
      </c>
      <c r="M13" s="32">
        <v>1</v>
      </c>
      <c r="N13" s="33"/>
      <c r="O13" s="34">
        <f t="shared" si="2"/>
        <v>77</v>
      </c>
    </row>
    <row r="14" spans="1:15" ht="16.5" x14ac:dyDescent="0.3">
      <c r="A14" s="2">
        <v>43144</v>
      </c>
      <c r="B14" s="55">
        <f t="shared" si="0"/>
        <v>49</v>
      </c>
      <c r="C14" s="27">
        <v>20</v>
      </c>
      <c r="D14" s="27">
        <v>18</v>
      </c>
      <c r="E14" s="27">
        <v>11</v>
      </c>
      <c r="F14" s="13">
        <f t="shared" si="1"/>
        <v>12</v>
      </c>
      <c r="G14" s="27">
        <v>6</v>
      </c>
      <c r="H14" s="27">
        <v>6</v>
      </c>
      <c r="I14" s="27">
        <v>0</v>
      </c>
      <c r="J14" s="29">
        <v>12</v>
      </c>
      <c r="K14" s="30">
        <v>3</v>
      </c>
      <c r="L14" s="31">
        <v>0</v>
      </c>
      <c r="M14" s="32">
        <v>2</v>
      </c>
      <c r="N14" s="33"/>
      <c r="O14" s="34">
        <f t="shared" si="2"/>
        <v>78</v>
      </c>
    </row>
    <row r="15" spans="1:15" ht="16.5" x14ac:dyDescent="0.3">
      <c r="A15" s="2">
        <v>43145</v>
      </c>
      <c r="B15" s="55">
        <f t="shared" si="0"/>
        <v>55</v>
      </c>
      <c r="C15" s="27">
        <v>23</v>
      </c>
      <c r="D15" s="27">
        <v>17</v>
      </c>
      <c r="E15" s="27">
        <v>15</v>
      </c>
      <c r="F15" s="13">
        <f t="shared" si="1"/>
        <v>7</v>
      </c>
      <c r="G15" s="27">
        <v>5</v>
      </c>
      <c r="H15" s="27">
        <v>2</v>
      </c>
      <c r="I15" s="27">
        <v>0</v>
      </c>
      <c r="J15" s="29">
        <v>11</v>
      </c>
      <c r="K15" s="30">
        <v>3</v>
      </c>
      <c r="L15" s="31">
        <v>0</v>
      </c>
      <c r="M15" s="32">
        <v>0</v>
      </c>
      <c r="N15" s="33"/>
      <c r="O15" s="34">
        <f t="shared" si="2"/>
        <v>76</v>
      </c>
    </row>
    <row r="16" spans="1:15" ht="16.5" x14ac:dyDescent="0.3">
      <c r="A16" s="2">
        <v>43146</v>
      </c>
      <c r="B16" s="55">
        <f t="shared" si="0"/>
        <v>52</v>
      </c>
      <c r="C16" s="27">
        <v>17</v>
      </c>
      <c r="D16" s="27">
        <v>18</v>
      </c>
      <c r="E16" s="27">
        <v>17</v>
      </c>
      <c r="F16" s="13">
        <f t="shared" si="1"/>
        <v>5</v>
      </c>
      <c r="G16" s="27">
        <v>3</v>
      </c>
      <c r="H16" s="27">
        <v>2</v>
      </c>
      <c r="I16" s="27">
        <v>0</v>
      </c>
      <c r="J16" s="29">
        <v>6</v>
      </c>
      <c r="K16" s="30">
        <v>5</v>
      </c>
      <c r="L16" s="31">
        <v>0</v>
      </c>
      <c r="M16" s="32">
        <v>0</v>
      </c>
      <c r="N16" s="33"/>
      <c r="O16" s="34">
        <f t="shared" si="2"/>
        <v>68</v>
      </c>
    </row>
    <row r="17" spans="1:15" ht="16.5" x14ac:dyDescent="0.3">
      <c r="A17" s="2">
        <v>43147</v>
      </c>
      <c r="B17" s="55">
        <f t="shared" si="0"/>
        <v>62</v>
      </c>
      <c r="C17" s="27">
        <v>23</v>
      </c>
      <c r="D17" s="27">
        <v>26</v>
      </c>
      <c r="E17" s="27">
        <v>13</v>
      </c>
      <c r="F17" s="13">
        <f t="shared" si="1"/>
        <v>4</v>
      </c>
      <c r="G17" s="27">
        <v>3</v>
      </c>
      <c r="H17" s="27">
        <v>1</v>
      </c>
      <c r="I17" s="27">
        <v>0</v>
      </c>
      <c r="J17" s="29">
        <v>5</v>
      </c>
      <c r="K17" s="30">
        <v>8</v>
      </c>
      <c r="L17" s="31">
        <v>0</v>
      </c>
      <c r="M17" s="32">
        <v>1</v>
      </c>
      <c r="N17" s="33"/>
      <c r="O17" s="34">
        <f t="shared" si="2"/>
        <v>80</v>
      </c>
    </row>
    <row r="18" spans="1:15" ht="16.5" x14ac:dyDescent="0.3">
      <c r="A18" s="2">
        <v>43148</v>
      </c>
      <c r="B18" s="55">
        <f t="shared" si="0"/>
        <v>5</v>
      </c>
      <c r="C18" s="27">
        <v>3</v>
      </c>
      <c r="D18" s="27">
        <v>2</v>
      </c>
      <c r="E18" s="27">
        <v>0</v>
      </c>
      <c r="F18" s="13">
        <f t="shared" si="1"/>
        <v>0</v>
      </c>
      <c r="G18" s="27">
        <v>0</v>
      </c>
      <c r="H18" s="27">
        <v>0</v>
      </c>
      <c r="I18" s="27">
        <v>0</v>
      </c>
      <c r="J18" s="29">
        <v>0</v>
      </c>
      <c r="K18" s="30">
        <v>0</v>
      </c>
      <c r="L18" s="31">
        <v>0</v>
      </c>
      <c r="M18" s="32">
        <v>1</v>
      </c>
      <c r="N18" s="33"/>
      <c r="O18" s="34">
        <f t="shared" si="2"/>
        <v>6</v>
      </c>
    </row>
    <row r="19" spans="1:15" ht="16.5" x14ac:dyDescent="0.3">
      <c r="A19" s="2">
        <v>43149</v>
      </c>
      <c r="B19" s="55">
        <f t="shared" si="0"/>
        <v>0</v>
      </c>
      <c r="C19" s="27">
        <v>0</v>
      </c>
      <c r="D19" s="27">
        <v>0</v>
      </c>
      <c r="E19" s="27">
        <v>0</v>
      </c>
      <c r="F19" s="13">
        <f t="shared" si="1"/>
        <v>0</v>
      </c>
      <c r="G19" s="27">
        <v>0</v>
      </c>
      <c r="H19" s="27">
        <v>0</v>
      </c>
      <c r="I19" s="27">
        <v>0</v>
      </c>
      <c r="J19" s="29">
        <v>0</v>
      </c>
      <c r="K19" s="30">
        <v>0</v>
      </c>
      <c r="L19" s="31">
        <v>0</v>
      </c>
      <c r="M19" s="32">
        <v>0</v>
      </c>
      <c r="N19" s="33"/>
      <c r="O19" s="34">
        <f t="shared" si="2"/>
        <v>0</v>
      </c>
    </row>
    <row r="20" spans="1:15" ht="16.5" x14ac:dyDescent="0.3">
      <c r="A20" s="2">
        <v>43150</v>
      </c>
      <c r="B20" s="55">
        <f t="shared" si="0"/>
        <v>52</v>
      </c>
      <c r="C20" s="27">
        <v>25</v>
      </c>
      <c r="D20" s="27">
        <v>18</v>
      </c>
      <c r="E20" s="27">
        <v>9</v>
      </c>
      <c r="F20" s="13">
        <f t="shared" si="1"/>
        <v>8</v>
      </c>
      <c r="G20" s="27">
        <v>4</v>
      </c>
      <c r="H20" s="27">
        <v>4</v>
      </c>
      <c r="I20" s="27">
        <v>0</v>
      </c>
      <c r="J20" s="29">
        <v>6</v>
      </c>
      <c r="K20" s="30">
        <v>5</v>
      </c>
      <c r="L20" s="31">
        <v>0</v>
      </c>
      <c r="M20" s="32">
        <v>2</v>
      </c>
      <c r="N20" s="33"/>
      <c r="O20" s="34">
        <f t="shared" si="2"/>
        <v>73</v>
      </c>
    </row>
    <row r="21" spans="1:15" ht="16.5" x14ac:dyDescent="0.3">
      <c r="A21" s="2">
        <v>43151</v>
      </c>
      <c r="B21" s="55">
        <f t="shared" si="0"/>
        <v>44</v>
      </c>
      <c r="C21" s="27">
        <v>17</v>
      </c>
      <c r="D21" s="27">
        <v>17</v>
      </c>
      <c r="E21" s="27">
        <v>10</v>
      </c>
      <c r="F21" s="13">
        <f t="shared" si="1"/>
        <v>7</v>
      </c>
      <c r="G21" s="27">
        <v>3</v>
      </c>
      <c r="H21" s="27">
        <v>4</v>
      </c>
      <c r="I21" s="27">
        <v>0</v>
      </c>
      <c r="J21" s="29">
        <v>10</v>
      </c>
      <c r="K21" s="30">
        <v>3</v>
      </c>
      <c r="L21" s="31">
        <v>0</v>
      </c>
      <c r="M21" s="32">
        <v>0</v>
      </c>
      <c r="N21" s="33"/>
      <c r="O21" s="34">
        <f t="shared" si="2"/>
        <v>64</v>
      </c>
    </row>
    <row r="22" spans="1:15" ht="16.5" x14ac:dyDescent="0.3">
      <c r="A22" s="2">
        <v>43152</v>
      </c>
      <c r="B22" s="55">
        <f t="shared" si="0"/>
        <v>55</v>
      </c>
      <c r="C22" s="27">
        <v>21</v>
      </c>
      <c r="D22" s="27">
        <v>23</v>
      </c>
      <c r="E22" s="27">
        <v>11</v>
      </c>
      <c r="F22" s="13">
        <f t="shared" si="1"/>
        <v>9</v>
      </c>
      <c r="G22" s="27">
        <v>5</v>
      </c>
      <c r="H22" s="27">
        <v>4</v>
      </c>
      <c r="I22" s="27">
        <v>0</v>
      </c>
      <c r="J22" s="29">
        <v>10</v>
      </c>
      <c r="K22" s="30">
        <v>2</v>
      </c>
      <c r="L22" s="31">
        <v>1</v>
      </c>
      <c r="M22" s="32">
        <v>2</v>
      </c>
      <c r="N22" s="33"/>
      <c r="O22" s="34">
        <f t="shared" si="2"/>
        <v>79</v>
      </c>
    </row>
    <row r="23" spans="1:15" ht="16.5" x14ac:dyDescent="0.3">
      <c r="A23" s="2">
        <v>43153</v>
      </c>
      <c r="B23" s="55">
        <f t="shared" si="0"/>
        <v>36</v>
      </c>
      <c r="C23" s="27">
        <v>14</v>
      </c>
      <c r="D23" s="27">
        <v>12</v>
      </c>
      <c r="E23" s="27">
        <v>10</v>
      </c>
      <c r="F23" s="13">
        <f t="shared" si="1"/>
        <v>9</v>
      </c>
      <c r="G23" s="27">
        <v>4</v>
      </c>
      <c r="H23" s="27">
        <v>5</v>
      </c>
      <c r="I23" s="27">
        <v>0</v>
      </c>
      <c r="J23" s="29">
        <v>9</v>
      </c>
      <c r="K23" s="30">
        <v>1</v>
      </c>
      <c r="L23" s="31">
        <v>1</v>
      </c>
      <c r="M23" s="32">
        <v>2</v>
      </c>
      <c r="N23" s="33"/>
      <c r="O23" s="34">
        <f t="shared" si="2"/>
        <v>58</v>
      </c>
    </row>
    <row r="24" spans="1:15" ht="16.5" x14ac:dyDescent="0.3">
      <c r="A24" s="2">
        <v>43154</v>
      </c>
      <c r="B24" s="55">
        <f t="shared" si="0"/>
        <v>44</v>
      </c>
      <c r="C24" s="27">
        <v>21</v>
      </c>
      <c r="D24" s="27">
        <v>11</v>
      </c>
      <c r="E24" s="27">
        <v>12</v>
      </c>
      <c r="F24" s="13">
        <f t="shared" si="1"/>
        <v>7</v>
      </c>
      <c r="G24" s="27">
        <v>4</v>
      </c>
      <c r="H24" s="27">
        <v>1</v>
      </c>
      <c r="I24" s="27">
        <v>2</v>
      </c>
      <c r="J24" s="29">
        <v>11</v>
      </c>
      <c r="K24" s="30">
        <v>2</v>
      </c>
      <c r="L24" s="31">
        <v>2</v>
      </c>
      <c r="M24" s="32">
        <v>2</v>
      </c>
      <c r="N24" s="33"/>
      <c r="O24" s="34">
        <f t="shared" si="2"/>
        <v>68</v>
      </c>
    </row>
    <row r="25" spans="1:15" ht="16.5" x14ac:dyDescent="0.3">
      <c r="A25" s="2">
        <v>43155</v>
      </c>
      <c r="B25" s="55">
        <f t="shared" si="0"/>
        <v>3</v>
      </c>
      <c r="C25" s="27">
        <v>2</v>
      </c>
      <c r="D25" s="27">
        <v>1</v>
      </c>
      <c r="E25" s="27">
        <v>0</v>
      </c>
      <c r="F25" s="13">
        <f t="shared" si="1"/>
        <v>3</v>
      </c>
      <c r="G25" s="27">
        <v>2</v>
      </c>
      <c r="H25" s="27">
        <v>1</v>
      </c>
      <c r="I25" s="27">
        <v>0</v>
      </c>
      <c r="J25" s="29">
        <v>3</v>
      </c>
      <c r="K25" s="30">
        <v>0</v>
      </c>
      <c r="L25" s="31">
        <v>0</v>
      </c>
      <c r="M25" s="32">
        <v>0</v>
      </c>
      <c r="N25" s="33"/>
      <c r="O25" s="34">
        <f t="shared" si="2"/>
        <v>9</v>
      </c>
    </row>
    <row r="26" spans="1:15" ht="16.5" x14ac:dyDescent="0.3">
      <c r="A26" s="2">
        <v>43156</v>
      </c>
      <c r="B26" s="55">
        <f t="shared" si="0"/>
        <v>0</v>
      </c>
      <c r="C26" s="27">
        <v>0</v>
      </c>
      <c r="D26" s="27">
        <v>0</v>
      </c>
      <c r="E26" s="27">
        <v>0</v>
      </c>
      <c r="F26" s="13">
        <f t="shared" si="1"/>
        <v>0</v>
      </c>
      <c r="G26" s="27">
        <v>0</v>
      </c>
      <c r="H26" s="27">
        <v>0</v>
      </c>
      <c r="I26" s="27">
        <v>0</v>
      </c>
      <c r="J26" s="29">
        <v>0</v>
      </c>
      <c r="K26" s="30">
        <v>0</v>
      </c>
      <c r="L26" s="31">
        <v>0</v>
      </c>
      <c r="M26" s="32">
        <v>0</v>
      </c>
      <c r="N26" s="33"/>
      <c r="O26" s="34">
        <f t="shared" si="2"/>
        <v>0</v>
      </c>
    </row>
    <row r="27" spans="1:15" ht="16.5" x14ac:dyDescent="0.3">
      <c r="A27" s="2">
        <v>43157</v>
      </c>
      <c r="B27" s="55">
        <f t="shared" si="0"/>
        <v>58</v>
      </c>
      <c r="C27" s="27">
        <v>23</v>
      </c>
      <c r="D27" s="27">
        <v>20</v>
      </c>
      <c r="E27" s="27">
        <v>15</v>
      </c>
      <c r="F27" s="13">
        <f t="shared" si="1"/>
        <v>4</v>
      </c>
      <c r="G27" s="27">
        <v>3</v>
      </c>
      <c r="H27" s="27">
        <v>1</v>
      </c>
      <c r="I27" s="27">
        <v>0</v>
      </c>
      <c r="J27" s="29">
        <v>6</v>
      </c>
      <c r="K27" s="30">
        <v>6</v>
      </c>
      <c r="L27" s="31">
        <v>1</v>
      </c>
      <c r="M27" s="32">
        <v>3</v>
      </c>
      <c r="N27" s="33"/>
      <c r="O27" s="34">
        <f t="shared" si="2"/>
        <v>78</v>
      </c>
    </row>
    <row r="28" spans="1:15" ht="16.5" x14ac:dyDescent="0.3">
      <c r="A28" s="2">
        <v>43158</v>
      </c>
      <c r="B28" s="55">
        <f t="shared" si="0"/>
        <v>45</v>
      </c>
      <c r="C28" s="27">
        <v>17</v>
      </c>
      <c r="D28" s="27">
        <v>15</v>
      </c>
      <c r="E28" s="27">
        <v>13</v>
      </c>
      <c r="F28" s="13">
        <f t="shared" si="1"/>
        <v>7</v>
      </c>
      <c r="G28" s="27">
        <v>6</v>
      </c>
      <c r="H28" s="27">
        <v>1</v>
      </c>
      <c r="I28" s="27">
        <v>0</v>
      </c>
      <c r="J28" s="29">
        <v>16</v>
      </c>
      <c r="K28" s="30">
        <v>6</v>
      </c>
      <c r="L28" s="31">
        <v>0</v>
      </c>
      <c r="M28" s="32">
        <v>2</v>
      </c>
      <c r="N28" s="33"/>
      <c r="O28" s="34">
        <f t="shared" si="2"/>
        <v>76</v>
      </c>
    </row>
    <row r="29" spans="1:15" ht="17.25" thickBot="1" x14ac:dyDescent="0.35">
      <c r="A29" s="2">
        <v>43159</v>
      </c>
      <c r="B29" s="55">
        <f t="shared" si="0"/>
        <v>41</v>
      </c>
      <c r="C29" s="27">
        <v>16</v>
      </c>
      <c r="D29" s="27">
        <v>16</v>
      </c>
      <c r="E29" s="27">
        <v>9</v>
      </c>
      <c r="F29" s="13">
        <f t="shared" si="1"/>
        <v>12</v>
      </c>
      <c r="G29" s="27">
        <v>8</v>
      </c>
      <c r="H29" s="27">
        <v>4</v>
      </c>
      <c r="I29" s="27">
        <v>0</v>
      </c>
      <c r="J29" s="29">
        <v>11</v>
      </c>
      <c r="K29" s="30">
        <v>5</v>
      </c>
      <c r="L29" s="31">
        <v>1</v>
      </c>
      <c r="M29" s="32">
        <v>1</v>
      </c>
      <c r="N29" s="33"/>
      <c r="O29" s="34">
        <f t="shared" si="2"/>
        <v>71</v>
      </c>
    </row>
    <row r="30" spans="1:15" ht="17.25" thickBot="1" x14ac:dyDescent="0.35">
      <c r="A30" s="26" t="s">
        <v>10</v>
      </c>
      <c r="B30" s="57">
        <f t="shared" ref="B30:M30" si="3">SUM(B2:B29)</f>
        <v>999</v>
      </c>
      <c r="C30" s="17">
        <f t="shared" si="3"/>
        <v>406</v>
      </c>
      <c r="D30" s="17">
        <f t="shared" si="3"/>
        <v>346</v>
      </c>
      <c r="E30" s="17">
        <f t="shared" si="3"/>
        <v>247</v>
      </c>
      <c r="F30" s="18">
        <f t="shared" si="3"/>
        <v>173</v>
      </c>
      <c r="G30" s="18">
        <f t="shared" si="3"/>
        <v>97</v>
      </c>
      <c r="H30" s="18">
        <f t="shared" si="3"/>
        <v>71</v>
      </c>
      <c r="I30" s="18">
        <f t="shared" si="3"/>
        <v>5</v>
      </c>
      <c r="J30" s="11">
        <f t="shared" si="3"/>
        <v>175</v>
      </c>
      <c r="K30" s="11">
        <f t="shared" si="3"/>
        <v>86</v>
      </c>
      <c r="L30" s="11">
        <f t="shared" si="3"/>
        <v>9</v>
      </c>
      <c r="M30" s="11">
        <f t="shared" si="3"/>
        <v>25</v>
      </c>
      <c r="N30" s="33"/>
      <c r="O30" s="40">
        <f>SUM(O2:O29)</f>
        <v>1467</v>
      </c>
    </row>
  </sheetData>
  <conditionalFormatting sqref="B2:B29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{3022309F-1D32-4736-83EB-6BA6EDE8451D}</x14:id>
        </ext>
      </extLst>
    </cfRule>
  </conditionalFormatting>
  <conditionalFormatting sqref="B2:B3 B6:B10 B13:B17 B20:B24 B27:B29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022309F-1D32-4736-83EB-6BA6EDE8451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B2:B29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7030A0"/>
  </sheetPr>
  <dimension ref="A1:O33"/>
  <sheetViews>
    <sheetView showGridLines="0" showRowColHeaders="0" zoomScaleNormal="100" workbookViewId="0">
      <pane ySplit="1" topLeftCell="A2" activePane="bottomLeft" state="frozen"/>
      <selection pane="bottomLeft" activeCell="H36" sqref="H36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43160</v>
      </c>
      <c r="B2" s="55">
        <f>C2+D2+E2</f>
        <v>41</v>
      </c>
      <c r="C2" s="27">
        <v>20</v>
      </c>
      <c r="D2" s="27">
        <v>12</v>
      </c>
      <c r="E2" s="27">
        <v>9</v>
      </c>
      <c r="F2" s="13">
        <f>G2+H2+I2</f>
        <v>10</v>
      </c>
      <c r="G2" s="27">
        <v>7</v>
      </c>
      <c r="H2" s="27">
        <v>3</v>
      </c>
      <c r="I2" s="27">
        <v>0</v>
      </c>
      <c r="J2" s="29">
        <v>4</v>
      </c>
      <c r="K2" s="30">
        <v>0</v>
      </c>
      <c r="L2" s="31">
        <v>0</v>
      </c>
      <c r="M2" s="32">
        <v>1</v>
      </c>
      <c r="N2" s="33"/>
      <c r="O2" s="34">
        <f>B2+F2+J2+K2+L2+M2</f>
        <v>56</v>
      </c>
    </row>
    <row r="3" spans="1:15" ht="16.5" x14ac:dyDescent="0.3">
      <c r="A3" s="2">
        <v>43161</v>
      </c>
      <c r="B3" s="55">
        <f t="shared" ref="B3:B32" si="0">C3+D3+E3</f>
        <v>45</v>
      </c>
      <c r="C3" s="27">
        <v>23</v>
      </c>
      <c r="D3" s="27">
        <v>13</v>
      </c>
      <c r="E3" s="27">
        <v>9</v>
      </c>
      <c r="F3" s="13">
        <f t="shared" ref="F3:F32" si="1">G3+H3+I3</f>
        <v>10</v>
      </c>
      <c r="G3" s="27">
        <v>5</v>
      </c>
      <c r="H3" s="27">
        <v>5</v>
      </c>
      <c r="I3" s="27">
        <v>0</v>
      </c>
      <c r="J3" s="29">
        <v>8</v>
      </c>
      <c r="K3" s="30">
        <v>2</v>
      </c>
      <c r="L3" s="31">
        <v>2</v>
      </c>
      <c r="M3" s="32">
        <v>1</v>
      </c>
      <c r="N3" s="33"/>
      <c r="O3" s="34">
        <f t="shared" ref="O3:O32" si="2">B3+F3+J3+K3+L3+M3</f>
        <v>68</v>
      </c>
    </row>
    <row r="4" spans="1:15" ht="16.5" x14ac:dyDescent="0.3">
      <c r="A4" s="2">
        <v>43162</v>
      </c>
      <c r="B4" s="55">
        <f t="shared" si="0"/>
        <v>5</v>
      </c>
      <c r="C4" s="27">
        <v>3</v>
      </c>
      <c r="D4" s="27">
        <v>2</v>
      </c>
      <c r="E4" s="27">
        <v>0</v>
      </c>
      <c r="F4" s="13">
        <f t="shared" si="1"/>
        <v>2</v>
      </c>
      <c r="G4" s="27">
        <v>2</v>
      </c>
      <c r="H4" s="27">
        <v>0</v>
      </c>
      <c r="I4" s="27">
        <v>0</v>
      </c>
      <c r="J4" s="29">
        <v>1</v>
      </c>
      <c r="K4" s="30">
        <v>0</v>
      </c>
      <c r="L4" s="31">
        <v>0</v>
      </c>
      <c r="M4" s="32">
        <v>0</v>
      </c>
      <c r="N4" s="33"/>
      <c r="O4" s="34">
        <f t="shared" si="2"/>
        <v>8</v>
      </c>
    </row>
    <row r="5" spans="1:15" ht="16.5" x14ac:dyDescent="0.3">
      <c r="A5" s="2">
        <v>43163</v>
      </c>
      <c r="B5" s="55">
        <f t="shared" si="0"/>
        <v>0</v>
      </c>
      <c r="C5" s="27">
        <v>0</v>
      </c>
      <c r="D5" s="27">
        <v>0</v>
      </c>
      <c r="E5" s="27">
        <v>0</v>
      </c>
      <c r="F5" s="13">
        <f t="shared" si="1"/>
        <v>0</v>
      </c>
      <c r="G5" s="27">
        <v>0</v>
      </c>
      <c r="H5" s="27">
        <v>0</v>
      </c>
      <c r="I5" s="27">
        <v>0</v>
      </c>
      <c r="J5" s="29">
        <v>0</v>
      </c>
      <c r="K5" s="30">
        <v>0</v>
      </c>
      <c r="L5" s="31">
        <v>0</v>
      </c>
      <c r="M5" s="32">
        <v>0</v>
      </c>
      <c r="N5" s="33"/>
      <c r="O5" s="34">
        <f t="shared" si="2"/>
        <v>0</v>
      </c>
    </row>
    <row r="6" spans="1:15" ht="16.5" x14ac:dyDescent="0.3">
      <c r="A6" s="2">
        <v>43164</v>
      </c>
      <c r="B6" s="55">
        <f t="shared" si="0"/>
        <v>52</v>
      </c>
      <c r="C6" s="27">
        <v>22</v>
      </c>
      <c r="D6" s="27">
        <v>20</v>
      </c>
      <c r="E6" s="27">
        <v>10</v>
      </c>
      <c r="F6" s="13">
        <f t="shared" si="1"/>
        <v>9</v>
      </c>
      <c r="G6" s="27">
        <v>6</v>
      </c>
      <c r="H6" s="27">
        <v>3</v>
      </c>
      <c r="I6" s="27">
        <v>0</v>
      </c>
      <c r="J6" s="29">
        <v>4</v>
      </c>
      <c r="K6" s="30">
        <v>3</v>
      </c>
      <c r="L6" s="31">
        <v>0</v>
      </c>
      <c r="M6" s="32">
        <v>0</v>
      </c>
      <c r="N6" s="33"/>
      <c r="O6" s="34">
        <f t="shared" si="2"/>
        <v>68</v>
      </c>
    </row>
    <row r="7" spans="1:15" ht="16.5" x14ac:dyDescent="0.3">
      <c r="A7" s="2">
        <v>43165</v>
      </c>
      <c r="B7" s="55">
        <f t="shared" si="0"/>
        <v>56</v>
      </c>
      <c r="C7" s="27">
        <v>24</v>
      </c>
      <c r="D7" s="27">
        <v>19</v>
      </c>
      <c r="E7" s="27">
        <v>13</v>
      </c>
      <c r="F7" s="13">
        <f t="shared" si="1"/>
        <v>7</v>
      </c>
      <c r="G7" s="27">
        <v>4</v>
      </c>
      <c r="H7" s="27">
        <v>3</v>
      </c>
      <c r="I7" s="27">
        <v>0</v>
      </c>
      <c r="J7" s="29">
        <v>10</v>
      </c>
      <c r="K7" s="30">
        <v>3</v>
      </c>
      <c r="L7" s="31">
        <v>3</v>
      </c>
      <c r="M7" s="32">
        <v>2</v>
      </c>
      <c r="N7" s="33"/>
      <c r="O7" s="34">
        <f t="shared" si="2"/>
        <v>81</v>
      </c>
    </row>
    <row r="8" spans="1:15" ht="16.5" x14ac:dyDescent="0.3">
      <c r="A8" s="2">
        <v>43166</v>
      </c>
      <c r="B8" s="55">
        <f t="shared" si="0"/>
        <v>62</v>
      </c>
      <c r="C8" s="27">
        <v>33</v>
      </c>
      <c r="D8" s="27">
        <v>17</v>
      </c>
      <c r="E8" s="27">
        <v>12</v>
      </c>
      <c r="F8" s="13">
        <f t="shared" si="1"/>
        <v>7</v>
      </c>
      <c r="G8" s="27">
        <v>5</v>
      </c>
      <c r="H8" s="27">
        <v>2</v>
      </c>
      <c r="I8" s="27">
        <v>0</v>
      </c>
      <c r="J8" s="29">
        <v>12</v>
      </c>
      <c r="K8" s="30">
        <v>2</v>
      </c>
      <c r="L8" s="31">
        <v>1</v>
      </c>
      <c r="M8" s="32">
        <v>0</v>
      </c>
      <c r="N8" s="33"/>
      <c r="O8" s="34">
        <f t="shared" si="2"/>
        <v>84</v>
      </c>
    </row>
    <row r="9" spans="1:15" ht="16.5" x14ac:dyDescent="0.3">
      <c r="A9" s="2">
        <v>43167</v>
      </c>
      <c r="B9" s="55">
        <f t="shared" si="0"/>
        <v>45</v>
      </c>
      <c r="C9" s="27">
        <v>21</v>
      </c>
      <c r="D9" s="27">
        <v>11</v>
      </c>
      <c r="E9" s="27">
        <v>13</v>
      </c>
      <c r="F9" s="13">
        <f t="shared" si="1"/>
        <v>5</v>
      </c>
      <c r="G9" s="27">
        <v>3</v>
      </c>
      <c r="H9" s="27">
        <v>2</v>
      </c>
      <c r="I9" s="27">
        <v>0</v>
      </c>
      <c r="J9" s="29">
        <v>13</v>
      </c>
      <c r="K9" s="30">
        <v>5</v>
      </c>
      <c r="L9" s="31">
        <v>0</v>
      </c>
      <c r="M9" s="32">
        <v>0</v>
      </c>
      <c r="N9" s="33"/>
      <c r="O9" s="34">
        <f t="shared" si="2"/>
        <v>68</v>
      </c>
    </row>
    <row r="10" spans="1:15" ht="16.5" x14ac:dyDescent="0.3">
      <c r="A10" s="2">
        <v>43168</v>
      </c>
      <c r="B10" s="55">
        <f t="shared" si="0"/>
        <v>49</v>
      </c>
      <c r="C10" s="27">
        <v>21</v>
      </c>
      <c r="D10" s="27">
        <v>15</v>
      </c>
      <c r="E10" s="27">
        <v>13</v>
      </c>
      <c r="F10" s="13">
        <f t="shared" si="1"/>
        <v>7</v>
      </c>
      <c r="G10" s="27">
        <v>3</v>
      </c>
      <c r="H10" s="27">
        <v>4</v>
      </c>
      <c r="I10" s="27">
        <v>0</v>
      </c>
      <c r="J10" s="29">
        <v>5</v>
      </c>
      <c r="K10" s="30">
        <v>4</v>
      </c>
      <c r="L10" s="31">
        <v>0</v>
      </c>
      <c r="M10" s="32">
        <v>2</v>
      </c>
      <c r="N10" s="33"/>
      <c r="O10" s="34">
        <f t="shared" si="2"/>
        <v>67</v>
      </c>
    </row>
    <row r="11" spans="1:15" ht="16.5" x14ac:dyDescent="0.3">
      <c r="A11" s="2">
        <v>43169</v>
      </c>
      <c r="B11" s="55">
        <f t="shared" si="0"/>
        <v>6</v>
      </c>
      <c r="C11" s="27">
        <v>5</v>
      </c>
      <c r="D11" s="27">
        <v>1</v>
      </c>
      <c r="E11" s="27">
        <v>0</v>
      </c>
      <c r="F11" s="13">
        <f t="shared" si="1"/>
        <v>2</v>
      </c>
      <c r="G11" s="27">
        <v>2</v>
      </c>
      <c r="H11" s="27">
        <v>0</v>
      </c>
      <c r="I11" s="27">
        <v>0</v>
      </c>
      <c r="J11" s="29">
        <v>0</v>
      </c>
      <c r="K11" s="30">
        <v>1</v>
      </c>
      <c r="L11" s="31">
        <v>0</v>
      </c>
      <c r="M11" s="32">
        <v>1</v>
      </c>
      <c r="N11" s="33"/>
      <c r="O11" s="34">
        <f t="shared" si="2"/>
        <v>10</v>
      </c>
    </row>
    <row r="12" spans="1:15" ht="16.5" x14ac:dyDescent="0.3">
      <c r="A12" s="2">
        <v>43170</v>
      </c>
      <c r="B12" s="55">
        <f t="shared" si="0"/>
        <v>0</v>
      </c>
      <c r="C12" s="27">
        <v>0</v>
      </c>
      <c r="D12" s="27">
        <v>0</v>
      </c>
      <c r="E12" s="27">
        <v>0</v>
      </c>
      <c r="F12" s="13">
        <f t="shared" si="1"/>
        <v>0</v>
      </c>
      <c r="G12" s="27">
        <v>0</v>
      </c>
      <c r="H12" s="27">
        <v>0</v>
      </c>
      <c r="I12" s="27">
        <v>0</v>
      </c>
      <c r="J12" s="29">
        <v>0</v>
      </c>
      <c r="K12" s="30">
        <v>0</v>
      </c>
      <c r="L12" s="31">
        <v>0</v>
      </c>
      <c r="M12" s="32">
        <v>0</v>
      </c>
      <c r="N12" s="33"/>
      <c r="O12" s="34">
        <f t="shared" si="2"/>
        <v>0</v>
      </c>
    </row>
    <row r="13" spans="1:15" ht="16.5" x14ac:dyDescent="0.3">
      <c r="A13" s="2">
        <v>43171</v>
      </c>
      <c r="B13" s="55">
        <f t="shared" si="0"/>
        <v>47</v>
      </c>
      <c r="C13" s="27">
        <v>23</v>
      </c>
      <c r="D13" s="27">
        <v>10</v>
      </c>
      <c r="E13" s="27">
        <v>14</v>
      </c>
      <c r="F13" s="13">
        <f t="shared" si="1"/>
        <v>12</v>
      </c>
      <c r="G13" s="27">
        <v>7</v>
      </c>
      <c r="H13" s="27">
        <v>5</v>
      </c>
      <c r="I13" s="27">
        <v>0</v>
      </c>
      <c r="J13" s="29">
        <v>15</v>
      </c>
      <c r="K13" s="30">
        <v>5</v>
      </c>
      <c r="L13" s="31">
        <v>2</v>
      </c>
      <c r="M13" s="32">
        <v>2</v>
      </c>
      <c r="N13" s="33"/>
      <c r="O13" s="34">
        <f t="shared" si="2"/>
        <v>83</v>
      </c>
    </row>
    <row r="14" spans="1:15" ht="16.5" x14ac:dyDescent="0.3">
      <c r="A14" s="2">
        <v>43172</v>
      </c>
      <c r="B14" s="55">
        <f t="shared" si="0"/>
        <v>53</v>
      </c>
      <c r="C14" s="27">
        <v>29</v>
      </c>
      <c r="D14" s="27">
        <v>14</v>
      </c>
      <c r="E14" s="27">
        <v>10</v>
      </c>
      <c r="F14" s="13">
        <f t="shared" si="1"/>
        <v>8</v>
      </c>
      <c r="G14" s="27">
        <v>6</v>
      </c>
      <c r="H14" s="27">
        <v>2</v>
      </c>
      <c r="I14" s="27">
        <v>0</v>
      </c>
      <c r="J14" s="29">
        <v>16</v>
      </c>
      <c r="K14" s="30">
        <v>2</v>
      </c>
      <c r="L14" s="31">
        <v>0</v>
      </c>
      <c r="M14" s="32">
        <v>3</v>
      </c>
      <c r="N14" s="33"/>
      <c r="O14" s="34">
        <f t="shared" si="2"/>
        <v>82</v>
      </c>
    </row>
    <row r="15" spans="1:15" ht="16.5" x14ac:dyDescent="0.3">
      <c r="A15" s="2">
        <v>43173</v>
      </c>
      <c r="B15" s="55">
        <f t="shared" si="0"/>
        <v>52</v>
      </c>
      <c r="C15" s="27">
        <v>28</v>
      </c>
      <c r="D15" s="27">
        <v>12</v>
      </c>
      <c r="E15" s="27">
        <v>12</v>
      </c>
      <c r="F15" s="13">
        <f t="shared" si="1"/>
        <v>6</v>
      </c>
      <c r="G15" s="27">
        <v>2</v>
      </c>
      <c r="H15" s="27">
        <v>4</v>
      </c>
      <c r="I15" s="27">
        <v>0</v>
      </c>
      <c r="J15" s="29">
        <v>10</v>
      </c>
      <c r="K15" s="30">
        <v>1</v>
      </c>
      <c r="L15" s="31">
        <v>0</v>
      </c>
      <c r="M15" s="32">
        <v>2</v>
      </c>
      <c r="N15" s="33"/>
      <c r="O15" s="34">
        <f t="shared" si="2"/>
        <v>71</v>
      </c>
    </row>
    <row r="16" spans="1:15" ht="16.5" x14ac:dyDescent="0.3">
      <c r="A16" s="2">
        <v>43174</v>
      </c>
      <c r="B16" s="55">
        <f t="shared" si="0"/>
        <v>53</v>
      </c>
      <c r="C16" s="27">
        <v>26</v>
      </c>
      <c r="D16" s="27">
        <v>13</v>
      </c>
      <c r="E16" s="27">
        <v>14</v>
      </c>
      <c r="F16" s="13">
        <f t="shared" si="1"/>
        <v>5</v>
      </c>
      <c r="G16" s="27">
        <v>4</v>
      </c>
      <c r="H16" s="27">
        <v>1</v>
      </c>
      <c r="I16" s="27">
        <v>0</v>
      </c>
      <c r="J16" s="29">
        <v>11</v>
      </c>
      <c r="K16" s="30">
        <v>3</v>
      </c>
      <c r="L16" s="31">
        <v>0</v>
      </c>
      <c r="M16" s="32">
        <v>1</v>
      </c>
      <c r="N16" s="33"/>
      <c r="O16" s="34">
        <f t="shared" si="2"/>
        <v>73</v>
      </c>
    </row>
    <row r="17" spans="1:15" ht="16.5" x14ac:dyDescent="0.3">
      <c r="A17" s="2">
        <v>43175</v>
      </c>
      <c r="B17" s="55">
        <f t="shared" si="0"/>
        <v>54</v>
      </c>
      <c r="C17" s="27">
        <v>21</v>
      </c>
      <c r="D17" s="27">
        <v>20</v>
      </c>
      <c r="E17" s="27">
        <v>13</v>
      </c>
      <c r="F17" s="13">
        <f t="shared" si="1"/>
        <v>6</v>
      </c>
      <c r="G17" s="27">
        <v>5</v>
      </c>
      <c r="H17" s="27">
        <v>1</v>
      </c>
      <c r="I17" s="27">
        <v>0</v>
      </c>
      <c r="J17" s="29">
        <v>12</v>
      </c>
      <c r="K17" s="30">
        <v>0</v>
      </c>
      <c r="L17" s="31">
        <v>1</v>
      </c>
      <c r="M17" s="32">
        <v>3</v>
      </c>
      <c r="N17" s="33"/>
      <c r="O17" s="34">
        <f t="shared" si="2"/>
        <v>76</v>
      </c>
    </row>
    <row r="18" spans="1:15" ht="16.5" x14ac:dyDescent="0.3">
      <c r="A18" s="2">
        <v>43176</v>
      </c>
      <c r="B18" s="55">
        <f t="shared" si="0"/>
        <v>3</v>
      </c>
      <c r="C18" s="27">
        <v>3</v>
      </c>
      <c r="D18" s="27">
        <v>0</v>
      </c>
      <c r="E18" s="27">
        <v>0</v>
      </c>
      <c r="F18" s="13">
        <f t="shared" si="1"/>
        <v>3</v>
      </c>
      <c r="G18" s="27">
        <v>3</v>
      </c>
      <c r="H18" s="27">
        <v>0</v>
      </c>
      <c r="I18" s="27">
        <v>0</v>
      </c>
      <c r="J18" s="29">
        <v>0</v>
      </c>
      <c r="K18" s="30">
        <v>0</v>
      </c>
      <c r="L18" s="31">
        <v>0</v>
      </c>
      <c r="M18" s="32">
        <v>0</v>
      </c>
      <c r="N18" s="33"/>
      <c r="O18" s="34">
        <f t="shared" si="2"/>
        <v>6</v>
      </c>
    </row>
    <row r="19" spans="1:15" ht="16.5" x14ac:dyDescent="0.3">
      <c r="A19" s="2">
        <v>43177</v>
      </c>
      <c r="B19" s="55">
        <f t="shared" si="0"/>
        <v>0</v>
      </c>
      <c r="C19" s="27">
        <v>0</v>
      </c>
      <c r="D19" s="27">
        <v>0</v>
      </c>
      <c r="E19" s="27">
        <v>0</v>
      </c>
      <c r="F19" s="13">
        <f t="shared" si="1"/>
        <v>0</v>
      </c>
      <c r="G19" s="27">
        <v>0</v>
      </c>
      <c r="H19" s="27">
        <v>0</v>
      </c>
      <c r="I19" s="27">
        <v>0</v>
      </c>
      <c r="J19" s="29">
        <v>0</v>
      </c>
      <c r="K19" s="30">
        <v>0</v>
      </c>
      <c r="L19" s="31">
        <v>0</v>
      </c>
      <c r="M19" s="32">
        <v>0</v>
      </c>
      <c r="N19" s="33"/>
      <c r="O19" s="34">
        <f t="shared" si="2"/>
        <v>0</v>
      </c>
    </row>
    <row r="20" spans="1:15" ht="16.5" x14ac:dyDescent="0.3">
      <c r="A20" s="2">
        <v>43178</v>
      </c>
      <c r="B20" s="55">
        <f t="shared" si="0"/>
        <v>55</v>
      </c>
      <c r="C20" s="27">
        <v>27</v>
      </c>
      <c r="D20" s="27">
        <v>18</v>
      </c>
      <c r="E20" s="27">
        <v>10</v>
      </c>
      <c r="F20" s="13">
        <f t="shared" si="1"/>
        <v>9</v>
      </c>
      <c r="G20" s="27">
        <v>9</v>
      </c>
      <c r="H20" s="27">
        <v>0</v>
      </c>
      <c r="I20" s="27">
        <v>0</v>
      </c>
      <c r="J20" s="29">
        <v>11</v>
      </c>
      <c r="K20" s="30">
        <v>7</v>
      </c>
      <c r="L20" s="31">
        <v>0</v>
      </c>
      <c r="M20" s="32">
        <v>2</v>
      </c>
      <c r="N20" s="33"/>
      <c r="O20" s="34">
        <f t="shared" si="2"/>
        <v>84</v>
      </c>
    </row>
    <row r="21" spans="1:15" ht="16.5" x14ac:dyDescent="0.3">
      <c r="A21" s="2">
        <v>43179</v>
      </c>
      <c r="B21" s="55">
        <f t="shared" si="0"/>
        <v>49</v>
      </c>
      <c r="C21" s="27">
        <v>23</v>
      </c>
      <c r="D21" s="27">
        <v>16</v>
      </c>
      <c r="E21" s="27">
        <v>10</v>
      </c>
      <c r="F21" s="13">
        <f t="shared" si="1"/>
        <v>12</v>
      </c>
      <c r="G21" s="27">
        <v>9</v>
      </c>
      <c r="H21" s="27">
        <v>3</v>
      </c>
      <c r="I21" s="27">
        <v>0</v>
      </c>
      <c r="J21" s="29">
        <v>8</v>
      </c>
      <c r="K21" s="30">
        <v>3</v>
      </c>
      <c r="L21" s="31">
        <v>0</v>
      </c>
      <c r="M21" s="32">
        <v>2</v>
      </c>
      <c r="N21" s="33"/>
      <c r="O21" s="34">
        <f t="shared" si="2"/>
        <v>74</v>
      </c>
    </row>
    <row r="22" spans="1:15" ht="16.5" x14ac:dyDescent="0.3">
      <c r="A22" s="2">
        <v>43180</v>
      </c>
      <c r="B22" s="55">
        <f t="shared" si="0"/>
        <v>58</v>
      </c>
      <c r="C22" s="27">
        <v>30</v>
      </c>
      <c r="D22" s="27">
        <v>17</v>
      </c>
      <c r="E22" s="27">
        <v>11</v>
      </c>
      <c r="F22" s="13">
        <f t="shared" si="1"/>
        <v>7</v>
      </c>
      <c r="G22" s="27">
        <v>3</v>
      </c>
      <c r="H22" s="27">
        <v>4</v>
      </c>
      <c r="I22" s="27">
        <v>0</v>
      </c>
      <c r="J22" s="29">
        <v>8</v>
      </c>
      <c r="K22" s="30">
        <v>6</v>
      </c>
      <c r="L22" s="31">
        <v>1</v>
      </c>
      <c r="M22" s="32">
        <v>0</v>
      </c>
      <c r="N22" s="33"/>
      <c r="O22" s="34">
        <f t="shared" si="2"/>
        <v>80</v>
      </c>
    </row>
    <row r="23" spans="1:15" ht="16.5" x14ac:dyDescent="0.3">
      <c r="A23" s="2">
        <v>43181</v>
      </c>
      <c r="B23" s="55">
        <f t="shared" si="0"/>
        <v>51</v>
      </c>
      <c r="C23" s="27">
        <v>26</v>
      </c>
      <c r="D23" s="27">
        <v>17</v>
      </c>
      <c r="E23" s="27">
        <v>8</v>
      </c>
      <c r="F23" s="13">
        <f t="shared" si="1"/>
        <v>14</v>
      </c>
      <c r="G23" s="27">
        <v>7</v>
      </c>
      <c r="H23" s="27">
        <v>7</v>
      </c>
      <c r="I23" s="27">
        <v>0</v>
      </c>
      <c r="J23" s="29">
        <v>8</v>
      </c>
      <c r="K23" s="30">
        <v>6</v>
      </c>
      <c r="L23" s="31">
        <v>1</v>
      </c>
      <c r="M23" s="32">
        <v>0</v>
      </c>
      <c r="N23" s="33"/>
      <c r="O23" s="34">
        <f t="shared" si="2"/>
        <v>80</v>
      </c>
    </row>
    <row r="24" spans="1:15" ht="16.5" x14ac:dyDescent="0.3">
      <c r="A24" s="2">
        <v>43182</v>
      </c>
      <c r="B24" s="55">
        <f t="shared" si="0"/>
        <v>57</v>
      </c>
      <c r="C24" s="27">
        <v>22</v>
      </c>
      <c r="D24" s="27">
        <v>22</v>
      </c>
      <c r="E24" s="27">
        <v>13</v>
      </c>
      <c r="F24" s="13">
        <f t="shared" si="1"/>
        <v>12</v>
      </c>
      <c r="G24" s="27">
        <v>7</v>
      </c>
      <c r="H24" s="27">
        <v>5</v>
      </c>
      <c r="I24" s="27">
        <v>0</v>
      </c>
      <c r="J24" s="29">
        <v>9</v>
      </c>
      <c r="K24" s="30">
        <v>4</v>
      </c>
      <c r="L24" s="31">
        <v>3</v>
      </c>
      <c r="M24" s="32">
        <v>2</v>
      </c>
      <c r="N24" s="33"/>
      <c r="O24" s="34">
        <f t="shared" si="2"/>
        <v>87</v>
      </c>
    </row>
    <row r="25" spans="1:15" ht="16.5" x14ac:dyDescent="0.3">
      <c r="A25" s="2">
        <v>43183</v>
      </c>
      <c r="B25" s="55">
        <f t="shared" si="0"/>
        <v>6</v>
      </c>
      <c r="C25" s="27">
        <v>5</v>
      </c>
      <c r="D25" s="27">
        <v>0</v>
      </c>
      <c r="E25" s="27">
        <v>1</v>
      </c>
      <c r="F25" s="13">
        <f t="shared" si="1"/>
        <v>0</v>
      </c>
      <c r="G25" s="27">
        <v>0</v>
      </c>
      <c r="H25" s="27">
        <v>0</v>
      </c>
      <c r="I25" s="27">
        <v>0</v>
      </c>
      <c r="J25" s="29">
        <v>0</v>
      </c>
      <c r="K25" s="30">
        <v>0</v>
      </c>
      <c r="L25" s="31">
        <v>0</v>
      </c>
      <c r="M25" s="32">
        <v>1</v>
      </c>
      <c r="N25" s="33"/>
      <c r="O25" s="34">
        <f t="shared" si="2"/>
        <v>7</v>
      </c>
    </row>
    <row r="26" spans="1:15" ht="16.5" x14ac:dyDescent="0.3">
      <c r="A26" s="2">
        <v>43184</v>
      </c>
      <c r="B26" s="55">
        <f t="shared" si="0"/>
        <v>0</v>
      </c>
      <c r="C26" s="27">
        <v>0</v>
      </c>
      <c r="D26" s="27">
        <v>0</v>
      </c>
      <c r="E26" s="27">
        <v>0</v>
      </c>
      <c r="F26" s="13">
        <f t="shared" si="1"/>
        <v>0</v>
      </c>
      <c r="G26" s="27">
        <v>0</v>
      </c>
      <c r="H26" s="27">
        <v>0</v>
      </c>
      <c r="I26" s="27">
        <v>0</v>
      </c>
      <c r="J26" s="29">
        <v>0</v>
      </c>
      <c r="K26" s="30">
        <v>0</v>
      </c>
      <c r="L26" s="31">
        <v>0</v>
      </c>
      <c r="M26" s="32">
        <v>0</v>
      </c>
      <c r="N26" s="33"/>
      <c r="O26" s="34">
        <f t="shared" si="2"/>
        <v>0</v>
      </c>
    </row>
    <row r="27" spans="1:15" ht="16.5" x14ac:dyDescent="0.3">
      <c r="A27" s="2">
        <v>43185</v>
      </c>
      <c r="B27" s="55">
        <f t="shared" si="0"/>
        <v>45</v>
      </c>
      <c r="C27" s="27">
        <v>18</v>
      </c>
      <c r="D27" s="27">
        <v>19</v>
      </c>
      <c r="E27" s="27">
        <v>8</v>
      </c>
      <c r="F27" s="13">
        <f t="shared" si="1"/>
        <v>16</v>
      </c>
      <c r="G27" s="27">
        <v>5</v>
      </c>
      <c r="H27" s="27">
        <v>10</v>
      </c>
      <c r="I27" s="27">
        <v>1</v>
      </c>
      <c r="J27" s="29">
        <v>6</v>
      </c>
      <c r="K27" s="30">
        <v>3</v>
      </c>
      <c r="L27" s="31">
        <v>0</v>
      </c>
      <c r="M27" s="32">
        <v>3</v>
      </c>
      <c r="N27" s="33"/>
      <c r="O27" s="34">
        <f t="shared" si="2"/>
        <v>73</v>
      </c>
    </row>
    <row r="28" spans="1:15" ht="16.5" x14ac:dyDescent="0.3">
      <c r="A28" s="2">
        <v>43186</v>
      </c>
      <c r="B28" s="55">
        <f t="shared" si="0"/>
        <v>52</v>
      </c>
      <c r="C28" s="27">
        <v>17</v>
      </c>
      <c r="D28" s="27">
        <v>20</v>
      </c>
      <c r="E28" s="27">
        <v>15</v>
      </c>
      <c r="F28" s="13">
        <f t="shared" si="1"/>
        <v>9</v>
      </c>
      <c r="G28" s="27">
        <v>3</v>
      </c>
      <c r="H28" s="27">
        <v>6</v>
      </c>
      <c r="I28" s="27">
        <v>0</v>
      </c>
      <c r="J28" s="29">
        <v>8</v>
      </c>
      <c r="K28" s="30">
        <v>3</v>
      </c>
      <c r="L28" s="31">
        <v>0</v>
      </c>
      <c r="M28" s="32">
        <v>2</v>
      </c>
      <c r="N28" s="33"/>
      <c r="O28" s="34">
        <f t="shared" si="2"/>
        <v>74</v>
      </c>
    </row>
    <row r="29" spans="1:15" ht="16.5" x14ac:dyDescent="0.3">
      <c r="A29" s="2">
        <v>43187</v>
      </c>
      <c r="B29" s="55">
        <f t="shared" si="0"/>
        <v>56</v>
      </c>
      <c r="C29" s="27">
        <v>22</v>
      </c>
      <c r="D29" s="27">
        <v>19</v>
      </c>
      <c r="E29" s="27">
        <v>15</v>
      </c>
      <c r="F29" s="13">
        <f t="shared" si="1"/>
        <v>8</v>
      </c>
      <c r="G29" s="27">
        <v>5</v>
      </c>
      <c r="H29" s="27">
        <v>3</v>
      </c>
      <c r="I29" s="27">
        <v>0</v>
      </c>
      <c r="J29" s="29">
        <v>12</v>
      </c>
      <c r="K29" s="30">
        <v>3</v>
      </c>
      <c r="L29" s="31">
        <v>1</v>
      </c>
      <c r="M29" s="32">
        <v>2</v>
      </c>
      <c r="N29" s="33"/>
      <c r="O29" s="34">
        <f t="shared" si="2"/>
        <v>82</v>
      </c>
    </row>
    <row r="30" spans="1:15" ht="16.5" x14ac:dyDescent="0.3">
      <c r="A30" s="2">
        <v>43188</v>
      </c>
      <c r="B30" s="55">
        <f t="shared" si="0"/>
        <v>44</v>
      </c>
      <c r="C30" s="27">
        <v>15</v>
      </c>
      <c r="D30" s="27">
        <v>17</v>
      </c>
      <c r="E30" s="27">
        <v>12</v>
      </c>
      <c r="F30" s="13">
        <f t="shared" si="1"/>
        <v>9</v>
      </c>
      <c r="G30" s="27">
        <v>5</v>
      </c>
      <c r="H30" s="27">
        <v>4</v>
      </c>
      <c r="I30" s="27">
        <v>0</v>
      </c>
      <c r="J30" s="29">
        <v>9</v>
      </c>
      <c r="K30" s="30">
        <v>6</v>
      </c>
      <c r="L30" s="31">
        <v>0</v>
      </c>
      <c r="M30" s="32">
        <v>0</v>
      </c>
      <c r="N30" s="33"/>
      <c r="O30" s="34">
        <f t="shared" si="2"/>
        <v>68</v>
      </c>
    </row>
    <row r="31" spans="1:15" ht="16.5" x14ac:dyDescent="0.3">
      <c r="A31" s="2">
        <v>43189</v>
      </c>
      <c r="B31" s="55">
        <f t="shared" si="0"/>
        <v>49</v>
      </c>
      <c r="C31" s="27">
        <v>20</v>
      </c>
      <c r="D31" s="27">
        <v>20</v>
      </c>
      <c r="E31" s="27">
        <v>9</v>
      </c>
      <c r="F31" s="13">
        <f t="shared" si="1"/>
        <v>9</v>
      </c>
      <c r="G31" s="27">
        <v>6</v>
      </c>
      <c r="H31" s="27">
        <v>3</v>
      </c>
      <c r="I31" s="27">
        <v>0</v>
      </c>
      <c r="J31" s="29">
        <v>13</v>
      </c>
      <c r="K31" s="30">
        <v>2</v>
      </c>
      <c r="L31" s="31">
        <v>1</v>
      </c>
      <c r="M31" s="32">
        <v>2</v>
      </c>
      <c r="N31" s="33"/>
      <c r="O31" s="34">
        <f t="shared" si="2"/>
        <v>76</v>
      </c>
    </row>
    <row r="32" spans="1:15" ht="17.25" thickBot="1" x14ac:dyDescent="0.35">
      <c r="A32" s="2">
        <v>43190</v>
      </c>
      <c r="B32" s="56">
        <f t="shared" si="0"/>
        <v>5</v>
      </c>
      <c r="C32" s="27">
        <v>5</v>
      </c>
      <c r="D32" s="27">
        <v>0</v>
      </c>
      <c r="E32" s="27">
        <v>0</v>
      </c>
      <c r="F32" s="38">
        <f t="shared" si="1"/>
        <v>1</v>
      </c>
      <c r="G32" s="27">
        <v>1</v>
      </c>
      <c r="H32" s="27">
        <v>0</v>
      </c>
      <c r="I32" s="27">
        <v>0</v>
      </c>
      <c r="J32" s="29">
        <v>0</v>
      </c>
      <c r="K32" s="30">
        <v>0</v>
      </c>
      <c r="L32" s="31">
        <v>0</v>
      </c>
      <c r="M32" s="32">
        <v>0</v>
      </c>
      <c r="N32" s="33"/>
      <c r="O32" s="39">
        <f t="shared" si="2"/>
        <v>6</v>
      </c>
    </row>
    <row r="33" spans="1:15" ht="17.25" thickBot="1" x14ac:dyDescent="0.35">
      <c r="A33" s="26" t="s">
        <v>10</v>
      </c>
      <c r="B33" s="17">
        <f>SUM(B2:B32)</f>
        <v>1150</v>
      </c>
      <c r="C33" s="17">
        <f t="shared" ref="C33:D33" si="3">SUM(C2:C32)</f>
        <v>532</v>
      </c>
      <c r="D33" s="17">
        <f t="shared" si="3"/>
        <v>364</v>
      </c>
      <c r="E33" s="17">
        <f>SUM(E2:E32)</f>
        <v>254</v>
      </c>
      <c r="F33" s="18">
        <f>SUM(F2:F32)</f>
        <v>205</v>
      </c>
      <c r="G33" s="18">
        <f t="shared" ref="G33:I33" si="4">SUM(G2:G32)</f>
        <v>124</v>
      </c>
      <c r="H33" s="18">
        <f t="shared" si="4"/>
        <v>80</v>
      </c>
      <c r="I33" s="18">
        <f t="shared" si="4"/>
        <v>1</v>
      </c>
      <c r="J33" s="11">
        <f>SUM(J2:J32)</f>
        <v>213</v>
      </c>
      <c r="K33" s="11">
        <f t="shared" ref="K33:M33" si="5">SUM(K2:K32)</f>
        <v>74</v>
      </c>
      <c r="L33" s="11">
        <f t="shared" si="5"/>
        <v>16</v>
      </c>
      <c r="M33" s="11">
        <f t="shared" si="5"/>
        <v>34</v>
      </c>
      <c r="N33" s="33"/>
      <c r="O33" s="40">
        <f>SUM(O2:O32)</f>
        <v>1692</v>
      </c>
    </row>
  </sheetData>
  <conditionalFormatting sqref="B2:B32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{1D6B41B2-2C53-48BC-854A-22AD8BADF1D7}</x14:id>
        </ext>
      </extLst>
    </cfRule>
  </conditionalFormatting>
  <conditionalFormatting sqref="B2:B3 B6:B10 B13:B17 B20:B24 B27:B31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D6B41B2-2C53-48BC-854A-22AD8BADF1D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B2:B32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7030A0"/>
  </sheetPr>
  <dimension ref="A1:O32"/>
  <sheetViews>
    <sheetView showGridLines="0" showRowColHeaders="0" zoomScaleNormal="100" workbookViewId="0">
      <pane ySplit="1" topLeftCell="A2" activePane="bottomLeft" state="frozen"/>
      <selection pane="bottomLeft" activeCell="C2" sqref="C2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43191</v>
      </c>
      <c r="B2" s="55">
        <f>C2+D2+E2</f>
        <v>0</v>
      </c>
      <c r="C2" s="27">
        <v>0</v>
      </c>
      <c r="D2" s="27">
        <v>0</v>
      </c>
      <c r="E2" s="27">
        <v>0</v>
      </c>
      <c r="F2" s="13">
        <f>G2+H2+I2</f>
        <v>0</v>
      </c>
      <c r="G2" s="27">
        <v>0</v>
      </c>
      <c r="H2" s="27">
        <v>0</v>
      </c>
      <c r="I2" s="27">
        <v>0</v>
      </c>
      <c r="J2" s="29">
        <v>0</v>
      </c>
      <c r="K2" s="30">
        <v>0</v>
      </c>
      <c r="L2" s="31">
        <v>0</v>
      </c>
      <c r="M2" s="32">
        <v>0</v>
      </c>
      <c r="N2" s="33"/>
      <c r="O2" s="34">
        <f>B2+F2+J2+K2+L2+M2</f>
        <v>0</v>
      </c>
    </row>
    <row r="3" spans="1:15" ht="16.5" x14ac:dyDescent="0.3">
      <c r="A3" s="2">
        <v>43192</v>
      </c>
      <c r="B3" s="55">
        <f t="shared" ref="B3:B31" si="0">C3+D3+E3</f>
        <v>0</v>
      </c>
      <c r="C3" s="27">
        <v>0</v>
      </c>
      <c r="D3" s="27">
        <v>0</v>
      </c>
      <c r="E3" s="27">
        <v>0</v>
      </c>
      <c r="F3" s="13">
        <f t="shared" ref="F3:F31" si="1">G3+H3+I3</f>
        <v>0</v>
      </c>
      <c r="G3" s="27">
        <v>0</v>
      </c>
      <c r="H3" s="27">
        <v>0</v>
      </c>
      <c r="I3" s="27">
        <v>0</v>
      </c>
      <c r="J3" s="29">
        <v>0</v>
      </c>
      <c r="K3" s="30">
        <v>0</v>
      </c>
      <c r="L3" s="31">
        <v>0</v>
      </c>
      <c r="M3" s="32">
        <v>0</v>
      </c>
      <c r="N3" s="33"/>
      <c r="O3" s="34">
        <f t="shared" ref="O3:O31" si="2">B3+F3+J3+K3+L3+M3</f>
        <v>0</v>
      </c>
    </row>
    <row r="4" spans="1:15" ht="16.5" x14ac:dyDescent="0.3">
      <c r="A4" s="2">
        <v>43193</v>
      </c>
      <c r="B4" s="55">
        <f t="shared" si="0"/>
        <v>46</v>
      </c>
      <c r="C4" s="27">
        <v>18</v>
      </c>
      <c r="D4" s="27">
        <v>19</v>
      </c>
      <c r="E4" s="27">
        <v>9</v>
      </c>
      <c r="F4" s="13">
        <f t="shared" si="1"/>
        <v>13</v>
      </c>
      <c r="G4" s="27">
        <v>7</v>
      </c>
      <c r="H4" s="27">
        <v>6</v>
      </c>
      <c r="I4" s="27">
        <v>0</v>
      </c>
      <c r="J4" s="29">
        <v>17</v>
      </c>
      <c r="K4" s="30">
        <v>2</v>
      </c>
      <c r="L4" s="31">
        <v>0</v>
      </c>
      <c r="M4" s="32">
        <v>4</v>
      </c>
      <c r="N4" s="33"/>
      <c r="O4" s="34">
        <f t="shared" si="2"/>
        <v>82</v>
      </c>
    </row>
    <row r="5" spans="1:15" ht="16.5" x14ac:dyDescent="0.3">
      <c r="A5" s="2">
        <v>43194</v>
      </c>
      <c r="B5" s="55">
        <f t="shared" si="0"/>
        <v>63</v>
      </c>
      <c r="C5" s="27">
        <v>27</v>
      </c>
      <c r="D5" s="27">
        <v>20</v>
      </c>
      <c r="E5" s="27">
        <v>16</v>
      </c>
      <c r="F5" s="13">
        <f t="shared" si="1"/>
        <v>12</v>
      </c>
      <c r="G5" s="27">
        <v>9</v>
      </c>
      <c r="H5" s="27">
        <v>3</v>
      </c>
      <c r="I5" s="27">
        <v>0</v>
      </c>
      <c r="J5" s="29">
        <v>8</v>
      </c>
      <c r="K5" s="30">
        <v>2</v>
      </c>
      <c r="L5" s="31">
        <v>1</v>
      </c>
      <c r="M5" s="32">
        <v>0</v>
      </c>
      <c r="N5" s="33"/>
      <c r="O5" s="34">
        <f t="shared" si="2"/>
        <v>86</v>
      </c>
    </row>
    <row r="6" spans="1:15" ht="16.5" x14ac:dyDescent="0.3">
      <c r="A6" s="2">
        <v>43195</v>
      </c>
      <c r="B6" s="55">
        <f t="shared" si="0"/>
        <v>47</v>
      </c>
      <c r="C6" s="27">
        <v>20</v>
      </c>
      <c r="D6" s="27">
        <v>18</v>
      </c>
      <c r="E6" s="27">
        <v>9</v>
      </c>
      <c r="F6" s="13">
        <f t="shared" si="1"/>
        <v>13</v>
      </c>
      <c r="G6" s="27">
        <v>5</v>
      </c>
      <c r="H6" s="27">
        <v>8</v>
      </c>
      <c r="I6" s="27">
        <v>0</v>
      </c>
      <c r="J6" s="29">
        <v>13</v>
      </c>
      <c r="K6" s="30">
        <v>3</v>
      </c>
      <c r="L6" s="31">
        <v>0</v>
      </c>
      <c r="M6" s="32">
        <v>0</v>
      </c>
      <c r="N6" s="33"/>
      <c r="O6" s="34">
        <f t="shared" si="2"/>
        <v>76</v>
      </c>
    </row>
    <row r="7" spans="1:15" ht="16.5" x14ac:dyDescent="0.3">
      <c r="A7" s="2">
        <v>43196</v>
      </c>
      <c r="B7" s="55">
        <f t="shared" si="0"/>
        <v>55</v>
      </c>
      <c r="C7" s="27">
        <v>21</v>
      </c>
      <c r="D7" s="27">
        <v>26</v>
      </c>
      <c r="E7" s="27">
        <v>8</v>
      </c>
      <c r="F7" s="13">
        <f t="shared" si="1"/>
        <v>15</v>
      </c>
      <c r="G7" s="27">
        <v>7</v>
      </c>
      <c r="H7" s="27">
        <v>8</v>
      </c>
      <c r="I7" s="27">
        <v>0</v>
      </c>
      <c r="J7" s="29">
        <v>13</v>
      </c>
      <c r="K7" s="30">
        <v>4</v>
      </c>
      <c r="L7" s="31">
        <v>0</v>
      </c>
      <c r="M7" s="32">
        <v>0</v>
      </c>
      <c r="N7" s="33"/>
      <c r="O7" s="34">
        <f t="shared" si="2"/>
        <v>87</v>
      </c>
    </row>
    <row r="8" spans="1:15" ht="16.5" x14ac:dyDescent="0.3">
      <c r="A8" s="2">
        <v>43197</v>
      </c>
      <c r="B8" s="55">
        <f t="shared" si="0"/>
        <v>7</v>
      </c>
      <c r="C8" s="27">
        <v>6</v>
      </c>
      <c r="D8" s="27">
        <v>1</v>
      </c>
      <c r="E8" s="27">
        <v>0</v>
      </c>
      <c r="F8" s="13">
        <f t="shared" si="1"/>
        <v>0</v>
      </c>
      <c r="G8" s="27">
        <v>0</v>
      </c>
      <c r="H8" s="27">
        <v>0</v>
      </c>
      <c r="I8" s="27">
        <v>0</v>
      </c>
      <c r="J8" s="29">
        <v>0</v>
      </c>
      <c r="K8" s="30">
        <v>1</v>
      </c>
      <c r="L8" s="31">
        <v>0</v>
      </c>
      <c r="M8" s="32">
        <v>1</v>
      </c>
      <c r="N8" s="33"/>
      <c r="O8" s="34">
        <f t="shared" si="2"/>
        <v>9</v>
      </c>
    </row>
    <row r="9" spans="1:15" ht="16.5" x14ac:dyDescent="0.3">
      <c r="A9" s="2">
        <v>43198</v>
      </c>
      <c r="B9" s="55">
        <f t="shared" si="0"/>
        <v>0</v>
      </c>
      <c r="C9" s="27">
        <v>0</v>
      </c>
      <c r="D9" s="27">
        <v>0</v>
      </c>
      <c r="E9" s="27">
        <v>0</v>
      </c>
      <c r="F9" s="13">
        <f t="shared" si="1"/>
        <v>0</v>
      </c>
      <c r="G9" s="27">
        <v>0</v>
      </c>
      <c r="H9" s="27">
        <v>0</v>
      </c>
      <c r="I9" s="27">
        <v>0</v>
      </c>
      <c r="J9" s="29">
        <v>0</v>
      </c>
      <c r="K9" s="30">
        <v>0</v>
      </c>
      <c r="L9" s="31">
        <v>0</v>
      </c>
      <c r="M9" s="32">
        <v>0</v>
      </c>
      <c r="N9" s="33"/>
      <c r="O9" s="34">
        <f t="shared" si="2"/>
        <v>0</v>
      </c>
    </row>
    <row r="10" spans="1:15" ht="16.5" x14ac:dyDescent="0.3">
      <c r="A10" s="2">
        <v>43199</v>
      </c>
      <c r="B10" s="55">
        <f t="shared" si="0"/>
        <v>56</v>
      </c>
      <c r="C10" s="27">
        <v>21</v>
      </c>
      <c r="D10" s="27">
        <v>24</v>
      </c>
      <c r="E10" s="27">
        <v>11</v>
      </c>
      <c r="F10" s="13">
        <f t="shared" si="1"/>
        <v>11</v>
      </c>
      <c r="G10" s="27">
        <v>9</v>
      </c>
      <c r="H10" s="27">
        <v>2</v>
      </c>
      <c r="I10" s="27">
        <v>0</v>
      </c>
      <c r="J10" s="29">
        <v>16</v>
      </c>
      <c r="K10" s="30">
        <v>4</v>
      </c>
      <c r="L10" s="31">
        <v>0</v>
      </c>
      <c r="M10" s="32">
        <v>0</v>
      </c>
      <c r="N10" s="33"/>
      <c r="O10" s="34">
        <f t="shared" si="2"/>
        <v>87</v>
      </c>
    </row>
    <row r="11" spans="1:15" ht="16.5" x14ac:dyDescent="0.3">
      <c r="A11" s="2">
        <v>43200</v>
      </c>
      <c r="B11" s="55">
        <f t="shared" si="0"/>
        <v>51</v>
      </c>
      <c r="C11" s="27">
        <v>17</v>
      </c>
      <c r="D11" s="27">
        <v>22</v>
      </c>
      <c r="E11" s="27">
        <v>12</v>
      </c>
      <c r="F11" s="13">
        <f t="shared" si="1"/>
        <v>12</v>
      </c>
      <c r="G11" s="27">
        <v>6</v>
      </c>
      <c r="H11" s="27">
        <v>6</v>
      </c>
      <c r="I11" s="27">
        <v>0</v>
      </c>
      <c r="J11" s="29">
        <v>17</v>
      </c>
      <c r="K11" s="30">
        <v>6</v>
      </c>
      <c r="L11" s="31">
        <v>0</v>
      </c>
      <c r="M11" s="32">
        <v>1</v>
      </c>
      <c r="N11" s="33"/>
      <c r="O11" s="34">
        <f t="shared" si="2"/>
        <v>87</v>
      </c>
    </row>
    <row r="12" spans="1:15" ht="16.5" x14ac:dyDescent="0.3">
      <c r="A12" s="2">
        <v>43201</v>
      </c>
      <c r="B12" s="55">
        <f t="shared" si="0"/>
        <v>55</v>
      </c>
      <c r="C12" s="27">
        <v>25</v>
      </c>
      <c r="D12" s="27">
        <v>19</v>
      </c>
      <c r="E12" s="27">
        <v>11</v>
      </c>
      <c r="F12" s="13">
        <f t="shared" si="1"/>
        <v>13</v>
      </c>
      <c r="G12" s="27">
        <v>9</v>
      </c>
      <c r="H12" s="27">
        <v>4</v>
      </c>
      <c r="I12" s="27">
        <v>0</v>
      </c>
      <c r="J12" s="29">
        <v>13</v>
      </c>
      <c r="K12" s="30">
        <v>5</v>
      </c>
      <c r="L12" s="31">
        <v>0</v>
      </c>
      <c r="M12" s="32">
        <v>2</v>
      </c>
      <c r="N12" s="33"/>
      <c r="O12" s="34">
        <f t="shared" si="2"/>
        <v>88</v>
      </c>
    </row>
    <row r="13" spans="1:15" ht="16.5" x14ac:dyDescent="0.3">
      <c r="A13" s="2">
        <v>43202</v>
      </c>
      <c r="B13" s="55">
        <f t="shared" si="0"/>
        <v>48</v>
      </c>
      <c r="C13" s="27">
        <v>21</v>
      </c>
      <c r="D13" s="27">
        <v>16</v>
      </c>
      <c r="E13" s="27">
        <v>11</v>
      </c>
      <c r="F13" s="13">
        <f t="shared" si="1"/>
        <v>9</v>
      </c>
      <c r="G13" s="27">
        <v>3</v>
      </c>
      <c r="H13" s="27">
        <v>5</v>
      </c>
      <c r="I13" s="27">
        <v>1</v>
      </c>
      <c r="J13" s="29">
        <v>13</v>
      </c>
      <c r="K13" s="30">
        <v>5</v>
      </c>
      <c r="L13" s="31">
        <v>0</v>
      </c>
      <c r="M13" s="32">
        <v>1</v>
      </c>
      <c r="N13" s="33"/>
      <c r="O13" s="34">
        <f t="shared" si="2"/>
        <v>76</v>
      </c>
    </row>
    <row r="14" spans="1:15" ht="16.5" x14ac:dyDescent="0.3">
      <c r="A14" s="2">
        <v>43203</v>
      </c>
      <c r="B14" s="55">
        <f t="shared" si="0"/>
        <v>54</v>
      </c>
      <c r="C14" s="27">
        <v>21</v>
      </c>
      <c r="D14" s="27">
        <v>17</v>
      </c>
      <c r="E14" s="27">
        <v>16</v>
      </c>
      <c r="F14" s="13">
        <f t="shared" si="1"/>
        <v>12</v>
      </c>
      <c r="G14" s="27">
        <v>7</v>
      </c>
      <c r="H14" s="27">
        <v>5</v>
      </c>
      <c r="I14" s="27">
        <v>0</v>
      </c>
      <c r="J14" s="29">
        <v>15</v>
      </c>
      <c r="K14" s="30">
        <v>2</v>
      </c>
      <c r="L14" s="31">
        <v>0</v>
      </c>
      <c r="M14" s="32">
        <v>0</v>
      </c>
      <c r="N14" s="33"/>
      <c r="O14" s="34">
        <f t="shared" si="2"/>
        <v>83</v>
      </c>
    </row>
    <row r="15" spans="1:15" ht="16.5" x14ac:dyDescent="0.3">
      <c r="A15" s="2">
        <v>43204</v>
      </c>
      <c r="B15" s="55">
        <f t="shared" si="0"/>
        <v>2</v>
      </c>
      <c r="C15" s="27">
        <v>2</v>
      </c>
      <c r="D15" s="27">
        <v>0</v>
      </c>
      <c r="E15" s="27">
        <v>0</v>
      </c>
      <c r="F15" s="13">
        <f t="shared" si="1"/>
        <v>1</v>
      </c>
      <c r="G15" s="27">
        <v>1</v>
      </c>
      <c r="H15" s="27">
        <v>0</v>
      </c>
      <c r="I15" s="27">
        <v>0</v>
      </c>
      <c r="J15" s="29">
        <v>0</v>
      </c>
      <c r="K15" s="30">
        <v>0</v>
      </c>
      <c r="L15" s="31">
        <v>1</v>
      </c>
      <c r="M15" s="32">
        <v>0</v>
      </c>
      <c r="N15" s="33"/>
      <c r="O15" s="34">
        <f t="shared" si="2"/>
        <v>4</v>
      </c>
    </row>
    <row r="16" spans="1:15" ht="16.5" x14ac:dyDescent="0.3">
      <c r="A16" s="2">
        <v>43205</v>
      </c>
      <c r="B16" s="55">
        <f t="shared" si="0"/>
        <v>0</v>
      </c>
      <c r="C16" s="27">
        <v>0</v>
      </c>
      <c r="D16" s="27">
        <v>0</v>
      </c>
      <c r="E16" s="27">
        <v>0</v>
      </c>
      <c r="F16" s="13">
        <f t="shared" si="1"/>
        <v>0</v>
      </c>
      <c r="G16" s="27">
        <v>0</v>
      </c>
      <c r="H16" s="27">
        <v>0</v>
      </c>
      <c r="I16" s="27">
        <v>0</v>
      </c>
      <c r="J16" s="29">
        <v>0</v>
      </c>
      <c r="K16" s="30">
        <v>0</v>
      </c>
      <c r="L16" s="31">
        <v>0</v>
      </c>
      <c r="M16" s="32">
        <v>0</v>
      </c>
      <c r="N16" s="33"/>
      <c r="O16" s="34">
        <f t="shared" si="2"/>
        <v>0</v>
      </c>
    </row>
    <row r="17" spans="1:15" ht="16.5" x14ac:dyDescent="0.3">
      <c r="A17" s="2">
        <v>43206</v>
      </c>
      <c r="B17" s="55">
        <f t="shared" si="0"/>
        <v>60</v>
      </c>
      <c r="C17" s="27">
        <v>28</v>
      </c>
      <c r="D17" s="27">
        <v>22</v>
      </c>
      <c r="E17" s="27">
        <v>10</v>
      </c>
      <c r="F17" s="13">
        <f t="shared" si="1"/>
        <v>4</v>
      </c>
      <c r="G17" s="27">
        <v>2</v>
      </c>
      <c r="H17" s="27">
        <v>2</v>
      </c>
      <c r="I17" s="27">
        <v>0</v>
      </c>
      <c r="J17" s="29">
        <v>23</v>
      </c>
      <c r="K17" s="30">
        <v>3</v>
      </c>
      <c r="L17" s="31">
        <v>0</v>
      </c>
      <c r="M17" s="32">
        <v>0</v>
      </c>
      <c r="N17" s="33"/>
      <c r="O17" s="34">
        <f t="shared" si="2"/>
        <v>90</v>
      </c>
    </row>
    <row r="18" spans="1:15" ht="16.5" x14ac:dyDescent="0.3">
      <c r="A18" s="2">
        <v>43207</v>
      </c>
      <c r="B18" s="55">
        <f t="shared" si="0"/>
        <v>55</v>
      </c>
      <c r="C18" s="27">
        <v>19</v>
      </c>
      <c r="D18" s="27">
        <v>25</v>
      </c>
      <c r="E18" s="27">
        <v>11</v>
      </c>
      <c r="F18" s="13">
        <f t="shared" si="1"/>
        <v>8</v>
      </c>
      <c r="G18" s="27">
        <v>4</v>
      </c>
      <c r="H18" s="27">
        <v>3</v>
      </c>
      <c r="I18" s="27">
        <v>1</v>
      </c>
      <c r="J18" s="29">
        <v>12</v>
      </c>
      <c r="K18" s="30">
        <v>7</v>
      </c>
      <c r="L18" s="31">
        <v>1</v>
      </c>
      <c r="M18" s="32">
        <v>2</v>
      </c>
      <c r="N18" s="33"/>
      <c r="O18" s="34">
        <f t="shared" si="2"/>
        <v>85</v>
      </c>
    </row>
    <row r="19" spans="1:15" ht="16.5" x14ac:dyDescent="0.3">
      <c r="A19" s="2">
        <v>43208</v>
      </c>
      <c r="B19" s="55">
        <f t="shared" si="0"/>
        <v>68</v>
      </c>
      <c r="C19" s="27">
        <v>24</v>
      </c>
      <c r="D19" s="27">
        <v>25</v>
      </c>
      <c r="E19" s="27">
        <v>19</v>
      </c>
      <c r="F19" s="13">
        <f t="shared" si="1"/>
        <v>8</v>
      </c>
      <c r="G19" s="27">
        <v>4</v>
      </c>
      <c r="H19" s="27">
        <v>4</v>
      </c>
      <c r="I19" s="27">
        <v>0</v>
      </c>
      <c r="J19" s="29">
        <v>20</v>
      </c>
      <c r="K19" s="30">
        <v>4</v>
      </c>
      <c r="L19" s="31">
        <v>0</v>
      </c>
      <c r="M19" s="32">
        <v>1</v>
      </c>
      <c r="N19" s="33"/>
      <c r="O19" s="34">
        <f t="shared" si="2"/>
        <v>101</v>
      </c>
    </row>
    <row r="20" spans="1:15" ht="16.5" x14ac:dyDescent="0.3">
      <c r="A20" s="2">
        <v>43209</v>
      </c>
      <c r="B20" s="55">
        <f t="shared" si="0"/>
        <v>60</v>
      </c>
      <c r="C20" s="27">
        <v>21</v>
      </c>
      <c r="D20" s="27">
        <v>20</v>
      </c>
      <c r="E20" s="27">
        <v>19</v>
      </c>
      <c r="F20" s="13">
        <f t="shared" si="1"/>
        <v>12</v>
      </c>
      <c r="G20" s="27">
        <v>6</v>
      </c>
      <c r="H20" s="27">
        <v>6</v>
      </c>
      <c r="I20" s="27">
        <v>0</v>
      </c>
      <c r="J20" s="29">
        <v>15</v>
      </c>
      <c r="K20" s="30">
        <v>4</v>
      </c>
      <c r="L20" s="31">
        <v>0</v>
      </c>
      <c r="M20" s="32">
        <v>1</v>
      </c>
      <c r="N20" s="33"/>
      <c r="O20" s="34">
        <f t="shared" si="2"/>
        <v>92</v>
      </c>
    </row>
    <row r="21" spans="1:15" ht="16.5" x14ac:dyDescent="0.3">
      <c r="A21" s="2">
        <v>43210</v>
      </c>
      <c r="B21" s="55">
        <f t="shared" si="0"/>
        <v>49</v>
      </c>
      <c r="C21" s="27">
        <v>23</v>
      </c>
      <c r="D21" s="27">
        <v>17</v>
      </c>
      <c r="E21" s="27">
        <v>9</v>
      </c>
      <c r="F21" s="13">
        <f t="shared" si="1"/>
        <v>9</v>
      </c>
      <c r="G21" s="27">
        <v>3</v>
      </c>
      <c r="H21" s="27">
        <v>6</v>
      </c>
      <c r="I21" s="27">
        <v>0</v>
      </c>
      <c r="J21" s="29">
        <v>9</v>
      </c>
      <c r="K21" s="30">
        <v>9</v>
      </c>
      <c r="L21" s="31">
        <v>1</v>
      </c>
      <c r="M21" s="32">
        <v>0</v>
      </c>
      <c r="N21" s="33"/>
      <c r="O21" s="34">
        <f t="shared" si="2"/>
        <v>77</v>
      </c>
    </row>
    <row r="22" spans="1:15" ht="16.5" x14ac:dyDescent="0.3">
      <c r="A22" s="2">
        <v>43211</v>
      </c>
      <c r="B22" s="55">
        <f t="shared" si="0"/>
        <v>8</v>
      </c>
      <c r="C22" s="27">
        <v>7</v>
      </c>
      <c r="D22" s="27">
        <v>1</v>
      </c>
      <c r="E22" s="27">
        <v>0</v>
      </c>
      <c r="F22" s="13">
        <f t="shared" si="1"/>
        <v>1</v>
      </c>
      <c r="G22" s="27">
        <v>1</v>
      </c>
      <c r="H22" s="27">
        <v>0</v>
      </c>
      <c r="I22" s="27">
        <v>0</v>
      </c>
      <c r="J22" s="29">
        <v>0</v>
      </c>
      <c r="K22" s="30">
        <v>0</v>
      </c>
      <c r="L22" s="31">
        <v>0</v>
      </c>
      <c r="M22" s="32">
        <v>0</v>
      </c>
      <c r="N22" s="33"/>
      <c r="O22" s="34">
        <f t="shared" si="2"/>
        <v>9</v>
      </c>
    </row>
    <row r="23" spans="1:15" ht="16.5" x14ac:dyDescent="0.3">
      <c r="A23" s="2">
        <v>43212</v>
      </c>
      <c r="B23" s="55">
        <f t="shared" si="0"/>
        <v>0</v>
      </c>
      <c r="C23" s="27">
        <v>0</v>
      </c>
      <c r="D23" s="27">
        <v>0</v>
      </c>
      <c r="E23" s="27">
        <v>0</v>
      </c>
      <c r="F23" s="13">
        <f t="shared" si="1"/>
        <v>0</v>
      </c>
      <c r="G23" s="27">
        <v>0</v>
      </c>
      <c r="H23" s="27">
        <v>0</v>
      </c>
      <c r="I23" s="27">
        <v>0</v>
      </c>
      <c r="J23" s="29">
        <v>0</v>
      </c>
      <c r="K23" s="30">
        <v>0</v>
      </c>
      <c r="L23" s="31">
        <v>0</v>
      </c>
      <c r="M23" s="32">
        <v>0</v>
      </c>
      <c r="N23" s="33"/>
      <c r="O23" s="34">
        <f t="shared" si="2"/>
        <v>0</v>
      </c>
    </row>
    <row r="24" spans="1:15" ht="16.5" x14ac:dyDescent="0.3">
      <c r="A24" s="2">
        <v>43213</v>
      </c>
      <c r="B24" s="55">
        <f t="shared" si="0"/>
        <v>49</v>
      </c>
      <c r="C24" s="27">
        <v>22</v>
      </c>
      <c r="D24" s="27">
        <v>14</v>
      </c>
      <c r="E24" s="27">
        <v>13</v>
      </c>
      <c r="F24" s="13">
        <f t="shared" si="1"/>
        <v>8</v>
      </c>
      <c r="G24" s="27">
        <v>3</v>
      </c>
      <c r="H24" s="27">
        <v>5</v>
      </c>
      <c r="I24" s="27">
        <v>0</v>
      </c>
      <c r="J24" s="29">
        <v>12</v>
      </c>
      <c r="K24" s="30">
        <v>5</v>
      </c>
      <c r="L24" s="31">
        <v>0</v>
      </c>
      <c r="M24" s="32">
        <v>2</v>
      </c>
      <c r="N24" s="33"/>
      <c r="O24" s="34">
        <f t="shared" si="2"/>
        <v>76</v>
      </c>
    </row>
    <row r="25" spans="1:15" ht="16.5" x14ac:dyDescent="0.3">
      <c r="A25" s="2">
        <v>43214</v>
      </c>
      <c r="B25" s="55">
        <f t="shared" si="0"/>
        <v>52</v>
      </c>
      <c r="C25" s="27">
        <v>17</v>
      </c>
      <c r="D25" s="27">
        <v>26</v>
      </c>
      <c r="E25" s="27">
        <v>9</v>
      </c>
      <c r="F25" s="13">
        <f t="shared" si="1"/>
        <v>16</v>
      </c>
      <c r="G25" s="27">
        <v>8</v>
      </c>
      <c r="H25" s="27">
        <v>8</v>
      </c>
      <c r="I25" s="27">
        <v>0</v>
      </c>
      <c r="J25" s="29">
        <v>18</v>
      </c>
      <c r="K25" s="30">
        <v>1</v>
      </c>
      <c r="L25" s="31">
        <v>0</v>
      </c>
      <c r="M25" s="32">
        <v>2</v>
      </c>
      <c r="N25" s="33"/>
      <c r="O25" s="34">
        <f t="shared" si="2"/>
        <v>89</v>
      </c>
    </row>
    <row r="26" spans="1:15" ht="16.5" x14ac:dyDescent="0.3">
      <c r="A26" s="2">
        <v>43215</v>
      </c>
      <c r="B26" s="55">
        <f t="shared" si="0"/>
        <v>54</v>
      </c>
      <c r="C26" s="27">
        <v>23</v>
      </c>
      <c r="D26" s="27">
        <v>19</v>
      </c>
      <c r="E26" s="27">
        <v>12</v>
      </c>
      <c r="F26" s="13">
        <f t="shared" si="1"/>
        <v>8</v>
      </c>
      <c r="G26" s="27">
        <v>4</v>
      </c>
      <c r="H26" s="27">
        <v>3</v>
      </c>
      <c r="I26" s="27">
        <v>1</v>
      </c>
      <c r="J26" s="29">
        <v>14</v>
      </c>
      <c r="K26" s="30">
        <v>3</v>
      </c>
      <c r="L26" s="31">
        <v>0</v>
      </c>
      <c r="M26" s="32">
        <v>2</v>
      </c>
      <c r="N26" s="33"/>
      <c r="O26" s="34">
        <f t="shared" si="2"/>
        <v>81</v>
      </c>
    </row>
    <row r="27" spans="1:15" ht="16.5" x14ac:dyDescent="0.3">
      <c r="A27" s="2">
        <v>43216</v>
      </c>
      <c r="B27" s="55">
        <f t="shared" si="0"/>
        <v>50</v>
      </c>
      <c r="C27" s="27">
        <v>16</v>
      </c>
      <c r="D27" s="27">
        <v>19</v>
      </c>
      <c r="E27" s="27">
        <v>15</v>
      </c>
      <c r="F27" s="13">
        <f t="shared" si="1"/>
        <v>8</v>
      </c>
      <c r="G27" s="27">
        <v>4</v>
      </c>
      <c r="H27" s="27">
        <v>4</v>
      </c>
      <c r="I27" s="27">
        <v>0</v>
      </c>
      <c r="J27" s="29">
        <v>11</v>
      </c>
      <c r="K27" s="30">
        <v>7</v>
      </c>
      <c r="L27" s="31">
        <v>0</v>
      </c>
      <c r="M27" s="32">
        <v>2</v>
      </c>
      <c r="N27" s="33"/>
      <c r="O27" s="34">
        <f t="shared" si="2"/>
        <v>78</v>
      </c>
    </row>
    <row r="28" spans="1:15" ht="16.5" x14ac:dyDescent="0.3">
      <c r="A28" s="2">
        <v>43217</v>
      </c>
      <c r="B28" s="55">
        <f t="shared" si="0"/>
        <v>65</v>
      </c>
      <c r="C28" s="27">
        <v>25</v>
      </c>
      <c r="D28" s="27">
        <v>22</v>
      </c>
      <c r="E28" s="27">
        <v>18</v>
      </c>
      <c r="F28" s="13">
        <f t="shared" si="1"/>
        <v>8</v>
      </c>
      <c r="G28" s="27">
        <v>5</v>
      </c>
      <c r="H28" s="27">
        <v>3</v>
      </c>
      <c r="I28" s="27">
        <v>0</v>
      </c>
      <c r="J28" s="29">
        <v>9</v>
      </c>
      <c r="K28" s="30">
        <v>3</v>
      </c>
      <c r="L28" s="31">
        <v>0</v>
      </c>
      <c r="M28" s="32">
        <v>0</v>
      </c>
      <c r="N28" s="33"/>
      <c r="O28" s="34">
        <f t="shared" si="2"/>
        <v>85</v>
      </c>
    </row>
    <row r="29" spans="1:15" ht="16.5" x14ac:dyDescent="0.3">
      <c r="A29" s="2">
        <v>43218</v>
      </c>
      <c r="B29" s="55">
        <f t="shared" si="0"/>
        <v>7</v>
      </c>
      <c r="C29" s="27">
        <v>6</v>
      </c>
      <c r="D29" s="27">
        <v>0</v>
      </c>
      <c r="E29" s="27">
        <v>1</v>
      </c>
      <c r="F29" s="13">
        <f t="shared" si="1"/>
        <v>0</v>
      </c>
      <c r="G29" s="27">
        <v>0</v>
      </c>
      <c r="H29" s="27">
        <v>0</v>
      </c>
      <c r="I29" s="27">
        <v>0</v>
      </c>
      <c r="J29" s="29">
        <v>0</v>
      </c>
      <c r="K29" s="30">
        <v>0</v>
      </c>
      <c r="L29" s="31">
        <v>0</v>
      </c>
      <c r="M29" s="32">
        <v>0</v>
      </c>
      <c r="N29" s="33"/>
      <c r="O29" s="34">
        <f t="shared" si="2"/>
        <v>7</v>
      </c>
    </row>
    <row r="30" spans="1:15" ht="16.5" x14ac:dyDescent="0.3">
      <c r="A30" s="2">
        <v>43219</v>
      </c>
      <c r="B30" s="55">
        <f t="shared" si="0"/>
        <v>0</v>
      </c>
      <c r="C30" s="27">
        <v>0</v>
      </c>
      <c r="D30" s="27">
        <v>0</v>
      </c>
      <c r="E30" s="27">
        <v>0</v>
      </c>
      <c r="F30" s="13">
        <f t="shared" si="1"/>
        <v>0</v>
      </c>
      <c r="G30" s="27">
        <v>0</v>
      </c>
      <c r="H30" s="27">
        <v>0</v>
      </c>
      <c r="I30" s="27">
        <v>0</v>
      </c>
      <c r="J30" s="29">
        <v>0</v>
      </c>
      <c r="K30" s="30">
        <v>0</v>
      </c>
      <c r="L30" s="31">
        <v>0</v>
      </c>
      <c r="M30" s="32">
        <v>0</v>
      </c>
      <c r="N30" s="33"/>
      <c r="O30" s="34">
        <f t="shared" si="2"/>
        <v>0</v>
      </c>
    </row>
    <row r="31" spans="1:15" ht="17.25" thickBot="1" x14ac:dyDescent="0.35">
      <c r="A31" s="2">
        <v>43220</v>
      </c>
      <c r="B31" s="55">
        <f t="shared" si="0"/>
        <v>52</v>
      </c>
      <c r="C31" s="27">
        <v>25</v>
      </c>
      <c r="D31" s="27">
        <v>17</v>
      </c>
      <c r="E31" s="27">
        <v>10</v>
      </c>
      <c r="F31" s="13">
        <f t="shared" si="1"/>
        <v>10</v>
      </c>
      <c r="G31" s="27">
        <v>4</v>
      </c>
      <c r="H31" s="27">
        <v>6</v>
      </c>
      <c r="I31" s="27">
        <v>0</v>
      </c>
      <c r="J31" s="29">
        <v>9</v>
      </c>
      <c r="K31" s="30">
        <v>3</v>
      </c>
      <c r="L31" s="31">
        <v>0</v>
      </c>
      <c r="M31" s="32">
        <v>0</v>
      </c>
      <c r="N31" s="33"/>
      <c r="O31" s="34">
        <f t="shared" si="2"/>
        <v>74</v>
      </c>
    </row>
    <row r="32" spans="1:15" ht="17.25" thickBot="1" x14ac:dyDescent="0.35">
      <c r="A32" s="26" t="s">
        <v>10</v>
      </c>
      <c r="B32" s="57">
        <f t="shared" ref="B32:M32" si="3">SUM(B2:B31)</f>
        <v>1113</v>
      </c>
      <c r="C32" s="17">
        <f t="shared" si="3"/>
        <v>455</v>
      </c>
      <c r="D32" s="17">
        <f t="shared" si="3"/>
        <v>409</v>
      </c>
      <c r="E32" s="17">
        <f t="shared" si="3"/>
        <v>249</v>
      </c>
      <c r="F32" s="18">
        <f t="shared" si="3"/>
        <v>211</v>
      </c>
      <c r="G32" s="18">
        <f t="shared" si="3"/>
        <v>111</v>
      </c>
      <c r="H32" s="18">
        <f t="shared" si="3"/>
        <v>97</v>
      </c>
      <c r="I32" s="18">
        <f t="shared" si="3"/>
        <v>3</v>
      </c>
      <c r="J32" s="11">
        <f t="shared" si="3"/>
        <v>277</v>
      </c>
      <c r="K32" s="11">
        <f t="shared" si="3"/>
        <v>83</v>
      </c>
      <c r="L32" s="11">
        <f t="shared" si="3"/>
        <v>4</v>
      </c>
      <c r="M32" s="11">
        <f t="shared" si="3"/>
        <v>21</v>
      </c>
      <c r="N32" s="33"/>
      <c r="O32" s="40">
        <f>SUM(O2:O31)</f>
        <v>1709</v>
      </c>
    </row>
  </sheetData>
  <conditionalFormatting sqref="B2:B31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{DC6300A7-6E6D-441E-A5EE-E7A2B6C4E7A0}</x14:id>
        </ext>
      </extLst>
    </cfRule>
  </conditionalFormatting>
  <conditionalFormatting sqref="B4:B7 B10:B14 B17:B21 B24:B28 B31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C6300A7-6E6D-441E-A5EE-E7A2B6C4E7A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B2:B31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7030A0"/>
  </sheetPr>
  <dimension ref="A1:O33"/>
  <sheetViews>
    <sheetView showGridLines="0" showRowColHeaders="0" zoomScaleNormal="100" workbookViewId="0">
      <pane ySplit="1" topLeftCell="A2" activePane="bottomLeft" state="frozen"/>
      <selection pane="bottomLeft" activeCell="C14" sqref="C14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43221</v>
      </c>
      <c r="B2" s="55">
        <f>C2+D2+E2</f>
        <v>0</v>
      </c>
      <c r="C2" s="27">
        <v>0</v>
      </c>
      <c r="D2" s="27">
        <v>0</v>
      </c>
      <c r="E2" s="27">
        <v>0</v>
      </c>
      <c r="F2" s="13">
        <f>G2+H2+I2</f>
        <v>0</v>
      </c>
      <c r="G2" s="27">
        <v>0</v>
      </c>
      <c r="H2" s="27">
        <v>0</v>
      </c>
      <c r="I2" s="27">
        <v>0</v>
      </c>
      <c r="J2" s="29">
        <v>0</v>
      </c>
      <c r="K2" s="30">
        <v>0</v>
      </c>
      <c r="L2" s="31">
        <v>0</v>
      </c>
      <c r="M2" s="32">
        <v>0</v>
      </c>
      <c r="N2" s="33"/>
      <c r="O2" s="34">
        <f>B2+F2+J2+K2+L2+M2</f>
        <v>0</v>
      </c>
    </row>
    <row r="3" spans="1:15" ht="16.5" x14ac:dyDescent="0.3">
      <c r="A3" s="2">
        <v>43222</v>
      </c>
      <c r="B3" s="55">
        <f t="shared" ref="B3:B32" si="0">C3+D3+E3</f>
        <v>65</v>
      </c>
      <c r="C3" s="27">
        <v>31</v>
      </c>
      <c r="D3" s="27">
        <v>19</v>
      </c>
      <c r="E3" s="27">
        <v>15</v>
      </c>
      <c r="F3" s="13">
        <f t="shared" ref="F3:F32" si="1">G3+H3+I3</f>
        <v>10</v>
      </c>
      <c r="G3" s="27">
        <v>5</v>
      </c>
      <c r="H3" s="27">
        <v>5</v>
      </c>
      <c r="I3" s="27">
        <v>0</v>
      </c>
      <c r="J3" s="29">
        <v>11</v>
      </c>
      <c r="K3" s="30">
        <v>5</v>
      </c>
      <c r="L3" s="31">
        <v>0</v>
      </c>
      <c r="M3" s="32">
        <v>1</v>
      </c>
      <c r="N3" s="33"/>
      <c r="O3" s="34">
        <f t="shared" ref="O3:O32" si="2">B3+F3+J3+K3+L3+M3</f>
        <v>92</v>
      </c>
    </row>
    <row r="4" spans="1:15" ht="16.5" x14ac:dyDescent="0.3">
      <c r="A4" s="2">
        <v>43223</v>
      </c>
      <c r="B4" s="55">
        <f t="shared" si="0"/>
        <v>61</v>
      </c>
      <c r="C4" s="27">
        <v>27</v>
      </c>
      <c r="D4" s="27">
        <v>21</v>
      </c>
      <c r="E4" s="27">
        <v>13</v>
      </c>
      <c r="F4" s="13">
        <f t="shared" si="1"/>
        <v>11</v>
      </c>
      <c r="G4" s="27">
        <v>5</v>
      </c>
      <c r="H4" s="27">
        <v>6</v>
      </c>
      <c r="I4" s="27">
        <v>0</v>
      </c>
      <c r="J4" s="29">
        <v>11</v>
      </c>
      <c r="K4" s="30">
        <v>4</v>
      </c>
      <c r="L4" s="31">
        <v>0</v>
      </c>
      <c r="M4" s="32">
        <v>1</v>
      </c>
      <c r="N4" s="33"/>
      <c r="O4" s="34">
        <f t="shared" si="2"/>
        <v>88</v>
      </c>
    </row>
    <row r="5" spans="1:15" ht="16.5" x14ac:dyDescent="0.3">
      <c r="A5" s="2">
        <v>43224</v>
      </c>
      <c r="B5" s="55">
        <f t="shared" si="0"/>
        <v>61</v>
      </c>
      <c r="C5" s="27">
        <v>28</v>
      </c>
      <c r="D5" s="27">
        <v>20</v>
      </c>
      <c r="E5" s="27">
        <v>13</v>
      </c>
      <c r="F5" s="13">
        <f t="shared" si="1"/>
        <v>6</v>
      </c>
      <c r="G5" s="27">
        <v>1</v>
      </c>
      <c r="H5" s="27">
        <v>5</v>
      </c>
      <c r="I5" s="27">
        <v>0</v>
      </c>
      <c r="J5" s="29">
        <v>12</v>
      </c>
      <c r="K5" s="30">
        <v>7</v>
      </c>
      <c r="L5" s="31">
        <v>0</v>
      </c>
      <c r="M5" s="32">
        <v>0</v>
      </c>
      <c r="N5" s="33"/>
      <c r="O5" s="34">
        <f t="shared" si="2"/>
        <v>86</v>
      </c>
    </row>
    <row r="6" spans="1:15" ht="16.5" x14ac:dyDescent="0.3">
      <c r="A6" s="2">
        <v>43225</v>
      </c>
      <c r="B6" s="55">
        <f t="shared" si="0"/>
        <v>8</v>
      </c>
      <c r="C6" s="27">
        <v>6</v>
      </c>
      <c r="D6" s="27">
        <v>2</v>
      </c>
      <c r="E6" s="27">
        <v>0</v>
      </c>
      <c r="F6" s="13">
        <f t="shared" si="1"/>
        <v>1</v>
      </c>
      <c r="G6" s="27">
        <v>1</v>
      </c>
      <c r="H6" s="27">
        <v>0</v>
      </c>
      <c r="I6" s="27">
        <v>0</v>
      </c>
      <c r="J6" s="29">
        <v>0</v>
      </c>
      <c r="K6" s="30">
        <v>0</v>
      </c>
      <c r="L6" s="31">
        <v>0</v>
      </c>
      <c r="M6" s="32">
        <v>0</v>
      </c>
      <c r="N6" s="33"/>
      <c r="O6" s="34">
        <f t="shared" si="2"/>
        <v>9</v>
      </c>
    </row>
    <row r="7" spans="1:15" ht="16.5" x14ac:dyDescent="0.3">
      <c r="A7" s="2">
        <v>43226</v>
      </c>
      <c r="B7" s="55">
        <f t="shared" si="0"/>
        <v>0</v>
      </c>
      <c r="C7" s="27">
        <v>0</v>
      </c>
      <c r="D7" s="27">
        <v>0</v>
      </c>
      <c r="E7" s="27">
        <v>0</v>
      </c>
      <c r="F7" s="13">
        <f t="shared" si="1"/>
        <v>0</v>
      </c>
      <c r="G7" s="27">
        <v>0</v>
      </c>
      <c r="H7" s="27">
        <v>0</v>
      </c>
      <c r="I7" s="27">
        <v>0</v>
      </c>
      <c r="J7" s="29">
        <v>0</v>
      </c>
      <c r="K7" s="30">
        <v>0</v>
      </c>
      <c r="L7" s="31">
        <v>0</v>
      </c>
      <c r="M7" s="32">
        <v>0</v>
      </c>
      <c r="N7" s="33"/>
      <c r="O7" s="34">
        <f t="shared" si="2"/>
        <v>0</v>
      </c>
    </row>
    <row r="8" spans="1:15" ht="16.5" x14ac:dyDescent="0.3">
      <c r="A8" s="2">
        <v>43227</v>
      </c>
      <c r="B8" s="55">
        <f t="shared" si="0"/>
        <v>47</v>
      </c>
      <c r="C8" s="27">
        <v>19</v>
      </c>
      <c r="D8" s="27">
        <v>19</v>
      </c>
      <c r="E8" s="27">
        <v>9</v>
      </c>
      <c r="F8" s="13">
        <f t="shared" si="1"/>
        <v>2</v>
      </c>
      <c r="G8" s="27">
        <v>1</v>
      </c>
      <c r="H8" s="27">
        <v>1</v>
      </c>
      <c r="I8" s="27">
        <v>0</v>
      </c>
      <c r="J8" s="29">
        <v>15</v>
      </c>
      <c r="K8" s="30">
        <v>0</v>
      </c>
      <c r="L8" s="31">
        <v>2</v>
      </c>
      <c r="M8" s="32">
        <v>0</v>
      </c>
      <c r="N8" s="33"/>
      <c r="O8" s="34">
        <f t="shared" si="2"/>
        <v>66</v>
      </c>
    </row>
    <row r="9" spans="1:15" ht="16.5" x14ac:dyDescent="0.3">
      <c r="A9" s="2">
        <v>43228</v>
      </c>
      <c r="B9" s="55">
        <f t="shared" si="0"/>
        <v>0</v>
      </c>
      <c r="C9" s="27">
        <v>0</v>
      </c>
      <c r="D9" s="27">
        <v>0</v>
      </c>
      <c r="E9" s="27">
        <v>0</v>
      </c>
      <c r="F9" s="13">
        <f t="shared" si="1"/>
        <v>0</v>
      </c>
      <c r="G9" s="27">
        <v>0</v>
      </c>
      <c r="H9" s="27">
        <v>0</v>
      </c>
      <c r="I9" s="27">
        <v>0</v>
      </c>
      <c r="J9" s="29">
        <v>0</v>
      </c>
      <c r="K9" s="30">
        <v>0</v>
      </c>
      <c r="L9" s="31">
        <v>0</v>
      </c>
      <c r="M9" s="32">
        <v>0</v>
      </c>
      <c r="N9" s="33"/>
      <c r="O9" s="34">
        <f t="shared" si="2"/>
        <v>0</v>
      </c>
    </row>
    <row r="10" spans="1:15" ht="16.5" x14ac:dyDescent="0.3">
      <c r="A10" s="2">
        <v>43229</v>
      </c>
      <c r="B10" s="55">
        <f t="shared" si="0"/>
        <v>48</v>
      </c>
      <c r="C10" s="27">
        <v>29</v>
      </c>
      <c r="D10" s="27">
        <v>11</v>
      </c>
      <c r="E10" s="27">
        <v>8</v>
      </c>
      <c r="F10" s="13">
        <f t="shared" si="1"/>
        <v>5</v>
      </c>
      <c r="G10" s="27">
        <v>1</v>
      </c>
      <c r="H10" s="27">
        <v>4</v>
      </c>
      <c r="I10" s="27">
        <v>0</v>
      </c>
      <c r="J10" s="29">
        <v>13</v>
      </c>
      <c r="K10" s="30">
        <v>1</v>
      </c>
      <c r="L10" s="31">
        <v>1</v>
      </c>
      <c r="M10" s="32">
        <v>1</v>
      </c>
      <c r="N10" s="33"/>
      <c r="O10" s="34">
        <f t="shared" si="2"/>
        <v>69</v>
      </c>
    </row>
    <row r="11" spans="1:15" ht="16.5" x14ac:dyDescent="0.3">
      <c r="A11" s="2">
        <v>43230</v>
      </c>
      <c r="B11" s="55">
        <f t="shared" ca="1" si="0"/>
        <v>0</v>
      </c>
      <c r="C11" s="27">
        <f ca="1">GetFileList("P:\TP et Raccodement\FICHES CREES RACCORDEMENT\1 - RACCOS A SAISIR DANS AX\10-05-2018\*LM RACCO*.pdf")</f>
        <v>0</v>
      </c>
      <c r="D11" s="27">
        <v>0</v>
      </c>
      <c r="E11" s="27">
        <v>0</v>
      </c>
      <c r="F11" s="13">
        <f t="shared" si="1"/>
        <v>0</v>
      </c>
      <c r="G11" s="27">
        <v>0</v>
      </c>
      <c r="H11" s="27">
        <v>0</v>
      </c>
      <c r="I11" s="27">
        <v>0</v>
      </c>
      <c r="J11" s="29">
        <v>0</v>
      </c>
      <c r="K11" s="30">
        <v>0</v>
      </c>
      <c r="L11" s="31">
        <v>0</v>
      </c>
      <c r="M11" s="32">
        <v>0</v>
      </c>
      <c r="N11" s="33"/>
      <c r="O11" s="34">
        <f t="shared" ca="1" si="2"/>
        <v>0</v>
      </c>
    </row>
    <row r="12" spans="1:15" ht="16.5" x14ac:dyDescent="0.3">
      <c r="A12" s="2">
        <v>43231</v>
      </c>
      <c r="B12" s="55">
        <f t="shared" si="0"/>
        <v>39</v>
      </c>
      <c r="C12" s="27">
        <v>20</v>
      </c>
      <c r="D12" s="27">
        <v>16</v>
      </c>
      <c r="E12" s="27">
        <v>3</v>
      </c>
      <c r="F12" s="13">
        <f t="shared" si="1"/>
        <v>4</v>
      </c>
      <c r="G12" s="27">
        <v>2</v>
      </c>
      <c r="H12" s="27">
        <v>2</v>
      </c>
      <c r="I12" s="27">
        <v>0</v>
      </c>
      <c r="J12" s="29">
        <v>6</v>
      </c>
      <c r="K12" s="30">
        <v>1</v>
      </c>
      <c r="L12" s="31">
        <v>0</v>
      </c>
      <c r="M12" s="32">
        <v>2</v>
      </c>
      <c r="N12" s="33"/>
      <c r="O12" s="34">
        <f t="shared" si="2"/>
        <v>52</v>
      </c>
    </row>
    <row r="13" spans="1:15" ht="16.5" x14ac:dyDescent="0.3">
      <c r="A13" s="2">
        <v>43232</v>
      </c>
      <c r="B13" s="55">
        <f t="shared" si="0"/>
        <v>3</v>
      </c>
      <c r="C13" s="27">
        <v>3</v>
      </c>
      <c r="D13" s="27">
        <v>0</v>
      </c>
      <c r="E13" s="27">
        <v>0</v>
      </c>
      <c r="F13" s="13">
        <f t="shared" si="1"/>
        <v>0</v>
      </c>
      <c r="G13" s="27">
        <v>0</v>
      </c>
      <c r="H13" s="27">
        <v>0</v>
      </c>
      <c r="I13" s="27">
        <v>0</v>
      </c>
      <c r="J13" s="29">
        <v>1</v>
      </c>
      <c r="K13" s="30">
        <v>1</v>
      </c>
      <c r="L13" s="31">
        <v>0</v>
      </c>
      <c r="M13" s="32">
        <v>0</v>
      </c>
      <c r="N13" s="33"/>
      <c r="O13" s="34">
        <f t="shared" si="2"/>
        <v>5</v>
      </c>
    </row>
    <row r="14" spans="1:15" ht="16.5" x14ac:dyDescent="0.3">
      <c r="A14" s="2">
        <v>43233</v>
      </c>
      <c r="B14" s="55">
        <f t="shared" si="0"/>
        <v>0</v>
      </c>
      <c r="C14" s="27">
        <v>0</v>
      </c>
      <c r="D14" s="27">
        <v>0</v>
      </c>
      <c r="E14" s="27">
        <v>0</v>
      </c>
      <c r="F14" s="13">
        <f t="shared" si="1"/>
        <v>0</v>
      </c>
      <c r="G14" s="27">
        <v>0</v>
      </c>
      <c r="H14" s="27">
        <v>0</v>
      </c>
      <c r="I14" s="27">
        <v>0</v>
      </c>
      <c r="J14" s="29">
        <v>0</v>
      </c>
      <c r="K14" s="30">
        <v>0</v>
      </c>
      <c r="L14" s="31">
        <v>0</v>
      </c>
      <c r="M14" s="32">
        <v>0</v>
      </c>
      <c r="N14" s="33"/>
      <c r="O14" s="34">
        <f t="shared" si="2"/>
        <v>0</v>
      </c>
    </row>
    <row r="15" spans="1:15" ht="16.5" x14ac:dyDescent="0.3">
      <c r="A15" s="2">
        <v>43234</v>
      </c>
      <c r="B15" s="55">
        <f t="shared" si="0"/>
        <v>60</v>
      </c>
      <c r="C15" s="27">
        <v>24</v>
      </c>
      <c r="D15" s="27">
        <v>20</v>
      </c>
      <c r="E15" s="27">
        <v>16</v>
      </c>
      <c r="F15" s="13">
        <f t="shared" si="1"/>
        <v>6</v>
      </c>
      <c r="G15" s="27">
        <v>1</v>
      </c>
      <c r="H15" s="27">
        <v>5</v>
      </c>
      <c r="I15" s="27">
        <v>0</v>
      </c>
      <c r="J15" s="29">
        <v>11</v>
      </c>
      <c r="K15" s="30">
        <v>3</v>
      </c>
      <c r="L15" s="31">
        <v>0</v>
      </c>
      <c r="M15" s="32">
        <v>3</v>
      </c>
      <c r="N15" s="33"/>
      <c r="O15" s="34">
        <f t="shared" si="2"/>
        <v>83</v>
      </c>
    </row>
    <row r="16" spans="1:15" ht="16.5" x14ac:dyDescent="0.3">
      <c r="A16" s="2">
        <v>43235</v>
      </c>
      <c r="B16" s="55">
        <f t="shared" si="0"/>
        <v>47</v>
      </c>
      <c r="C16" s="27">
        <v>16</v>
      </c>
      <c r="D16" s="27">
        <v>17</v>
      </c>
      <c r="E16" s="27">
        <v>14</v>
      </c>
      <c r="F16" s="13">
        <f t="shared" si="1"/>
        <v>8</v>
      </c>
      <c r="G16" s="27">
        <v>6</v>
      </c>
      <c r="H16" s="27">
        <v>2</v>
      </c>
      <c r="I16" s="27">
        <v>0</v>
      </c>
      <c r="J16" s="29">
        <v>10</v>
      </c>
      <c r="K16" s="30">
        <v>7</v>
      </c>
      <c r="L16" s="31">
        <v>0</v>
      </c>
      <c r="M16" s="32">
        <v>1</v>
      </c>
      <c r="N16" s="33"/>
      <c r="O16" s="34">
        <f t="shared" si="2"/>
        <v>73</v>
      </c>
    </row>
    <row r="17" spans="1:15" ht="16.5" x14ac:dyDescent="0.3">
      <c r="A17" s="2">
        <v>43236</v>
      </c>
      <c r="B17" s="55">
        <f t="shared" si="0"/>
        <v>62</v>
      </c>
      <c r="C17" s="27">
        <v>31</v>
      </c>
      <c r="D17" s="27">
        <v>22</v>
      </c>
      <c r="E17" s="27">
        <v>9</v>
      </c>
      <c r="F17" s="13">
        <f t="shared" si="1"/>
        <v>9</v>
      </c>
      <c r="G17" s="27">
        <v>4</v>
      </c>
      <c r="H17" s="27">
        <v>5</v>
      </c>
      <c r="I17" s="27">
        <v>0</v>
      </c>
      <c r="J17" s="29">
        <v>13</v>
      </c>
      <c r="K17" s="30">
        <v>5</v>
      </c>
      <c r="L17" s="31">
        <v>1</v>
      </c>
      <c r="M17" s="32">
        <v>1</v>
      </c>
      <c r="N17" s="33"/>
      <c r="O17" s="34">
        <f t="shared" si="2"/>
        <v>91</v>
      </c>
    </row>
    <row r="18" spans="1:15" ht="16.5" x14ac:dyDescent="0.3">
      <c r="A18" s="2">
        <v>43237</v>
      </c>
      <c r="B18" s="55">
        <f t="shared" si="0"/>
        <v>55</v>
      </c>
      <c r="C18" s="27">
        <v>23</v>
      </c>
      <c r="D18" s="27">
        <v>19</v>
      </c>
      <c r="E18" s="27">
        <v>13</v>
      </c>
      <c r="F18" s="13">
        <f t="shared" si="1"/>
        <v>10</v>
      </c>
      <c r="G18" s="27">
        <v>4</v>
      </c>
      <c r="H18" s="27">
        <v>6</v>
      </c>
      <c r="I18" s="27">
        <v>0</v>
      </c>
      <c r="J18" s="29">
        <v>15</v>
      </c>
      <c r="K18" s="30">
        <v>2</v>
      </c>
      <c r="L18" s="31">
        <v>0</v>
      </c>
      <c r="M18" s="32">
        <v>1</v>
      </c>
      <c r="N18" s="33"/>
      <c r="O18" s="34">
        <f t="shared" si="2"/>
        <v>83</v>
      </c>
    </row>
    <row r="19" spans="1:15" ht="16.5" x14ac:dyDescent="0.3">
      <c r="A19" s="2">
        <v>43238</v>
      </c>
      <c r="B19" s="55">
        <f t="shared" si="0"/>
        <v>65</v>
      </c>
      <c r="C19" s="27">
        <v>26</v>
      </c>
      <c r="D19" s="27">
        <v>25</v>
      </c>
      <c r="E19" s="27">
        <v>14</v>
      </c>
      <c r="F19" s="13">
        <f t="shared" si="1"/>
        <v>3</v>
      </c>
      <c r="G19" s="27">
        <v>0</v>
      </c>
      <c r="H19" s="27">
        <v>3</v>
      </c>
      <c r="I19" s="27">
        <v>0</v>
      </c>
      <c r="J19" s="29">
        <v>11</v>
      </c>
      <c r="K19" s="30">
        <v>6</v>
      </c>
      <c r="L19" s="31">
        <v>0</v>
      </c>
      <c r="M19" s="32">
        <v>1</v>
      </c>
      <c r="N19" s="33"/>
      <c r="O19" s="34">
        <f t="shared" si="2"/>
        <v>86</v>
      </c>
    </row>
    <row r="20" spans="1:15" ht="16.5" x14ac:dyDescent="0.3">
      <c r="A20" s="2">
        <v>43239</v>
      </c>
      <c r="B20" s="55">
        <f t="shared" si="0"/>
        <v>3</v>
      </c>
      <c r="C20" s="27">
        <v>3</v>
      </c>
      <c r="D20" s="27">
        <v>0</v>
      </c>
      <c r="E20" s="27">
        <v>0</v>
      </c>
      <c r="F20" s="13">
        <f t="shared" si="1"/>
        <v>0</v>
      </c>
      <c r="G20" s="27">
        <v>0</v>
      </c>
      <c r="H20" s="27">
        <v>0</v>
      </c>
      <c r="I20" s="27">
        <v>0</v>
      </c>
      <c r="J20" s="29">
        <v>2</v>
      </c>
      <c r="K20" s="30">
        <v>1</v>
      </c>
      <c r="L20" s="31">
        <v>0</v>
      </c>
      <c r="M20" s="32">
        <v>0</v>
      </c>
      <c r="N20" s="33"/>
      <c r="O20" s="34">
        <f t="shared" si="2"/>
        <v>6</v>
      </c>
    </row>
    <row r="21" spans="1:15" ht="16.5" x14ac:dyDescent="0.3">
      <c r="A21" s="2">
        <v>43240</v>
      </c>
      <c r="B21" s="55">
        <f t="shared" si="0"/>
        <v>0</v>
      </c>
      <c r="C21" s="27">
        <v>0</v>
      </c>
      <c r="D21" s="27">
        <v>0</v>
      </c>
      <c r="E21" s="27">
        <v>0</v>
      </c>
      <c r="F21" s="13">
        <f t="shared" si="1"/>
        <v>0</v>
      </c>
      <c r="G21" s="27">
        <v>0</v>
      </c>
      <c r="H21" s="27">
        <v>0</v>
      </c>
      <c r="I21" s="27">
        <v>0</v>
      </c>
      <c r="J21" s="29">
        <v>0</v>
      </c>
      <c r="K21" s="30">
        <v>0</v>
      </c>
      <c r="L21" s="31">
        <v>0</v>
      </c>
      <c r="M21" s="32">
        <v>0</v>
      </c>
      <c r="N21" s="33"/>
      <c r="O21" s="34">
        <f t="shared" si="2"/>
        <v>0</v>
      </c>
    </row>
    <row r="22" spans="1:15" ht="16.5" x14ac:dyDescent="0.3">
      <c r="A22" s="2">
        <v>43241</v>
      </c>
      <c r="B22" s="55">
        <f t="shared" si="0"/>
        <v>0</v>
      </c>
      <c r="C22" s="27">
        <v>0</v>
      </c>
      <c r="D22" s="27">
        <v>0</v>
      </c>
      <c r="E22" s="27">
        <v>0</v>
      </c>
      <c r="F22" s="13">
        <f t="shared" si="1"/>
        <v>0</v>
      </c>
      <c r="G22" s="27">
        <v>0</v>
      </c>
      <c r="H22" s="27">
        <v>0</v>
      </c>
      <c r="I22" s="27">
        <v>0</v>
      </c>
      <c r="J22" s="29">
        <v>0</v>
      </c>
      <c r="K22" s="30">
        <v>0</v>
      </c>
      <c r="L22" s="31">
        <v>0</v>
      </c>
      <c r="M22" s="32">
        <v>0</v>
      </c>
      <c r="N22" s="33"/>
      <c r="O22" s="34">
        <f t="shared" si="2"/>
        <v>0</v>
      </c>
    </row>
    <row r="23" spans="1:15" ht="16.5" x14ac:dyDescent="0.3">
      <c r="A23" s="2">
        <v>43242</v>
      </c>
      <c r="B23" s="55">
        <f t="shared" si="0"/>
        <v>46</v>
      </c>
      <c r="C23" s="27">
        <v>19</v>
      </c>
      <c r="D23" s="27">
        <v>19</v>
      </c>
      <c r="E23" s="27">
        <v>8</v>
      </c>
      <c r="F23" s="13">
        <f t="shared" si="1"/>
        <v>8</v>
      </c>
      <c r="G23" s="27">
        <v>4</v>
      </c>
      <c r="H23" s="27">
        <v>4</v>
      </c>
      <c r="I23" s="27">
        <v>0</v>
      </c>
      <c r="J23" s="29">
        <v>11</v>
      </c>
      <c r="K23" s="30">
        <v>6</v>
      </c>
      <c r="L23" s="31">
        <v>0</v>
      </c>
      <c r="M23" s="32">
        <v>3</v>
      </c>
      <c r="N23" s="33"/>
      <c r="O23" s="34">
        <f t="shared" si="2"/>
        <v>74</v>
      </c>
    </row>
    <row r="24" spans="1:15" ht="16.5" x14ac:dyDescent="0.3">
      <c r="A24" s="2">
        <v>43243</v>
      </c>
      <c r="B24" s="55">
        <f t="shared" si="0"/>
        <v>58</v>
      </c>
      <c r="C24" s="27">
        <v>21</v>
      </c>
      <c r="D24" s="27">
        <v>20</v>
      </c>
      <c r="E24" s="27">
        <v>17</v>
      </c>
      <c r="F24" s="13">
        <f t="shared" si="1"/>
        <v>5</v>
      </c>
      <c r="G24" s="27">
        <v>2</v>
      </c>
      <c r="H24" s="27">
        <v>3</v>
      </c>
      <c r="I24" s="27">
        <v>0</v>
      </c>
      <c r="J24" s="29">
        <v>10</v>
      </c>
      <c r="K24" s="30">
        <v>4</v>
      </c>
      <c r="L24" s="31">
        <v>0</v>
      </c>
      <c r="M24" s="32">
        <v>2</v>
      </c>
      <c r="N24" s="33"/>
      <c r="O24" s="34">
        <f t="shared" si="2"/>
        <v>79</v>
      </c>
    </row>
    <row r="25" spans="1:15" ht="16.5" x14ac:dyDescent="0.3">
      <c r="A25" s="2">
        <v>43244</v>
      </c>
      <c r="B25" s="55">
        <f t="shared" si="0"/>
        <v>57</v>
      </c>
      <c r="C25" s="27">
        <v>18</v>
      </c>
      <c r="D25" s="27">
        <v>25</v>
      </c>
      <c r="E25" s="27">
        <v>14</v>
      </c>
      <c r="F25" s="13">
        <f t="shared" si="1"/>
        <v>7</v>
      </c>
      <c r="G25" s="27">
        <v>3</v>
      </c>
      <c r="H25" s="27">
        <v>4</v>
      </c>
      <c r="I25" s="27">
        <v>0</v>
      </c>
      <c r="J25" s="29">
        <v>13</v>
      </c>
      <c r="K25" s="30">
        <v>5</v>
      </c>
      <c r="L25" s="31">
        <v>0</v>
      </c>
      <c r="M25" s="32">
        <v>3</v>
      </c>
      <c r="N25" s="33"/>
      <c r="O25" s="34">
        <f t="shared" si="2"/>
        <v>85</v>
      </c>
    </row>
    <row r="26" spans="1:15" ht="16.5" x14ac:dyDescent="0.3">
      <c r="A26" s="2">
        <v>43245</v>
      </c>
      <c r="B26" s="55">
        <f t="shared" si="0"/>
        <v>50</v>
      </c>
      <c r="C26" s="27">
        <v>17</v>
      </c>
      <c r="D26" s="27">
        <v>21</v>
      </c>
      <c r="E26" s="27">
        <v>12</v>
      </c>
      <c r="F26" s="13">
        <f t="shared" si="1"/>
        <v>6</v>
      </c>
      <c r="G26" s="27">
        <v>4</v>
      </c>
      <c r="H26" s="27">
        <v>2</v>
      </c>
      <c r="I26" s="27">
        <v>0</v>
      </c>
      <c r="J26" s="29">
        <v>8</v>
      </c>
      <c r="K26" s="30">
        <v>3</v>
      </c>
      <c r="L26" s="31">
        <v>0</v>
      </c>
      <c r="M26" s="32">
        <v>2</v>
      </c>
      <c r="N26" s="33"/>
      <c r="O26" s="34">
        <f t="shared" si="2"/>
        <v>69</v>
      </c>
    </row>
    <row r="27" spans="1:15" ht="16.5" x14ac:dyDescent="0.3">
      <c r="A27" s="2">
        <v>43246</v>
      </c>
      <c r="B27" s="55">
        <f t="shared" si="0"/>
        <v>6</v>
      </c>
      <c r="C27" s="27">
        <v>6</v>
      </c>
      <c r="D27" s="27">
        <v>0</v>
      </c>
      <c r="E27" s="27">
        <v>0</v>
      </c>
      <c r="F27" s="13">
        <f t="shared" si="1"/>
        <v>0</v>
      </c>
      <c r="G27" s="27">
        <v>0</v>
      </c>
      <c r="H27" s="27">
        <v>0</v>
      </c>
      <c r="I27" s="27">
        <v>0</v>
      </c>
      <c r="J27" s="29">
        <v>1</v>
      </c>
      <c r="K27" s="30">
        <v>0</v>
      </c>
      <c r="L27" s="31">
        <v>0</v>
      </c>
      <c r="M27" s="32">
        <v>1</v>
      </c>
      <c r="N27" s="33"/>
      <c r="O27" s="34">
        <f t="shared" si="2"/>
        <v>8</v>
      </c>
    </row>
    <row r="28" spans="1:15" ht="16.5" x14ac:dyDescent="0.3">
      <c r="A28" s="2">
        <v>43247</v>
      </c>
      <c r="B28" s="55">
        <f t="shared" si="0"/>
        <v>0</v>
      </c>
      <c r="C28" s="27">
        <v>0</v>
      </c>
      <c r="D28" s="27">
        <v>0</v>
      </c>
      <c r="E28" s="27">
        <v>0</v>
      </c>
      <c r="F28" s="13">
        <f t="shared" si="1"/>
        <v>0</v>
      </c>
      <c r="G28" s="27">
        <v>0</v>
      </c>
      <c r="H28" s="27">
        <v>0</v>
      </c>
      <c r="I28" s="27">
        <v>0</v>
      </c>
      <c r="J28" s="29">
        <v>0</v>
      </c>
      <c r="K28" s="30">
        <v>0</v>
      </c>
      <c r="L28" s="31">
        <v>0</v>
      </c>
      <c r="M28" s="32">
        <v>0</v>
      </c>
      <c r="N28" s="33"/>
      <c r="O28" s="34">
        <f t="shared" si="2"/>
        <v>0</v>
      </c>
    </row>
    <row r="29" spans="1:15" ht="16.5" x14ac:dyDescent="0.3">
      <c r="A29" s="2">
        <v>43248</v>
      </c>
      <c r="B29" s="55">
        <f t="shared" si="0"/>
        <v>54</v>
      </c>
      <c r="C29" s="27">
        <v>23</v>
      </c>
      <c r="D29" s="27">
        <v>21</v>
      </c>
      <c r="E29" s="27">
        <v>10</v>
      </c>
      <c r="F29" s="13">
        <f t="shared" si="1"/>
        <v>7</v>
      </c>
      <c r="G29" s="27">
        <v>5</v>
      </c>
      <c r="H29" s="27">
        <v>2</v>
      </c>
      <c r="I29" s="27">
        <v>0</v>
      </c>
      <c r="J29" s="29">
        <v>14</v>
      </c>
      <c r="K29" s="30">
        <v>4</v>
      </c>
      <c r="L29" s="31">
        <v>0</v>
      </c>
      <c r="M29" s="32">
        <v>2</v>
      </c>
      <c r="N29" s="33"/>
      <c r="O29" s="34">
        <f t="shared" si="2"/>
        <v>81</v>
      </c>
    </row>
    <row r="30" spans="1:15" ht="16.5" x14ac:dyDescent="0.3">
      <c r="A30" s="2">
        <v>43249</v>
      </c>
      <c r="B30" s="55">
        <f t="shared" si="0"/>
        <v>46</v>
      </c>
      <c r="C30" s="27">
        <v>19</v>
      </c>
      <c r="D30" s="27">
        <v>15</v>
      </c>
      <c r="E30" s="27">
        <v>12</v>
      </c>
      <c r="F30" s="13">
        <f t="shared" si="1"/>
        <v>12</v>
      </c>
      <c r="G30" s="27">
        <v>7</v>
      </c>
      <c r="H30" s="27">
        <v>5</v>
      </c>
      <c r="I30" s="27">
        <v>0</v>
      </c>
      <c r="J30" s="29">
        <v>6</v>
      </c>
      <c r="K30" s="30">
        <v>3</v>
      </c>
      <c r="L30" s="31">
        <v>0</v>
      </c>
      <c r="M30" s="32">
        <v>1</v>
      </c>
      <c r="N30" s="33"/>
      <c r="O30" s="34">
        <f t="shared" si="2"/>
        <v>68</v>
      </c>
    </row>
    <row r="31" spans="1:15" ht="16.5" x14ac:dyDescent="0.3">
      <c r="A31" s="2">
        <v>43250</v>
      </c>
      <c r="B31" s="55">
        <f t="shared" si="0"/>
        <v>54</v>
      </c>
      <c r="C31" s="27">
        <v>20</v>
      </c>
      <c r="D31" s="27">
        <v>19</v>
      </c>
      <c r="E31" s="27">
        <v>15</v>
      </c>
      <c r="F31" s="13">
        <f t="shared" si="1"/>
        <v>5</v>
      </c>
      <c r="G31" s="27">
        <v>4</v>
      </c>
      <c r="H31" s="27">
        <v>1</v>
      </c>
      <c r="I31" s="27">
        <v>0</v>
      </c>
      <c r="J31" s="29">
        <v>10</v>
      </c>
      <c r="K31" s="30">
        <v>8</v>
      </c>
      <c r="L31" s="31">
        <v>2</v>
      </c>
      <c r="M31" s="32">
        <v>1</v>
      </c>
      <c r="N31" s="33"/>
      <c r="O31" s="34">
        <f t="shared" si="2"/>
        <v>80</v>
      </c>
    </row>
    <row r="32" spans="1:15" ht="17.25" thickBot="1" x14ac:dyDescent="0.35">
      <c r="A32" s="2">
        <v>43251</v>
      </c>
      <c r="B32" s="56">
        <f t="shared" si="0"/>
        <v>54</v>
      </c>
      <c r="C32" s="27">
        <v>18</v>
      </c>
      <c r="D32" s="27">
        <v>21</v>
      </c>
      <c r="E32" s="27">
        <v>15</v>
      </c>
      <c r="F32" s="38">
        <f t="shared" si="1"/>
        <v>5</v>
      </c>
      <c r="G32" s="27">
        <v>3</v>
      </c>
      <c r="H32" s="27">
        <v>2</v>
      </c>
      <c r="I32" s="27">
        <v>0</v>
      </c>
      <c r="J32" s="29">
        <v>6</v>
      </c>
      <c r="K32" s="30">
        <v>5</v>
      </c>
      <c r="L32" s="31">
        <v>0</v>
      </c>
      <c r="M32" s="32">
        <v>1</v>
      </c>
      <c r="N32" s="33"/>
      <c r="O32" s="39">
        <f t="shared" si="2"/>
        <v>71</v>
      </c>
    </row>
    <row r="33" spans="1:15" ht="17.25" thickBot="1" x14ac:dyDescent="0.35">
      <c r="A33" s="26" t="s">
        <v>10</v>
      </c>
      <c r="B33" s="57">
        <f ca="1">SUM(B2:B32)</f>
        <v>1049</v>
      </c>
      <c r="C33" s="17">
        <f t="shared" ref="C33:D33" ca="1" si="3">SUM(C2:C32)</f>
        <v>447</v>
      </c>
      <c r="D33" s="17">
        <f t="shared" si="3"/>
        <v>372</v>
      </c>
      <c r="E33" s="17">
        <f>SUM(E2:E32)</f>
        <v>230</v>
      </c>
      <c r="F33" s="18">
        <f>SUM(F2:F32)</f>
        <v>130</v>
      </c>
      <c r="G33" s="18">
        <f t="shared" ref="G33:I33" si="4">SUM(G2:G32)</f>
        <v>63</v>
      </c>
      <c r="H33" s="18">
        <f t="shared" si="4"/>
        <v>67</v>
      </c>
      <c r="I33" s="18">
        <f t="shared" si="4"/>
        <v>0</v>
      </c>
      <c r="J33" s="11">
        <f>SUM(J2:J32)</f>
        <v>210</v>
      </c>
      <c r="K33" s="11">
        <f t="shared" ref="K33:M33" si="5">SUM(K2:K32)</f>
        <v>81</v>
      </c>
      <c r="L33" s="11">
        <f t="shared" si="5"/>
        <v>6</v>
      </c>
      <c r="M33" s="11">
        <f t="shared" si="5"/>
        <v>28</v>
      </c>
      <c r="N33" s="33"/>
      <c r="O33" s="40">
        <f ca="1">SUM(O2:O32)</f>
        <v>1504</v>
      </c>
    </row>
  </sheetData>
  <conditionalFormatting sqref="B2:B32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{1CB4D1AA-05A9-4069-94EA-0E22B1D1FECA}</x14:id>
        </ext>
      </extLst>
    </cfRule>
  </conditionalFormatting>
  <conditionalFormatting sqref="B3:B5 B8 B10 B12 B15:B19 B23:B26 B29:B32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B4D1AA-05A9-4069-94EA-0E22B1D1FEC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B2:B32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7030A0"/>
  </sheetPr>
  <dimension ref="A1:O32"/>
  <sheetViews>
    <sheetView showGridLines="0" showRowColHeaders="0" zoomScaleNormal="100" workbookViewId="0">
      <pane ySplit="1" topLeftCell="A2" activePane="bottomLeft" state="frozen"/>
      <selection pane="bottomLeft" activeCell="E22" sqref="E22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43252</v>
      </c>
      <c r="B2" s="55">
        <f>C2+D2+E2</f>
        <v>58</v>
      </c>
      <c r="C2" s="27">
        <v>26</v>
      </c>
      <c r="D2" s="27">
        <v>17</v>
      </c>
      <c r="E2" s="27">
        <v>15</v>
      </c>
      <c r="F2" s="13">
        <f>G2+H2+I2</f>
        <v>1</v>
      </c>
      <c r="G2" s="27">
        <v>1</v>
      </c>
      <c r="H2" s="27">
        <v>0</v>
      </c>
      <c r="I2" s="27">
        <v>0</v>
      </c>
      <c r="J2" s="29">
        <v>2</v>
      </c>
      <c r="K2" s="30">
        <v>7</v>
      </c>
      <c r="L2" s="31">
        <v>0</v>
      </c>
      <c r="M2" s="32">
        <v>1</v>
      </c>
      <c r="N2" s="33"/>
      <c r="O2" s="34">
        <f>B2+F2+J2+K2+L2+M2</f>
        <v>69</v>
      </c>
    </row>
    <row r="3" spans="1:15" ht="16.5" x14ac:dyDescent="0.3">
      <c r="A3" s="2">
        <v>43253</v>
      </c>
      <c r="B3" s="55">
        <f t="shared" ref="B3:B31" si="0">C3+D3+E3</f>
        <v>6</v>
      </c>
      <c r="C3" s="27">
        <v>6</v>
      </c>
      <c r="D3" s="27">
        <v>0</v>
      </c>
      <c r="E3" s="27">
        <v>0</v>
      </c>
      <c r="F3" s="13">
        <f t="shared" ref="F3:F31" si="1">G3+H3+I3</f>
        <v>0</v>
      </c>
      <c r="G3" s="27">
        <v>0</v>
      </c>
      <c r="H3" s="27">
        <v>0</v>
      </c>
      <c r="I3" s="27">
        <v>0</v>
      </c>
      <c r="J3" s="29">
        <v>0</v>
      </c>
      <c r="K3" s="30">
        <v>0</v>
      </c>
      <c r="L3" s="31">
        <v>0</v>
      </c>
      <c r="M3" s="32">
        <v>1</v>
      </c>
      <c r="N3" s="33"/>
      <c r="O3" s="34">
        <f t="shared" ref="O3:O31" si="2">B3+F3+J3+K3+L3+M3</f>
        <v>7</v>
      </c>
    </row>
    <row r="4" spans="1:15" ht="16.5" x14ac:dyDescent="0.3">
      <c r="A4" s="2">
        <v>43254</v>
      </c>
      <c r="B4" s="55">
        <f t="shared" si="0"/>
        <v>0</v>
      </c>
      <c r="C4" s="27">
        <v>0</v>
      </c>
      <c r="D4" s="27">
        <v>0</v>
      </c>
      <c r="E4" s="27">
        <v>0</v>
      </c>
      <c r="F4" s="13">
        <f t="shared" si="1"/>
        <v>0</v>
      </c>
      <c r="G4" s="27">
        <v>0</v>
      </c>
      <c r="H4" s="27">
        <v>0</v>
      </c>
      <c r="I4" s="27">
        <v>0</v>
      </c>
      <c r="J4" s="29">
        <v>0</v>
      </c>
      <c r="K4" s="30">
        <v>0</v>
      </c>
      <c r="L4" s="31">
        <v>0</v>
      </c>
      <c r="M4" s="32">
        <v>0</v>
      </c>
      <c r="N4" s="33"/>
      <c r="O4" s="34">
        <f t="shared" si="2"/>
        <v>0</v>
      </c>
    </row>
    <row r="5" spans="1:15" ht="16.5" x14ac:dyDescent="0.3">
      <c r="A5" s="2">
        <v>43255</v>
      </c>
      <c r="B5" s="55">
        <f t="shared" si="0"/>
        <v>73</v>
      </c>
      <c r="C5" s="27">
        <v>25</v>
      </c>
      <c r="D5" s="27">
        <v>37</v>
      </c>
      <c r="E5" s="27">
        <v>11</v>
      </c>
      <c r="F5" s="13">
        <f t="shared" si="1"/>
        <v>4</v>
      </c>
      <c r="G5" s="27">
        <v>2</v>
      </c>
      <c r="H5" s="27">
        <v>2</v>
      </c>
      <c r="I5" s="27">
        <v>0</v>
      </c>
      <c r="J5" s="29">
        <v>6</v>
      </c>
      <c r="K5" s="30">
        <v>7</v>
      </c>
      <c r="L5" s="31">
        <v>1</v>
      </c>
      <c r="M5" s="32">
        <v>1</v>
      </c>
      <c r="N5" s="33"/>
      <c r="O5" s="34">
        <f t="shared" si="2"/>
        <v>92</v>
      </c>
    </row>
    <row r="6" spans="1:15" ht="16.5" x14ac:dyDescent="0.3">
      <c r="A6" s="2">
        <v>43256</v>
      </c>
      <c r="B6" s="55">
        <f t="shared" si="0"/>
        <v>50</v>
      </c>
      <c r="C6" s="27">
        <v>22</v>
      </c>
      <c r="D6" s="27">
        <v>18</v>
      </c>
      <c r="E6" s="27">
        <v>10</v>
      </c>
      <c r="F6" s="13">
        <f t="shared" si="1"/>
        <v>13</v>
      </c>
      <c r="G6" s="27">
        <v>8</v>
      </c>
      <c r="H6" s="27">
        <v>5</v>
      </c>
      <c r="I6" s="27">
        <v>0</v>
      </c>
      <c r="J6" s="29">
        <v>6</v>
      </c>
      <c r="K6" s="30">
        <v>2</v>
      </c>
      <c r="L6" s="31">
        <v>1</v>
      </c>
      <c r="M6" s="32">
        <v>0</v>
      </c>
      <c r="N6" s="33"/>
      <c r="O6" s="34">
        <f t="shared" si="2"/>
        <v>72</v>
      </c>
    </row>
    <row r="7" spans="1:15" ht="16.5" x14ac:dyDescent="0.3">
      <c r="A7" s="2">
        <v>43257</v>
      </c>
      <c r="B7" s="55">
        <f t="shared" si="0"/>
        <v>60</v>
      </c>
      <c r="C7" s="27">
        <v>22</v>
      </c>
      <c r="D7" s="27">
        <v>23</v>
      </c>
      <c r="E7" s="27">
        <v>15</v>
      </c>
      <c r="F7" s="13">
        <f t="shared" si="1"/>
        <v>6</v>
      </c>
      <c r="G7" s="27">
        <v>2</v>
      </c>
      <c r="H7" s="27">
        <v>4</v>
      </c>
      <c r="I7" s="27">
        <v>0</v>
      </c>
      <c r="J7" s="29">
        <v>9</v>
      </c>
      <c r="K7" s="30">
        <v>7</v>
      </c>
      <c r="L7" s="31">
        <v>2</v>
      </c>
      <c r="M7" s="32">
        <v>1</v>
      </c>
      <c r="N7" s="33"/>
      <c r="O7" s="34">
        <f t="shared" si="2"/>
        <v>85</v>
      </c>
    </row>
    <row r="8" spans="1:15" ht="16.5" x14ac:dyDescent="0.3">
      <c r="A8" s="2">
        <v>43258</v>
      </c>
      <c r="B8" s="55">
        <f t="shared" si="0"/>
        <v>47</v>
      </c>
      <c r="C8" s="27">
        <v>12</v>
      </c>
      <c r="D8" s="27">
        <v>20</v>
      </c>
      <c r="E8" s="27">
        <v>15</v>
      </c>
      <c r="F8" s="13">
        <f t="shared" si="1"/>
        <v>10</v>
      </c>
      <c r="G8" s="27">
        <v>7</v>
      </c>
      <c r="H8" s="27">
        <v>2</v>
      </c>
      <c r="I8" s="27">
        <v>1</v>
      </c>
      <c r="J8" s="29">
        <v>8</v>
      </c>
      <c r="K8" s="30">
        <v>1</v>
      </c>
      <c r="L8" s="31">
        <v>0</v>
      </c>
      <c r="M8" s="32">
        <v>1</v>
      </c>
      <c r="N8" s="33"/>
      <c r="O8" s="34">
        <f t="shared" si="2"/>
        <v>67</v>
      </c>
    </row>
    <row r="9" spans="1:15" ht="16.5" x14ac:dyDescent="0.3">
      <c r="A9" s="2">
        <v>43259</v>
      </c>
      <c r="B9" s="55">
        <f t="shared" si="0"/>
        <v>51</v>
      </c>
      <c r="C9" s="27">
        <v>24</v>
      </c>
      <c r="D9" s="27">
        <v>15</v>
      </c>
      <c r="E9" s="27">
        <v>12</v>
      </c>
      <c r="F9" s="13">
        <f t="shared" si="1"/>
        <v>8</v>
      </c>
      <c r="G9" s="27">
        <v>6</v>
      </c>
      <c r="H9" s="27">
        <v>2</v>
      </c>
      <c r="I9" s="27">
        <v>0</v>
      </c>
      <c r="J9" s="29">
        <v>9</v>
      </c>
      <c r="K9" s="30">
        <v>3</v>
      </c>
      <c r="L9" s="31">
        <v>0</v>
      </c>
      <c r="M9" s="32">
        <v>1</v>
      </c>
      <c r="N9" s="33"/>
      <c r="O9" s="34">
        <f t="shared" si="2"/>
        <v>72</v>
      </c>
    </row>
    <row r="10" spans="1:15" ht="16.5" x14ac:dyDescent="0.3">
      <c r="A10" s="2">
        <v>43260</v>
      </c>
      <c r="B10" s="55">
        <f t="shared" si="0"/>
        <v>9</v>
      </c>
      <c r="C10" s="27">
        <v>8</v>
      </c>
      <c r="D10" s="27">
        <v>0</v>
      </c>
      <c r="E10" s="27">
        <v>1</v>
      </c>
      <c r="F10" s="13">
        <f t="shared" si="1"/>
        <v>0</v>
      </c>
      <c r="G10" s="27">
        <v>0</v>
      </c>
      <c r="H10" s="27">
        <v>0</v>
      </c>
      <c r="I10" s="27">
        <v>0</v>
      </c>
      <c r="J10" s="29">
        <v>1</v>
      </c>
      <c r="K10" s="30">
        <v>0</v>
      </c>
      <c r="L10" s="31">
        <v>0</v>
      </c>
      <c r="M10" s="32">
        <v>0</v>
      </c>
      <c r="N10" s="33"/>
      <c r="O10" s="34">
        <f t="shared" si="2"/>
        <v>10</v>
      </c>
    </row>
    <row r="11" spans="1:15" ht="16.5" x14ac:dyDescent="0.3">
      <c r="A11" s="2">
        <v>43261</v>
      </c>
      <c r="B11" s="55">
        <f t="shared" si="0"/>
        <v>0</v>
      </c>
      <c r="C11" s="27">
        <v>0</v>
      </c>
      <c r="D11" s="27">
        <v>0</v>
      </c>
      <c r="E11" s="27">
        <v>0</v>
      </c>
      <c r="F11" s="13">
        <f t="shared" si="1"/>
        <v>0</v>
      </c>
      <c r="G11" s="27">
        <v>0</v>
      </c>
      <c r="H11" s="27">
        <v>0</v>
      </c>
      <c r="I11" s="27">
        <v>0</v>
      </c>
      <c r="J11" s="29">
        <v>0</v>
      </c>
      <c r="K11" s="30">
        <v>0</v>
      </c>
      <c r="L11" s="31">
        <v>0</v>
      </c>
      <c r="M11" s="32">
        <v>0</v>
      </c>
      <c r="N11" s="33"/>
      <c r="O11" s="34">
        <f t="shared" si="2"/>
        <v>0</v>
      </c>
    </row>
    <row r="12" spans="1:15" ht="16.5" x14ac:dyDescent="0.3">
      <c r="A12" s="2">
        <v>43262</v>
      </c>
      <c r="B12" s="55">
        <f t="shared" si="0"/>
        <v>62</v>
      </c>
      <c r="C12" s="27">
        <v>23</v>
      </c>
      <c r="D12" s="27">
        <v>26</v>
      </c>
      <c r="E12" s="27">
        <v>13</v>
      </c>
      <c r="F12" s="13">
        <f t="shared" si="1"/>
        <v>11</v>
      </c>
      <c r="G12" s="27">
        <v>7</v>
      </c>
      <c r="H12" s="27">
        <v>4</v>
      </c>
      <c r="I12" s="27">
        <v>0</v>
      </c>
      <c r="J12" s="29">
        <v>6</v>
      </c>
      <c r="K12" s="30">
        <v>2</v>
      </c>
      <c r="L12" s="31">
        <v>1</v>
      </c>
      <c r="M12" s="32">
        <v>1</v>
      </c>
      <c r="N12" s="33"/>
      <c r="O12" s="34">
        <f t="shared" si="2"/>
        <v>83</v>
      </c>
    </row>
    <row r="13" spans="1:15" ht="16.5" x14ac:dyDescent="0.3">
      <c r="A13" s="2">
        <v>43263</v>
      </c>
      <c r="B13" s="55">
        <f t="shared" si="0"/>
        <v>50</v>
      </c>
      <c r="C13" s="27">
        <v>20</v>
      </c>
      <c r="D13" s="27">
        <v>22</v>
      </c>
      <c r="E13" s="27">
        <v>8</v>
      </c>
      <c r="F13" s="13">
        <f t="shared" si="1"/>
        <v>11</v>
      </c>
      <c r="G13" s="27">
        <v>4</v>
      </c>
      <c r="H13" s="27">
        <v>7</v>
      </c>
      <c r="I13" s="27">
        <v>0</v>
      </c>
      <c r="J13" s="29">
        <v>3</v>
      </c>
      <c r="K13" s="30">
        <v>3</v>
      </c>
      <c r="L13" s="31">
        <v>0</v>
      </c>
      <c r="M13" s="32">
        <v>1</v>
      </c>
      <c r="N13" s="33"/>
      <c r="O13" s="34">
        <f t="shared" si="2"/>
        <v>68</v>
      </c>
    </row>
    <row r="14" spans="1:15" ht="16.5" x14ac:dyDescent="0.3">
      <c r="A14" s="2">
        <v>43264</v>
      </c>
      <c r="B14" s="55">
        <f t="shared" si="0"/>
        <v>65</v>
      </c>
      <c r="C14" s="27">
        <v>24</v>
      </c>
      <c r="D14" s="27">
        <v>33</v>
      </c>
      <c r="E14" s="27">
        <v>8</v>
      </c>
      <c r="F14" s="13">
        <f t="shared" si="1"/>
        <v>2</v>
      </c>
      <c r="G14" s="27">
        <v>2</v>
      </c>
      <c r="H14" s="27">
        <v>0</v>
      </c>
      <c r="I14" s="27">
        <v>0</v>
      </c>
      <c r="J14" s="29">
        <v>10</v>
      </c>
      <c r="K14" s="30">
        <v>7</v>
      </c>
      <c r="L14" s="31">
        <v>0</v>
      </c>
      <c r="M14" s="32">
        <v>1</v>
      </c>
      <c r="N14" s="33"/>
      <c r="O14" s="34">
        <f t="shared" si="2"/>
        <v>85</v>
      </c>
    </row>
    <row r="15" spans="1:15" ht="16.5" x14ac:dyDescent="0.3">
      <c r="A15" s="2">
        <v>43265</v>
      </c>
      <c r="B15" s="55">
        <f t="shared" si="0"/>
        <v>46</v>
      </c>
      <c r="C15" s="27">
        <v>22</v>
      </c>
      <c r="D15" s="27">
        <v>17</v>
      </c>
      <c r="E15" s="27">
        <v>7</v>
      </c>
      <c r="F15" s="13">
        <f t="shared" si="1"/>
        <v>7</v>
      </c>
      <c r="G15" s="27">
        <v>3</v>
      </c>
      <c r="H15" s="27">
        <v>3</v>
      </c>
      <c r="I15" s="27">
        <v>1</v>
      </c>
      <c r="J15" s="29">
        <v>10</v>
      </c>
      <c r="K15" s="30">
        <v>10</v>
      </c>
      <c r="L15" s="31">
        <v>0</v>
      </c>
      <c r="M15" s="32">
        <v>2</v>
      </c>
      <c r="N15" s="33"/>
      <c r="O15" s="34">
        <f t="shared" si="2"/>
        <v>75</v>
      </c>
    </row>
    <row r="16" spans="1:15" ht="16.5" x14ac:dyDescent="0.3">
      <c r="A16" s="2">
        <v>43266</v>
      </c>
      <c r="B16" s="55">
        <f t="shared" si="0"/>
        <v>53</v>
      </c>
      <c r="C16" s="27">
        <v>20</v>
      </c>
      <c r="D16" s="27">
        <v>21</v>
      </c>
      <c r="E16" s="27">
        <v>12</v>
      </c>
      <c r="F16" s="13">
        <f t="shared" si="1"/>
        <v>8</v>
      </c>
      <c r="G16" s="27">
        <v>5</v>
      </c>
      <c r="H16" s="27">
        <v>3</v>
      </c>
      <c r="I16" s="27">
        <v>0</v>
      </c>
      <c r="J16" s="29">
        <v>5</v>
      </c>
      <c r="K16" s="30">
        <v>3</v>
      </c>
      <c r="L16" s="31">
        <v>0</v>
      </c>
      <c r="M16" s="32">
        <v>2</v>
      </c>
      <c r="N16" s="33"/>
      <c r="O16" s="34">
        <f t="shared" si="2"/>
        <v>71</v>
      </c>
    </row>
    <row r="17" spans="1:15" ht="16.5" x14ac:dyDescent="0.3">
      <c r="A17" s="2">
        <v>43267</v>
      </c>
      <c r="B17" s="55">
        <f t="shared" si="0"/>
        <v>5</v>
      </c>
      <c r="C17" s="27">
        <v>4</v>
      </c>
      <c r="D17" s="27">
        <v>1</v>
      </c>
      <c r="E17" s="27">
        <v>0</v>
      </c>
      <c r="F17" s="13">
        <f t="shared" si="1"/>
        <v>1</v>
      </c>
      <c r="G17" s="27">
        <v>1</v>
      </c>
      <c r="H17" s="27">
        <v>0</v>
      </c>
      <c r="I17" s="27">
        <v>0</v>
      </c>
      <c r="J17" s="29">
        <v>0</v>
      </c>
      <c r="K17" s="30">
        <v>1</v>
      </c>
      <c r="L17" s="31">
        <v>0</v>
      </c>
      <c r="M17" s="32">
        <v>0</v>
      </c>
      <c r="N17" s="33"/>
      <c r="O17" s="34">
        <f t="shared" si="2"/>
        <v>7</v>
      </c>
    </row>
    <row r="18" spans="1:15" ht="16.5" x14ac:dyDescent="0.3">
      <c r="A18" s="2">
        <v>43268</v>
      </c>
      <c r="B18" s="55">
        <f t="shared" si="0"/>
        <v>0</v>
      </c>
      <c r="C18" s="27">
        <v>0</v>
      </c>
      <c r="D18" s="27">
        <v>0</v>
      </c>
      <c r="E18" s="27">
        <v>0</v>
      </c>
      <c r="F18" s="13">
        <f t="shared" si="1"/>
        <v>0</v>
      </c>
      <c r="G18" s="27">
        <v>0</v>
      </c>
      <c r="H18" s="27">
        <v>0</v>
      </c>
      <c r="I18" s="27">
        <v>0</v>
      </c>
      <c r="J18" s="29">
        <v>0</v>
      </c>
      <c r="K18" s="30">
        <v>0</v>
      </c>
      <c r="L18" s="31">
        <v>0</v>
      </c>
      <c r="M18" s="32">
        <v>0</v>
      </c>
      <c r="N18" s="33"/>
      <c r="O18" s="34">
        <f t="shared" si="2"/>
        <v>0</v>
      </c>
    </row>
    <row r="19" spans="1:15" ht="16.5" x14ac:dyDescent="0.3">
      <c r="A19" s="2">
        <v>43269</v>
      </c>
      <c r="B19" s="55">
        <f t="shared" si="0"/>
        <v>71</v>
      </c>
      <c r="C19" s="27">
        <v>26</v>
      </c>
      <c r="D19" s="27">
        <v>29</v>
      </c>
      <c r="E19" s="27">
        <v>16</v>
      </c>
      <c r="F19" s="13">
        <f t="shared" si="1"/>
        <v>5</v>
      </c>
      <c r="G19" s="27">
        <v>2</v>
      </c>
      <c r="H19" s="27">
        <v>3</v>
      </c>
      <c r="I19" s="27">
        <v>0</v>
      </c>
      <c r="J19" s="29">
        <v>5</v>
      </c>
      <c r="K19" s="30">
        <v>8</v>
      </c>
      <c r="L19" s="31">
        <v>3</v>
      </c>
      <c r="M19" s="32">
        <v>2</v>
      </c>
      <c r="N19" s="33"/>
      <c r="O19" s="34">
        <f t="shared" si="2"/>
        <v>94</v>
      </c>
    </row>
    <row r="20" spans="1:15" ht="16.5" x14ac:dyDescent="0.3">
      <c r="A20" s="2">
        <v>43270</v>
      </c>
      <c r="B20" s="55">
        <f t="shared" si="0"/>
        <v>70</v>
      </c>
      <c r="C20" s="27">
        <v>21</v>
      </c>
      <c r="D20" s="27">
        <v>34</v>
      </c>
      <c r="E20" s="27">
        <v>15</v>
      </c>
      <c r="F20" s="13">
        <f t="shared" si="1"/>
        <v>6</v>
      </c>
      <c r="G20" s="27">
        <v>1</v>
      </c>
      <c r="H20" s="27">
        <v>5</v>
      </c>
      <c r="I20" s="27">
        <v>0</v>
      </c>
      <c r="J20" s="29">
        <v>5</v>
      </c>
      <c r="K20" s="30">
        <v>2</v>
      </c>
      <c r="L20" s="31">
        <v>1</v>
      </c>
      <c r="M20" s="32">
        <v>3</v>
      </c>
      <c r="N20" s="33"/>
      <c r="O20" s="34">
        <f t="shared" si="2"/>
        <v>87</v>
      </c>
    </row>
    <row r="21" spans="1:15" ht="16.5" x14ac:dyDescent="0.3">
      <c r="A21" s="2">
        <v>43271</v>
      </c>
      <c r="B21" s="55">
        <f t="shared" si="0"/>
        <v>65</v>
      </c>
      <c r="C21" s="27">
        <v>24</v>
      </c>
      <c r="D21" s="27">
        <v>25</v>
      </c>
      <c r="E21" s="27">
        <v>16</v>
      </c>
      <c r="F21" s="13">
        <f t="shared" si="1"/>
        <v>7</v>
      </c>
      <c r="G21" s="27">
        <v>4</v>
      </c>
      <c r="H21" s="27">
        <v>3</v>
      </c>
      <c r="I21" s="27">
        <v>0</v>
      </c>
      <c r="J21" s="29">
        <v>5</v>
      </c>
      <c r="K21" s="30">
        <v>8</v>
      </c>
      <c r="L21" s="31">
        <v>0</v>
      </c>
      <c r="M21" s="32">
        <v>2</v>
      </c>
      <c r="N21" s="33"/>
      <c r="O21" s="34">
        <f t="shared" si="2"/>
        <v>87</v>
      </c>
    </row>
    <row r="22" spans="1:15" ht="16.5" x14ac:dyDescent="0.3">
      <c r="A22" s="2">
        <v>43272</v>
      </c>
      <c r="B22" s="55">
        <f t="shared" si="0"/>
        <v>53</v>
      </c>
      <c r="C22" s="27">
        <v>19</v>
      </c>
      <c r="D22" s="27">
        <v>20</v>
      </c>
      <c r="E22" s="27">
        <v>14</v>
      </c>
      <c r="F22" s="13">
        <f t="shared" si="1"/>
        <v>12</v>
      </c>
      <c r="G22" s="27">
        <v>6</v>
      </c>
      <c r="H22" s="27">
        <v>6</v>
      </c>
      <c r="I22" s="27">
        <v>0</v>
      </c>
      <c r="J22" s="29">
        <v>5</v>
      </c>
      <c r="K22" s="30">
        <v>7</v>
      </c>
      <c r="L22" s="31">
        <v>0</v>
      </c>
      <c r="M22" s="32">
        <v>0</v>
      </c>
      <c r="N22" s="33"/>
      <c r="O22" s="34">
        <f t="shared" si="2"/>
        <v>77</v>
      </c>
    </row>
    <row r="23" spans="1:15" ht="16.5" x14ac:dyDescent="0.3">
      <c r="A23" s="2">
        <v>43273</v>
      </c>
      <c r="B23" s="55">
        <f t="shared" si="0"/>
        <v>59</v>
      </c>
      <c r="C23" s="27">
        <v>22</v>
      </c>
      <c r="D23" s="27">
        <v>21</v>
      </c>
      <c r="E23" s="27">
        <v>16</v>
      </c>
      <c r="F23" s="13">
        <f t="shared" si="1"/>
        <v>10</v>
      </c>
      <c r="G23" s="27">
        <v>3</v>
      </c>
      <c r="H23" s="27">
        <v>7</v>
      </c>
      <c r="I23" s="27">
        <v>0</v>
      </c>
      <c r="J23" s="29">
        <v>10</v>
      </c>
      <c r="K23" s="30">
        <v>2</v>
      </c>
      <c r="L23" s="31">
        <v>0</v>
      </c>
      <c r="M23" s="32">
        <v>1</v>
      </c>
      <c r="N23" s="33"/>
      <c r="O23" s="34">
        <f t="shared" si="2"/>
        <v>82</v>
      </c>
    </row>
    <row r="24" spans="1:15" ht="16.5" x14ac:dyDescent="0.3">
      <c r="A24" s="2">
        <v>43274</v>
      </c>
      <c r="B24" s="55">
        <f t="shared" si="0"/>
        <v>8</v>
      </c>
      <c r="C24" s="27">
        <v>6</v>
      </c>
      <c r="D24" s="27">
        <v>1</v>
      </c>
      <c r="E24" s="27">
        <v>1</v>
      </c>
      <c r="F24" s="13">
        <f t="shared" si="1"/>
        <v>2</v>
      </c>
      <c r="G24" s="27">
        <v>2</v>
      </c>
      <c r="H24" s="27">
        <v>0</v>
      </c>
      <c r="I24" s="27">
        <v>0</v>
      </c>
      <c r="J24" s="29">
        <v>0</v>
      </c>
      <c r="K24" s="30">
        <v>1</v>
      </c>
      <c r="L24" s="31">
        <v>0</v>
      </c>
      <c r="M24" s="32">
        <v>0</v>
      </c>
      <c r="N24" s="33"/>
      <c r="O24" s="34">
        <f t="shared" si="2"/>
        <v>11</v>
      </c>
    </row>
    <row r="25" spans="1:15" ht="16.5" x14ac:dyDescent="0.3">
      <c r="A25" s="2">
        <v>43275</v>
      </c>
      <c r="B25" s="55">
        <f t="shared" si="0"/>
        <v>0</v>
      </c>
      <c r="C25" s="27">
        <v>0</v>
      </c>
      <c r="D25" s="27">
        <v>0</v>
      </c>
      <c r="E25" s="27">
        <v>0</v>
      </c>
      <c r="F25" s="13">
        <f t="shared" si="1"/>
        <v>0</v>
      </c>
      <c r="G25" s="27">
        <v>0</v>
      </c>
      <c r="H25" s="27">
        <v>0</v>
      </c>
      <c r="I25" s="27">
        <v>0</v>
      </c>
      <c r="J25" s="29">
        <v>0</v>
      </c>
      <c r="K25" s="30">
        <v>0</v>
      </c>
      <c r="L25" s="31">
        <v>0</v>
      </c>
      <c r="M25" s="32">
        <v>0</v>
      </c>
      <c r="N25" s="33"/>
      <c r="O25" s="34">
        <f t="shared" si="2"/>
        <v>0</v>
      </c>
    </row>
    <row r="26" spans="1:15" ht="16.5" x14ac:dyDescent="0.3">
      <c r="A26" s="2">
        <v>43276</v>
      </c>
      <c r="B26" s="55">
        <f t="shared" si="0"/>
        <v>73</v>
      </c>
      <c r="C26" s="27">
        <v>28</v>
      </c>
      <c r="D26" s="27">
        <v>27</v>
      </c>
      <c r="E26" s="27">
        <v>18</v>
      </c>
      <c r="F26" s="13">
        <f t="shared" si="1"/>
        <v>6</v>
      </c>
      <c r="G26" s="27">
        <v>2</v>
      </c>
      <c r="H26" s="27">
        <v>4</v>
      </c>
      <c r="I26" s="27">
        <v>0</v>
      </c>
      <c r="J26" s="29">
        <v>10</v>
      </c>
      <c r="K26" s="30">
        <v>6</v>
      </c>
      <c r="L26" s="31">
        <v>0</v>
      </c>
      <c r="M26" s="32">
        <v>1</v>
      </c>
      <c r="N26" s="33"/>
      <c r="O26" s="34">
        <f t="shared" si="2"/>
        <v>96</v>
      </c>
    </row>
    <row r="27" spans="1:15" ht="16.5" x14ac:dyDescent="0.3">
      <c r="A27" s="2">
        <v>43277</v>
      </c>
      <c r="B27" s="55">
        <f t="shared" si="0"/>
        <v>62</v>
      </c>
      <c r="C27" s="27">
        <v>22</v>
      </c>
      <c r="D27" s="27">
        <v>25</v>
      </c>
      <c r="E27" s="27">
        <v>15</v>
      </c>
      <c r="F27" s="13">
        <f t="shared" si="1"/>
        <v>5</v>
      </c>
      <c r="G27" s="27">
        <v>3</v>
      </c>
      <c r="H27" s="27">
        <v>1</v>
      </c>
      <c r="I27" s="27">
        <v>1</v>
      </c>
      <c r="J27" s="29">
        <v>9</v>
      </c>
      <c r="K27" s="30">
        <v>3</v>
      </c>
      <c r="L27" s="31">
        <v>0</v>
      </c>
      <c r="M27" s="32">
        <v>1</v>
      </c>
      <c r="N27" s="33"/>
      <c r="O27" s="34">
        <f t="shared" si="2"/>
        <v>80</v>
      </c>
    </row>
    <row r="28" spans="1:15" ht="16.5" x14ac:dyDescent="0.3">
      <c r="A28" s="2">
        <v>43278</v>
      </c>
      <c r="B28" s="55">
        <f t="shared" si="0"/>
        <v>75</v>
      </c>
      <c r="C28" s="27">
        <v>26</v>
      </c>
      <c r="D28" s="27">
        <v>31</v>
      </c>
      <c r="E28" s="27">
        <v>18</v>
      </c>
      <c r="F28" s="13">
        <f t="shared" si="1"/>
        <v>10</v>
      </c>
      <c r="G28" s="27">
        <v>6</v>
      </c>
      <c r="H28" s="27">
        <v>4</v>
      </c>
      <c r="I28" s="27">
        <v>0</v>
      </c>
      <c r="J28" s="29">
        <v>8</v>
      </c>
      <c r="K28" s="30">
        <v>3</v>
      </c>
      <c r="L28" s="31">
        <v>1</v>
      </c>
      <c r="M28" s="32">
        <v>0</v>
      </c>
      <c r="N28" s="33"/>
      <c r="O28" s="34">
        <f t="shared" si="2"/>
        <v>97</v>
      </c>
    </row>
    <row r="29" spans="1:15" ht="16.5" x14ac:dyDescent="0.3">
      <c r="A29" s="2">
        <v>43279</v>
      </c>
      <c r="B29" s="55">
        <f t="shared" si="0"/>
        <v>54</v>
      </c>
      <c r="C29" s="27">
        <v>21</v>
      </c>
      <c r="D29" s="27">
        <v>18</v>
      </c>
      <c r="E29" s="27">
        <v>15</v>
      </c>
      <c r="F29" s="13">
        <f t="shared" si="1"/>
        <v>10</v>
      </c>
      <c r="G29" s="27">
        <v>7</v>
      </c>
      <c r="H29" s="27">
        <v>3</v>
      </c>
      <c r="I29" s="27">
        <v>0</v>
      </c>
      <c r="J29" s="29">
        <v>3</v>
      </c>
      <c r="K29" s="30">
        <v>5</v>
      </c>
      <c r="L29" s="31">
        <v>0</v>
      </c>
      <c r="M29" s="32">
        <v>2</v>
      </c>
      <c r="N29" s="33"/>
      <c r="O29" s="34">
        <f t="shared" si="2"/>
        <v>74</v>
      </c>
    </row>
    <row r="30" spans="1:15" ht="16.5" x14ac:dyDescent="0.3">
      <c r="A30" s="2">
        <v>43280</v>
      </c>
      <c r="B30" s="55">
        <f t="shared" si="0"/>
        <v>65</v>
      </c>
      <c r="C30" s="27">
        <v>29</v>
      </c>
      <c r="D30" s="27">
        <v>22</v>
      </c>
      <c r="E30" s="27">
        <v>14</v>
      </c>
      <c r="F30" s="13">
        <f t="shared" si="1"/>
        <v>8</v>
      </c>
      <c r="G30" s="27">
        <v>6</v>
      </c>
      <c r="H30" s="27">
        <v>2</v>
      </c>
      <c r="I30" s="27">
        <v>0</v>
      </c>
      <c r="J30" s="29">
        <v>8</v>
      </c>
      <c r="K30" s="30">
        <v>1</v>
      </c>
      <c r="L30" s="31">
        <v>1</v>
      </c>
      <c r="M30" s="32">
        <v>3</v>
      </c>
      <c r="N30" s="33"/>
      <c r="O30" s="34">
        <f t="shared" si="2"/>
        <v>86</v>
      </c>
    </row>
    <row r="31" spans="1:15" ht="17.25" thickBot="1" x14ac:dyDescent="0.35">
      <c r="A31" s="2">
        <v>43281</v>
      </c>
      <c r="B31" s="55">
        <f t="shared" si="0"/>
        <v>5</v>
      </c>
      <c r="C31" s="27">
        <v>2</v>
      </c>
      <c r="D31" s="27">
        <v>2</v>
      </c>
      <c r="E31" s="27">
        <v>1</v>
      </c>
      <c r="F31" s="13">
        <f t="shared" si="1"/>
        <v>2</v>
      </c>
      <c r="G31" s="27">
        <v>2</v>
      </c>
      <c r="H31" s="27">
        <v>0</v>
      </c>
      <c r="I31" s="27">
        <v>0</v>
      </c>
      <c r="J31" s="29">
        <v>0</v>
      </c>
      <c r="K31" s="30">
        <v>0</v>
      </c>
      <c r="L31" s="31">
        <v>0</v>
      </c>
      <c r="M31" s="32">
        <v>1</v>
      </c>
      <c r="N31" s="33"/>
      <c r="O31" s="34">
        <f t="shared" si="2"/>
        <v>8</v>
      </c>
    </row>
    <row r="32" spans="1:15" ht="17.25" thickBot="1" x14ac:dyDescent="0.35">
      <c r="A32" s="26" t="s">
        <v>10</v>
      </c>
      <c r="B32" s="57">
        <f t="shared" ref="B32:M32" si="3">SUM(B2:B31)</f>
        <v>1295</v>
      </c>
      <c r="C32" s="17">
        <f t="shared" si="3"/>
        <v>504</v>
      </c>
      <c r="D32" s="17">
        <f t="shared" si="3"/>
        <v>505</v>
      </c>
      <c r="E32" s="17">
        <f t="shared" si="3"/>
        <v>286</v>
      </c>
      <c r="F32" s="18">
        <f t="shared" si="3"/>
        <v>165</v>
      </c>
      <c r="G32" s="18">
        <f t="shared" si="3"/>
        <v>92</v>
      </c>
      <c r="H32" s="18">
        <f t="shared" si="3"/>
        <v>70</v>
      </c>
      <c r="I32" s="18">
        <f t="shared" si="3"/>
        <v>3</v>
      </c>
      <c r="J32" s="11">
        <f t="shared" si="3"/>
        <v>143</v>
      </c>
      <c r="K32" s="11">
        <f t="shared" si="3"/>
        <v>99</v>
      </c>
      <c r="L32" s="11">
        <f t="shared" si="3"/>
        <v>11</v>
      </c>
      <c r="M32" s="11">
        <f t="shared" si="3"/>
        <v>29</v>
      </c>
      <c r="N32" s="33"/>
      <c r="O32" s="40">
        <f>SUM(O2:O31)</f>
        <v>1742</v>
      </c>
    </row>
  </sheetData>
  <conditionalFormatting sqref="B2:B31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{991EAC2C-5379-4505-9B05-1D6EC8068088}</x14:id>
        </ext>
      </extLst>
    </cfRule>
  </conditionalFormatting>
  <conditionalFormatting sqref="B2 B5:B9 B12:B16 B19:B23 B26:B30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1EAC2C-5379-4505-9B05-1D6EC8068088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B2:B31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7030A0"/>
  </sheetPr>
  <dimension ref="A1:O33"/>
  <sheetViews>
    <sheetView showGridLines="0" showRowColHeaders="0" zoomScaleNormal="100" workbookViewId="0">
      <pane ySplit="1" topLeftCell="A6" activePane="bottomLeft" state="frozen"/>
      <selection pane="bottomLeft" activeCell="B28" sqref="B28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43282</v>
      </c>
      <c r="B2" s="55">
        <f ca="1">C2+D2+E2</f>
        <v>0</v>
      </c>
      <c r="C2" s="27">
        <f ca="1">GetFileList("P:\TP et Raccodement\FICHES CREES RACCORDEMENT\1 - RACCOS A SAISIR DANS AX\01-07-2018\*LM RACCO*.pdf")</f>
        <v>0</v>
      </c>
      <c r="D2" s="27">
        <f ca="1">GetFileList("P:\TP et Raccodement\FICHES CREES RACCORDEMENT\1 - RACCOS A SAISIR DANS AX\01-07-2018\*LR RACCO*.pdf")</f>
        <v>0</v>
      </c>
      <c r="E2" s="27">
        <f ca="1">GetFileList("P:\TP et Raccodement\FICHES CREES RACCORDEMENT\1 - RACCOS A SAISIR DANS AX\01-07-2018\*CL RACCO*.pdf")</f>
        <v>0</v>
      </c>
      <c r="F2" s="13">
        <f ca="1">G2+H2+I2</f>
        <v>0</v>
      </c>
      <c r="G2" s="27">
        <f ca="1">GetFileList("P:\TP et Raccodement\FICHES CREES RACCORDEMENT\2 - SAV + COMPL + PASSAGE W XV A SAISIR DANS AX\01-07-2018\*LM PASS*.pdf")</f>
        <v>0</v>
      </c>
      <c r="H2" s="27">
        <f ca="1">GetFileList("P:\TP et Raccodement\FICHES CREES RACCORDEMENT\2 - SAV + COMPL + PASSAGE W XV A SAISIR DANS AX\01-07-2018\*LR PASS*.pdf")</f>
        <v>0</v>
      </c>
      <c r="I2" s="27">
        <f ca="1">GetFileList("P:\TP et Raccodement\FICHES CREES RACCORDEMENT\2 - SAV + COMPL + PASSAGE W XV A SAISIR DANS AX\01-07-2018\*CL PASS*.pdf")</f>
        <v>0</v>
      </c>
      <c r="J2" s="29">
        <f ca="1">GetFileList("P:\TP et Raccodement\FICHES CREES RACCORDEMENT\2 - SAV + COMPL + PASSAGE W XV A SAISIR DANS AX\01-07-2018\*SAV*.pdf")</f>
        <v>0</v>
      </c>
      <c r="K2" s="30">
        <f ca="1">GetFileList("P:\TP et Raccodement\FICHES CREES RACCORDEMENT\2 - SAV + COMPL + PASSAGE W XV A SAISIR DANS AX\01-07-2018\*COMPLEMENT*.pdf")</f>
        <v>0</v>
      </c>
      <c r="L2" s="31">
        <f ca="1">GetFileList("P:\TP et Raccodement\FICHES CREES RACCORDEMENT\2 - SAV + COMPL + PASSAGE W XV A SAISIR DANS AX\01-07-2018\*REPRISE*.pdf")</f>
        <v>0</v>
      </c>
      <c r="M2" s="32">
        <f ca="1">GetFileList("P:\TP et Raccodement\FICHES CREES RACCORDEMENT\2 - SAV + COMPL + PASSAGE W XV A SAISIR DANS AX\01-07-2018\*REMONTAGE*.pdf")</f>
        <v>0</v>
      </c>
      <c r="N2" s="33"/>
      <c r="O2" s="34">
        <f ca="1">B2+F2+J2+K2+L2+M2</f>
        <v>0</v>
      </c>
    </row>
    <row r="3" spans="1:15" ht="16.5" x14ac:dyDescent="0.3">
      <c r="A3" s="2">
        <v>43283</v>
      </c>
      <c r="B3" s="55">
        <f t="shared" ref="B3:B32" si="0">C3+D3+E3</f>
        <v>60</v>
      </c>
      <c r="C3" s="27">
        <v>25</v>
      </c>
      <c r="D3" s="27">
        <v>24</v>
      </c>
      <c r="E3" s="27">
        <v>11</v>
      </c>
      <c r="F3" s="13">
        <f t="shared" ref="F3:F32" si="1">G3+H3+I3</f>
        <v>5</v>
      </c>
      <c r="G3" s="27">
        <v>3</v>
      </c>
      <c r="H3" s="27">
        <v>2</v>
      </c>
      <c r="I3" s="27">
        <v>0</v>
      </c>
      <c r="J3" s="29">
        <v>4</v>
      </c>
      <c r="K3" s="30">
        <v>3</v>
      </c>
      <c r="L3" s="31">
        <v>1</v>
      </c>
      <c r="M3" s="32">
        <v>3</v>
      </c>
      <c r="N3" s="33"/>
      <c r="O3" s="34">
        <f t="shared" ref="O3:O32" si="2">B3+F3+J3+K3+L3+M3</f>
        <v>76</v>
      </c>
    </row>
    <row r="4" spans="1:15" ht="16.5" x14ac:dyDescent="0.3">
      <c r="A4" s="2">
        <v>43284</v>
      </c>
      <c r="B4" s="55">
        <f t="shared" si="0"/>
        <v>61</v>
      </c>
      <c r="C4" s="27">
        <v>22</v>
      </c>
      <c r="D4" s="27">
        <v>22</v>
      </c>
      <c r="E4" s="27">
        <v>17</v>
      </c>
      <c r="F4" s="13">
        <f t="shared" si="1"/>
        <v>7</v>
      </c>
      <c r="G4" s="27">
        <v>3</v>
      </c>
      <c r="H4" s="27">
        <v>4</v>
      </c>
      <c r="I4" s="27">
        <v>0</v>
      </c>
      <c r="J4" s="29">
        <v>6</v>
      </c>
      <c r="K4" s="30">
        <v>7</v>
      </c>
      <c r="L4" s="31">
        <f ca="1">GetFileList("P:\TP et Raccodement\FICHES CREES RACCORDEMENT\2 - SAV + COMPL + PASSAGE W XV A SAISIR DANS AX\03-07-2018\*REPRISE*.pdf")</f>
        <v>0</v>
      </c>
      <c r="M4" s="32">
        <f ca="1">GetFileList("P:\TP et Raccodement\FICHES CREES RACCORDEMENT\2 - SAV + COMPL + PASSAGE W XV A SAISIR DANS AX\03-07-2018\*REMONTAGE*.pdf")</f>
        <v>0</v>
      </c>
      <c r="N4" s="33"/>
      <c r="O4" s="34">
        <f t="shared" ca="1" si="2"/>
        <v>81</v>
      </c>
    </row>
    <row r="5" spans="1:15" ht="16.5" x14ac:dyDescent="0.3">
      <c r="A5" s="2">
        <v>43285</v>
      </c>
      <c r="B5" s="55">
        <f t="shared" si="0"/>
        <v>76</v>
      </c>
      <c r="C5" s="27">
        <v>34</v>
      </c>
      <c r="D5" s="27">
        <v>27</v>
      </c>
      <c r="E5" s="27">
        <v>15</v>
      </c>
      <c r="F5" s="13">
        <f t="shared" si="1"/>
        <v>7</v>
      </c>
      <c r="G5" s="27">
        <v>5</v>
      </c>
      <c r="H5" s="27">
        <v>2</v>
      </c>
      <c r="I5" s="27">
        <v>0</v>
      </c>
      <c r="J5" s="29">
        <v>4</v>
      </c>
      <c r="K5" s="30">
        <v>4</v>
      </c>
      <c r="L5" s="31">
        <v>0</v>
      </c>
      <c r="M5" s="32">
        <v>2</v>
      </c>
      <c r="N5" s="33"/>
      <c r="O5" s="34">
        <f t="shared" si="2"/>
        <v>93</v>
      </c>
    </row>
    <row r="6" spans="1:15" ht="16.5" x14ac:dyDescent="0.3">
      <c r="A6" s="2">
        <v>43286</v>
      </c>
      <c r="B6" s="55">
        <f t="shared" si="0"/>
        <v>65</v>
      </c>
      <c r="C6" s="27">
        <v>22</v>
      </c>
      <c r="D6" s="27">
        <v>26</v>
      </c>
      <c r="E6" s="27">
        <v>17</v>
      </c>
      <c r="F6" s="13">
        <f t="shared" si="1"/>
        <v>9</v>
      </c>
      <c r="G6" s="27">
        <v>5</v>
      </c>
      <c r="H6" s="27">
        <v>4</v>
      </c>
      <c r="I6" s="27">
        <v>0</v>
      </c>
      <c r="J6" s="29">
        <v>4</v>
      </c>
      <c r="K6" s="30">
        <v>6</v>
      </c>
      <c r="L6" s="31">
        <v>0</v>
      </c>
      <c r="M6" s="32">
        <v>2</v>
      </c>
      <c r="N6" s="33"/>
      <c r="O6" s="34">
        <f t="shared" si="2"/>
        <v>86</v>
      </c>
    </row>
    <row r="7" spans="1:15" ht="16.5" x14ac:dyDescent="0.3">
      <c r="A7" s="2">
        <v>43287</v>
      </c>
      <c r="B7" s="55">
        <f t="shared" si="0"/>
        <v>71</v>
      </c>
      <c r="C7" s="27">
        <v>30</v>
      </c>
      <c r="D7" s="27">
        <v>23</v>
      </c>
      <c r="E7" s="27">
        <v>18</v>
      </c>
      <c r="F7" s="13">
        <f t="shared" si="1"/>
        <v>5</v>
      </c>
      <c r="G7" s="27">
        <v>1</v>
      </c>
      <c r="H7" s="27">
        <v>4</v>
      </c>
      <c r="I7" s="27">
        <v>0</v>
      </c>
      <c r="J7" s="29">
        <v>9</v>
      </c>
      <c r="K7" s="30">
        <v>6</v>
      </c>
      <c r="L7" s="31">
        <v>2</v>
      </c>
      <c r="M7" s="32">
        <v>2</v>
      </c>
      <c r="N7" s="33"/>
      <c r="O7" s="34">
        <f t="shared" si="2"/>
        <v>95</v>
      </c>
    </row>
    <row r="8" spans="1:15" ht="16.5" x14ac:dyDescent="0.3">
      <c r="A8" s="2">
        <v>43288</v>
      </c>
      <c r="B8" s="55">
        <f t="shared" si="0"/>
        <v>6</v>
      </c>
      <c r="C8" s="27">
        <v>6</v>
      </c>
      <c r="D8" s="27">
        <v>0</v>
      </c>
      <c r="E8" s="27">
        <v>0</v>
      </c>
      <c r="F8" s="13">
        <f t="shared" si="1"/>
        <v>0</v>
      </c>
      <c r="G8" s="27">
        <v>0</v>
      </c>
      <c r="H8" s="27">
        <v>0</v>
      </c>
      <c r="I8" s="27">
        <v>0</v>
      </c>
      <c r="J8" s="29">
        <v>0</v>
      </c>
      <c r="K8" s="30">
        <v>0</v>
      </c>
      <c r="L8" s="31">
        <v>0</v>
      </c>
      <c r="M8" s="32">
        <v>0</v>
      </c>
      <c r="N8" s="33"/>
      <c r="O8" s="34">
        <f t="shared" si="2"/>
        <v>6</v>
      </c>
    </row>
    <row r="9" spans="1:15" ht="16.5" x14ac:dyDescent="0.3">
      <c r="A9" s="2">
        <v>43289</v>
      </c>
      <c r="B9" s="55">
        <f t="shared" ca="1" si="0"/>
        <v>0</v>
      </c>
      <c r="C9" s="27">
        <f ca="1">GetFileList("P:\TP et Raccodement\FICHES CREES RACCORDEMENT\1 - RACCOS A SAISIR DANS AX\08-07-2018\*LM RACCO*.pdf")</f>
        <v>0</v>
      </c>
      <c r="D9" s="27">
        <f ca="1">GetFileList("P:\TP et Raccodement\FICHES CREES RACCORDEMENT\1 - RACCOS A SAISIR DANS AX\08-07-2018\*LR RACCO*.pdf")</f>
        <v>0</v>
      </c>
      <c r="E9" s="27">
        <f ca="1">GetFileList("P:\TP et Raccodement\FICHES CREES RACCORDEMENT\1 - RACCOS A SAISIR DANS AX\08-07-2018\*CL RACCO*.pdf")</f>
        <v>0</v>
      </c>
      <c r="F9" s="13">
        <f t="shared" ca="1" si="1"/>
        <v>0</v>
      </c>
      <c r="G9" s="27">
        <f ca="1">GetFileList("P:\TP et Raccodement\FICHES CREES RACCORDEMENT\2 - SAV + COMPL + PASSAGE W XV A SAISIR DANS AX\08-07-2018\*LM PASS*.pdf")</f>
        <v>0</v>
      </c>
      <c r="H9" s="27">
        <f ca="1">GetFileList("P:\TP et Raccodement\FICHES CREES RACCORDEMENT\2 - SAV + COMPL + PASSAGE W XV A SAISIR DANS AX\08-07-2018\*LR PASS*.pdf")</f>
        <v>0</v>
      </c>
      <c r="I9" s="27">
        <f ca="1">GetFileList("P:\TP et Raccodement\FICHES CREES RACCORDEMENT\2 - SAV + COMPL + PASSAGE W XV A SAISIR DANS AX\08-07-2018\*CL PASS*.pdf")</f>
        <v>0</v>
      </c>
      <c r="J9" s="29">
        <f ca="1">GetFileList("P:\TP et Raccodement\FICHES CREES RACCORDEMENT\2 - SAV + COMPL + PASSAGE W XV A SAISIR DANS AX\08-07-2018\*SAV*.pdf")</f>
        <v>0</v>
      </c>
      <c r="K9" s="30">
        <f ca="1">GetFileList("P:\TP et Raccodement\FICHES CREES RACCORDEMENT\2 - SAV + COMPL + PASSAGE W XV A SAISIR DANS AX\08-07-2018\*COMPLEMENT*.pdf")</f>
        <v>0</v>
      </c>
      <c r="L9" s="31">
        <f ca="1">GetFileList("P:\TP et Raccodement\FICHES CREES RACCORDEMENT\2 - SAV + COMPL + PASSAGE W XV A SAISIR DANS AX\08-07-2018\*REPRISE*.pdf")</f>
        <v>0</v>
      </c>
      <c r="M9" s="32">
        <f ca="1">GetFileList("P:\TP et Raccodement\FICHES CREES RACCORDEMENT\2 - SAV + COMPL + PASSAGE W XV A SAISIR DANS AX\08-07-2018\*REMONTAGE*.pdf")</f>
        <v>0</v>
      </c>
      <c r="N9" s="33"/>
      <c r="O9" s="34">
        <f t="shared" ca="1" si="2"/>
        <v>0</v>
      </c>
    </row>
    <row r="10" spans="1:15" ht="16.5" x14ac:dyDescent="0.3">
      <c r="A10" s="2">
        <v>43290</v>
      </c>
      <c r="B10" s="55">
        <f t="shared" si="0"/>
        <v>59</v>
      </c>
      <c r="C10" s="27">
        <v>26</v>
      </c>
      <c r="D10" s="27">
        <v>19</v>
      </c>
      <c r="E10" s="27">
        <v>14</v>
      </c>
      <c r="F10" s="13">
        <f t="shared" si="1"/>
        <v>6</v>
      </c>
      <c r="G10" s="27">
        <v>5</v>
      </c>
      <c r="H10" s="27">
        <v>1</v>
      </c>
      <c r="I10" s="27">
        <v>0</v>
      </c>
      <c r="J10" s="29">
        <v>7</v>
      </c>
      <c r="K10" s="30">
        <v>7</v>
      </c>
      <c r="L10" s="31">
        <v>1</v>
      </c>
      <c r="M10" s="32">
        <v>0</v>
      </c>
      <c r="N10" s="33"/>
      <c r="O10" s="34">
        <f t="shared" si="2"/>
        <v>80</v>
      </c>
    </row>
    <row r="11" spans="1:15" ht="16.5" x14ac:dyDescent="0.3">
      <c r="A11" s="2">
        <v>43291</v>
      </c>
      <c r="B11" s="55">
        <f t="shared" si="0"/>
        <v>67</v>
      </c>
      <c r="C11" s="27">
        <v>25</v>
      </c>
      <c r="D11" s="27">
        <v>29</v>
      </c>
      <c r="E11" s="27">
        <v>13</v>
      </c>
      <c r="F11" s="13">
        <f t="shared" si="1"/>
        <v>5</v>
      </c>
      <c r="G11" s="27">
        <v>4</v>
      </c>
      <c r="H11" s="27">
        <v>0</v>
      </c>
      <c r="I11" s="27">
        <v>1</v>
      </c>
      <c r="J11" s="29">
        <v>5</v>
      </c>
      <c r="K11" s="30">
        <f ca="1">GetFileList("P:\TP et Raccodement\FICHES CREES RACCORDEMENT\2 - SAV + COMPL + PASSAGE W XV A SAISIR DANS AX\10-07-2018\*COMPLEMENT*.pdf")</f>
        <v>0</v>
      </c>
      <c r="L11" s="31">
        <f ca="1">GetFileList("P:\TP et Raccodement\FICHES CREES RACCORDEMENT\2 - SAV + COMPL + PASSAGE W XV A SAISIR DANS AX\10-07-2018\*REPRISE*.pdf")</f>
        <v>0</v>
      </c>
      <c r="M11" s="32">
        <f ca="1">GetFileList("P:\TP et Raccodement\FICHES CREES RACCORDEMENT\2 - SAV + COMPL + PASSAGE W XV A SAISIR DANS AX\10-07-2018\*REMONTAGE*.pdf")</f>
        <v>0</v>
      </c>
      <c r="N11" s="33"/>
      <c r="O11" s="34">
        <f t="shared" ca="1" si="2"/>
        <v>77</v>
      </c>
    </row>
    <row r="12" spans="1:15" ht="16.5" x14ac:dyDescent="0.3">
      <c r="A12" s="2">
        <v>43292</v>
      </c>
      <c r="B12" s="55">
        <f t="shared" si="0"/>
        <v>67</v>
      </c>
      <c r="C12" s="27">
        <v>25</v>
      </c>
      <c r="D12" s="27">
        <v>30</v>
      </c>
      <c r="E12" s="27">
        <v>12</v>
      </c>
      <c r="F12" s="13">
        <f t="shared" si="1"/>
        <v>9</v>
      </c>
      <c r="G12" s="27">
        <v>4</v>
      </c>
      <c r="H12" s="27">
        <v>5</v>
      </c>
      <c r="I12" s="27">
        <v>0</v>
      </c>
      <c r="J12" s="29">
        <v>5</v>
      </c>
      <c r="K12" s="30">
        <v>2</v>
      </c>
      <c r="L12" s="31">
        <v>1</v>
      </c>
      <c r="M12" s="32">
        <v>2</v>
      </c>
      <c r="N12" s="33"/>
      <c r="O12" s="34">
        <f t="shared" si="2"/>
        <v>86</v>
      </c>
    </row>
    <row r="13" spans="1:15" ht="16.5" x14ac:dyDescent="0.3">
      <c r="A13" s="2">
        <v>43293</v>
      </c>
      <c r="B13" s="55">
        <f t="shared" si="0"/>
        <v>64</v>
      </c>
      <c r="C13" s="27">
        <v>22</v>
      </c>
      <c r="D13" s="27">
        <v>22</v>
      </c>
      <c r="E13" s="27">
        <v>20</v>
      </c>
      <c r="F13" s="13">
        <f t="shared" si="1"/>
        <v>8</v>
      </c>
      <c r="G13" s="27">
        <v>3</v>
      </c>
      <c r="H13" s="27">
        <v>5</v>
      </c>
      <c r="I13" s="27">
        <v>0</v>
      </c>
      <c r="J13" s="29">
        <v>6</v>
      </c>
      <c r="K13" s="30">
        <v>7</v>
      </c>
      <c r="L13" s="31">
        <v>0</v>
      </c>
      <c r="M13" s="32">
        <v>4</v>
      </c>
      <c r="N13" s="33"/>
      <c r="O13" s="34">
        <f t="shared" si="2"/>
        <v>89</v>
      </c>
    </row>
    <row r="14" spans="1:15" ht="16.5" x14ac:dyDescent="0.3">
      <c r="A14" s="2">
        <v>43294</v>
      </c>
      <c r="B14" s="55">
        <f t="shared" si="0"/>
        <v>67</v>
      </c>
      <c r="C14" s="27">
        <v>32</v>
      </c>
      <c r="D14" s="27">
        <v>22</v>
      </c>
      <c r="E14" s="27">
        <v>13</v>
      </c>
      <c r="F14" s="13">
        <f t="shared" si="1"/>
        <v>4</v>
      </c>
      <c r="G14" s="27">
        <v>3</v>
      </c>
      <c r="H14" s="27">
        <v>1</v>
      </c>
      <c r="I14" s="27">
        <v>0</v>
      </c>
      <c r="J14" s="29">
        <v>5</v>
      </c>
      <c r="K14" s="30">
        <v>1</v>
      </c>
      <c r="L14" s="31">
        <v>0</v>
      </c>
      <c r="M14" s="32">
        <v>0</v>
      </c>
      <c r="N14" s="33"/>
      <c r="O14" s="34">
        <f t="shared" si="2"/>
        <v>77</v>
      </c>
    </row>
    <row r="15" spans="1:15" ht="16.5" x14ac:dyDescent="0.3">
      <c r="A15" s="2">
        <v>43295</v>
      </c>
      <c r="B15" s="55">
        <f t="shared" ca="1" si="0"/>
        <v>0</v>
      </c>
      <c r="C15" s="27">
        <f ca="1">GetFileList("P:\TP et Raccodement\FICHES CREES RACCORDEMENT\1 - RACCOS A SAISIR DANS AX\14-07-2018\*LM RACCO*.pdf")</f>
        <v>0</v>
      </c>
      <c r="D15" s="27">
        <f ca="1">GetFileList("P:\TP et Raccodement\FICHES CREES RACCORDEMENT\1 - RACCOS A SAISIR DANS AX\14-07-2018\*LR RACCO*.pdf")</f>
        <v>0</v>
      </c>
      <c r="E15" s="27">
        <f ca="1">GetFileList("P:\TP et Raccodement\FICHES CREES RACCORDEMENT\1 - RACCOS A SAISIR DANS AX\14-07-2018\*CL RACCO*.pdf")</f>
        <v>0</v>
      </c>
      <c r="F15" s="13">
        <f t="shared" ca="1" si="1"/>
        <v>0</v>
      </c>
      <c r="G15" s="27">
        <f ca="1">GetFileList("P:\TP et Raccodement\FICHES CREES RACCORDEMENT\2 - SAV + COMPL + PASSAGE W XV A SAISIR DANS AX\14-07-2018\*LM PASS*.pdf")</f>
        <v>0</v>
      </c>
      <c r="H15" s="27">
        <f ca="1">GetFileList("P:\TP et Raccodement\FICHES CREES RACCORDEMENT\2 - SAV + COMPL + PASSAGE W XV A SAISIR DANS AX\14-07-2018\*LR PASS*.pdf")</f>
        <v>0</v>
      </c>
      <c r="I15" s="27">
        <f ca="1">GetFileList("P:\TP et Raccodement\FICHES CREES RACCORDEMENT\2 - SAV + COMPL + PASSAGE W XV A SAISIR DANS AX\14-07-2018\*CL PASS*.pdf")</f>
        <v>0</v>
      </c>
      <c r="J15" s="29">
        <f ca="1">GetFileList("P:\TP et Raccodement\FICHES CREES RACCORDEMENT\2 - SAV + COMPL + PASSAGE W XV A SAISIR DANS AX\14-07-2018\*SAV*.pdf")</f>
        <v>0</v>
      </c>
      <c r="K15" s="30">
        <f ca="1">GetFileList("P:\TP et Raccodement\FICHES CREES RACCORDEMENT\2 - SAV + COMPL + PASSAGE W XV A SAISIR DANS AX\14-07-2018\*COMPLEMENT*.pdf")</f>
        <v>0</v>
      </c>
      <c r="L15" s="31">
        <f ca="1">GetFileList("P:\TP et Raccodement\FICHES CREES RACCORDEMENT\2 - SAV + COMPL + PASSAGE W XV A SAISIR DANS AX\14-07-2018\*REPRISE*.pdf")</f>
        <v>0</v>
      </c>
      <c r="M15" s="32">
        <f ca="1">GetFileList("P:\TP et Raccodement\FICHES CREES RACCORDEMENT\2 - SAV + COMPL + PASSAGE W XV A SAISIR DANS AX\14-07-2018\*REMONTAGE*.pdf")</f>
        <v>0</v>
      </c>
      <c r="N15" s="33"/>
      <c r="O15" s="34">
        <f t="shared" ca="1" si="2"/>
        <v>0</v>
      </c>
    </row>
    <row r="16" spans="1:15" ht="16.5" x14ac:dyDescent="0.3">
      <c r="A16" s="2">
        <v>43296</v>
      </c>
      <c r="B16" s="55">
        <f t="shared" ca="1" si="0"/>
        <v>0</v>
      </c>
      <c r="C16" s="27">
        <f ca="1">GetFileList("P:\TP et Raccodement\FICHES CREES RACCORDEMENT\1 - RACCOS A SAISIR DANS AX\15-07-2018\*LM RACCO*.pdf")</f>
        <v>0</v>
      </c>
      <c r="D16" s="27">
        <f ca="1">GetFileList("P:\TP et Raccodement\FICHES CREES RACCORDEMENT\1 - RACCOS A SAISIR DANS AX\15-07-2018\*LR RACCO*.pdf")</f>
        <v>0</v>
      </c>
      <c r="E16" s="27">
        <f ca="1">GetFileList("P:\TP et Raccodement\FICHES CREES RACCORDEMENT\1 - RACCOS A SAISIR DANS AX\15-07-2018\*CL RACCO*.pdf")</f>
        <v>0</v>
      </c>
      <c r="F16" s="13">
        <f t="shared" ca="1" si="1"/>
        <v>0</v>
      </c>
      <c r="G16" s="27">
        <f ca="1">GetFileList("P:\TP et Raccodement\FICHES CREES RACCORDEMENT\2 - SAV + COMPL + PASSAGE W XV A SAISIR DANS AX\15-07-2018\*LM PASS*.pdf")</f>
        <v>0</v>
      </c>
      <c r="H16" s="27">
        <f ca="1">GetFileList("P:\TP et Raccodement\FICHES CREES RACCORDEMENT\2 - SAV + COMPL + PASSAGE W XV A SAISIR DANS AX\15-07-2018\*LR PASS*.pdf")</f>
        <v>0</v>
      </c>
      <c r="I16" s="27">
        <f ca="1">GetFileList("P:\TP et Raccodement\FICHES CREES RACCORDEMENT\2 - SAV + COMPL + PASSAGE W XV A SAISIR DANS AX\15-07-2018\*CL PASS*.pdf")</f>
        <v>0</v>
      </c>
      <c r="J16" s="29">
        <f ca="1">GetFileList("P:\TP et Raccodement\FICHES CREES RACCORDEMENT\2 - SAV + COMPL + PASSAGE W XV A SAISIR DANS AX\15-07-2018\*SAV*.pdf")</f>
        <v>0</v>
      </c>
      <c r="K16" s="30">
        <f ca="1">GetFileList("P:\TP et Raccodement\FICHES CREES RACCORDEMENT\2 - SAV + COMPL + PASSAGE W XV A SAISIR DANS AX\15-07-2018\*COMPLEMENT*.pdf")</f>
        <v>0</v>
      </c>
      <c r="L16" s="31">
        <f ca="1">GetFileList("P:\TP et Raccodement\FICHES CREES RACCORDEMENT\2 - SAV + COMPL + PASSAGE W XV A SAISIR DANS AX\15-07-2018\*REPRISE*.pdf")</f>
        <v>0</v>
      </c>
      <c r="M16" s="32">
        <f ca="1">GetFileList("P:\TP et Raccodement\FICHES CREES RACCORDEMENT\2 - SAV + COMPL + PASSAGE W XV A SAISIR DANS AX\15-07-2018\*REMONTAGE*.pdf")</f>
        <v>0</v>
      </c>
      <c r="N16" s="33"/>
      <c r="O16" s="34">
        <f t="shared" ca="1" si="2"/>
        <v>0</v>
      </c>
    </row>
    <row r="17" spans="1:15" ht="16.5" x14ac:dyDescent="0.3">
      <c r="A17" s="2">
        <v>43297</v>
      </c>
      <c r="B17" s="55">
        <f t="shared" si="0"/>
        <v>73</v>
      </c>
      <c r="C17" s="27">
        <v>30</v>
      </c>
      <c r="D17" s="27">
        <v>28</v>
      </c>
      <c r="E17" s="27">
        <v>15</v>
      </c>
      <c r="F17" s="13">
        <f t="shared" si="1"/>
        <v>6</v>
      </c>
      <c r="G17" s="27">
        <v>3</v>
      </c>
      <c r="H17" s="27">
        <v>3</v>
      </c>
      <c r="I17" s="27">
        <v>0</v>
      </c>
      <c r="J17" s="29">
        <v>4</v>
      </c>
      <c r="K17" s="30">
        <v>8</v>
      </c>
      <c r="L17" s="31">
        <v>0</v>
      </c>
      <c r="M17" s="32">
        <v>0</v>
      </c>
      <c r="N17" s="33"/>
      <c r="O17" s="34">
        <f t="shared" si="2"/>
        <v>91</v>
      </c>
    </row>
    <row r="18" spans="1:15" ht="16.5" x14ac:dyDescent="0.3">
      <c r="A18" s="2">
        <v>43298</v>
      </c>
      <c r="B18" s="55">
        <f t="shared" si="0"/>
        <v>74</v>
      </c>
      <c r="C18" s="27">
        <v>33</v>
      </c>
      <c r="D18" s="27">
        <v>28</v>
      </c>
      <c r="E18" s="27">
        <v>13</v>
      </c>
      <c r="F18" s="13">
        <f t="shared" si="1"/>
        <v>12</v>
      </c>
      <c r="G18" s="27">
        <v>6</v>
      </c>
      <c r="H18" s="27">
        <v>6</v>
      </c>
      <c r="I18" s="27">
        <v>0</v>
      </c>
      <c r="J18" s="29">
        <v>3</v>
      </c>
      <c r="K18" s="30">
        <v>2</v>
      </c>
      <c r="L18" s="31">
        <v>0</v>
      </c>
      <c r="M18" s="32">
        <v>2</v>
      </c>
      <c r="N18" s="33"/>
      <c r="O18" s="34">
        <f t="shared" si="2"/>
        <v>93</v>
      </c>
    </row>
    <row r="19" spans="1:15" ht="16.5" x14ac:dyDescent="0.3">
      <c r="A19" s="2">
        <v>43299</v>
      </c>
      <c r="B19" s="55">
        <f t="shared" si="0"/>
        <v>61</v>
      </c>
      <c r="C19" s="27">
        <v>28</v>
      </c>
      <c r="D19" s="27">
        <v>20</v>
      </c>
      <c r="E19" s="27">
        <v>13</v>
      </c>
      <c r="F19" s="13">
        <f t="shared" si="1"/>
        <v>19</v>
      </c>
      <c r="G19" s="27">
        <v>9</v>
      </c>
      <c r="H19" s="27">
        <v>10</v>
      </c>
      <c r="I19" s="27">
        <v>0</v>
      </c>
      <c r="J19" s="29">
        <v>4</v>
      </c>
      <c r="K19" s="30">
        <v>1</v>
      </c>
      <c r="L19" s="31">
        <v>0</v>
      </c>
      <c r="M19" s="32">
        <v>2</v>
      </c>
      <c r="N19" s="33"/>
      <c r="O19" s="34">
        <f t="shared" si="2"/>
        <v>87</v>
      </c>
    </row>
    <row r="20" spans="1:15" ht="16.5" x14ac:dyDescent="0.3">
      <c r="A20" s="2">
        <v>43300</v>
      </c>
      <c r="B20" s="55">
        <f t="shared" si="0"/>
        <v>60</v>
      </c>
      <c r="C20" s="27">
        <v>22</v>
      </c>
      <c r="D20" s="27">
        <v>25</v>
      </c>
      <c r="E20" s="27">
        <v>13</v>
      </c>
      <c r="F20" s="13">
        <f t="shared" si="1"/>
        <v>6</v>
      </c>
      <c r="G20" s="27">
        <v>2</v>
      </c>
      <c r="H20" s="27">
        <v>4</v>
      </c>
      <c r="I20" s="27">
        <v>0</v>
      </c>
      <c r="J20" s="29">
        <v>6</v>
      </c>
      <c r="K20" s="30">
        <v>2</v>
      </c>
      <c r="L20" s="31">
        <v>0</v>
      </c>
      <c r="M20" s="32">
        <v>3</v>
      </c>
      <c r="N20" s="33"/>
      <c r="O20" s="34">
        <f t="shared" si="2"/>
        <v>77</v>
      </c>
    </row>
    <row r="21" spans="1:15" ht="16.5" x14ac:dyDescent="0.3">
      <c r="A21" s="2">
        <v>43301</v>
      </c>
      <c r="B21" s="55">
        <f t="shared" si="0"/>
        <v>59</v>
      </c>
      <c r="C21" s="27">
        <v>30</v>
      </c>
      <c r="D21" s="27">
        <v>21</v>
      </c>
      <c r="E21" s="27">
        <v>8</v>
      </c>
      <c r="F21" s="13">
        <f t="shared" si="1"/>
        <v>3</v>
      </c>
      <c r="G21" s="27">
        <v>1</v>
      </c>
      <c r="H21" s="27">
        <v>2</v>
      </c>
      <c r="I21" s="27">
        <v>0</v>
      </c>
      <c r="J21" s="29">
        <v>9</v>
      </c>
      <c r="K21" s="30">
        <v>5</v>
      </c>
      <c r="L21" s="31">
        <v>0</v>
      </c>
      <c r="M21" s="32">
        <v>4</v>
      </c>
      <c r="N21" s="33"/>
      <c r="O21" s="34">
        <f t="shared" si="2"/>
        <v>80</v>
      </c>
    </row>
    <row r="22" spans="1:15" ht="16.5" x14ac:dyDescent="0.3">
      <c r="A22" s="2">
        <v>43302</v>
      </c>
      <c r="B22" s="55">
        <f t="shared" si="0"/>
        <v>11</v>
      </c>
      <c r="C22" s="27">
        <v>10</v>
      </c>
      <c r="D22" s="27">
        <v>0</v>
      </c>
      <c r="E22" s="27">
        <v>1</v>
      </c>
      <c r="F22" s="13">
        <f t="shared" si="1"/>
        <v>0</v>
      </c>
      <c r="G22" s="27">
        <v>0</v>
      </c>
      <c r="H22" s="27">
        <v>0</v>
      </c>
      <c r="I22" s="27">
        <v>0</v>
      </c>
      <c r="J22" s="29">
        <v>0</v>
      </c>
      <c r="K22" s="30">
        <v>0</v>
      </c>
      <c r="L22" s="31">
        <v>0</v>
      </c>
      <c r="M22" s="32">
        <v>0</v>
      </c>
      <c r="N22" s="33"/>
      <c r="O22" s="34">
        <f t="shared" si="2"/>
        <v>11</v>
      </c>
    </row>
    <row r="23" spans="1:15" ht="16.5" x14ac:dyDescent="0.3">
      <c r="A23" s="2">
        <v>43303</v>
      </c>
      <c r="B23" s="55">
        <f t="shared" ca="1" si="0"/>
        <v>0</v>
      </c>
      <c r="C23" s="27">
        <f ca="1">GetFileList("P:\TP et Raccodement\FICHES CREES RACCORDEMENT\1 - RACCOS A SAISIR DANS AX\22-07-2018\*LM RACCO*.pdf")</f>
        <v>0</v>
      </c>
      <c r="D23" s="27">
        <f ca="1">GetFileList("P:\TP et Raccodement\FICHES CREES RACCORDEMENT\1 - RACCOS A SAISIR DANS AX\22-07-2018\*LR RACCO*.pdf")</f>
        <v>0</v>
      </c>
      <c r="E23" s="27">
        <f ca="1">GetFileList("P:\TP et Raccodement\FICHES CREES RACCORDEMENT\1 - RACCOS A SAISIR DANS AX\22-07-2018\*CL RACCO*.pdf")</f>
        <v>0</v>
      </c>
      <c r="F23" s="13">
        <f t="shared" ca="1" si="1"/>
        <v>0</v>
      </c>
      <c r="G23" s="27">
        <f ca="1">GetFileList("P:\TP et Raccodement\FICHES CREES RACCORDEMENT\2 - SAV + COMPL + PASSAGE W XV A SAISIR DANS AX\22-07-2018\*LM PASS*.pdf")</f>
        <v>0</v>
      </c>
      <c r="H23" s="27">
        <f ca="1">GetFileList("P:\TP et Raccodement\FICHES CREES RACCORDEMENT\2 - SAV + COMPL + PASSAGE W XV A SAISIR DANS AX\22-07-2018\*LR PASS*.pdf")</f>
        <v>0</v>
      </c>
      <c r="I23" s="27">
        <f ca="1">GetFileList("P:\TP et Raccodement\FICHES CREES RACCORDEMENT\2 - SAV + COMPL + PASSAGE W XV A SAISIR DANS AX\22-07-2018\*CL PASS*.pdf")</f>
        <v>0</v>
      </c>
      <c r="J23" s="29">
        <f ca="1">GetFileList("P:\TP et Raccodement\FICHES CREES RACCORDEMENT\2 - SAV + COMPL + PASSAGE W XV A SAISIR DANS AX\22-07-2018\*SAV*.pdf")</f>
        <v>0</v>
      </c>
      <c r="K23" s="30">
        <f ca="1">GetFileList("P:\TP et Raccodement\FICHES CREES RACCORDEMENT\2 - SAV + COMPL + PASSAGE W XV A SAISIR DANS AX\22-07-2018\*COMPLEMENT*.pdf")</f>
        <v>0</v>
      </c>
      <c r="L23" s="31">
        <f ca="1">GetFileList("P:\TP et Raccodement\FICHES CREES RACCORDEMENT\2 - SAV + COMPL + PASSAGE W XV A SAISIR DANS AX\22-07-2018\*REPRISE*.pdf")</f>
        <v>0</v>
      </c>
      <c r="M23" s="32">
        <f ca="1">GetFileList("P:\TP et Raccodement\FICHES CREES RACCORDEMENT\2 - SAV + COMPL + PASSAGE W XV A SAISIR DANS AX\22-07-2018\*REMONTAGE*.pdf")</f>
        <v>0</v>
      </c>
      <c r="N23" s="33"/>
      <c r="O23" s="34">
        <f t="shared" ca="1" si="2"/>
        <v>0</v>
      </c>
    </row>
    <row r="24" spans="1:15" ht="16.5" x14ac:dyDescent="0.3">
      <c r="A24" s="2">
        <v>43304</v>
      </c>
      <c r="B24" s="55">
        <f t="shared" si="0"/>
        <v>71</v>
      </c>
      <c r="C24" s="27">
        <v>32</v>
      </c>
      <c r="D24" s="27">
        <v>21</v>
      </c>
      <c r="E24" s="27">
        <v>18</v>
      </c>
      <c r="F24" s="13">
        <f t="shared" si="1"/>
        <v>9</v>
      </c>
      <c r="G24" s="27">
        <v>2</v>
      </c>
      <c r="H24" s="27">
        <v>7</v>
      </c>
      <c r="I24" s="27">
        <v>0</v>
      </c>
      <c r="J24" s="29">
        <v>4</v>
      </c>
      <c r="K24" s="30">
        <v>3</v>
      </c>
      <c r="L24" s="31">
        <v>0</v>
      </c>
      <c r="M24" s="32">
        <v>1</v>
      </c>
      <c r="N24" s="33"/>
      <c r="O24" s="34">
        <f t="shared" si="2"/>
        <v>88</v>
      </c>
    </row>
    <row r="25" spans="1:15" ht="16.5" x14ac:dyDescent="0.3">
      <c r="A25" s="2">
        <v>43305</v>
      </c>
      <c r="B25" s="55">
        <f t="shared" si="0"/>
        <v>62</v>
      </c>
      <c r="C25" s="27">
        <v>29</v>
      </c>
      <c r="D25" s="27">
        <v>21</v>
      </c>
      <c r="E25" s="27">
        <v>12</v>
      </c>
      <c r="F25" s="13">
        <f t="shared" si="1"/>
        <v>7</v>
      </c>
      <c r="G25" s="27">
        <v>3</v>
      </c>
      <c r="H25" s="27">
        <v>4</v>
      </c>
      <c r="I25" s="27">
        <v>0</v>
      </c>
      <c r="J25" s="29">
        <v>4</v>
      </c>
      <c r="K25" s="30">
        <v>2</v>
      </c>
      <c r="L25" s="31">
        <v>1</v>
      </c>
      <c r="M25" s="32">
        <v>5</v>
      </c>
      <c r="N25" s="33"/>
      <c r="O25" s="34">
        <f t="shared" si="2"/>
        <v>81</v>
      </c>
    </row>
    <row r="26" spans="1:15" ht="16.5" x14ac:dyDescent="0.3">
      <c r="A26" s="2">
        <v>43306</v>
      </c>
      <c r="B26" s="55">
        <f t="shared" si="0"/>
        <v>66</v>
      </c>
      <c r="C26" s="27">
        <v>33</v>
      </c>
      <c r="D26" s="27">
        <v>17</v>
      </c>
      <c r="E26" s="27">
        <v>16</v>
      </c>
      <c r="F26" s="13">
        <f t="shared" si="1"/>
        <v>9</v>
      </c>
      <c r="G26" s="27">
        <v>4</v>
      </c>
      <c r="H26" s="27">
        <v>5</v>
      </c>
      <c r="I26" s="27">
        <v>0</v>
      </c>
      <c r="J26" s="29">
        <v>10</v>
      </c>
      <c r="K26" s="30">
        <v>7</v>
      </c>
      <c r="L26" s="31">
        <v>0</v>
      </c>
      <c r="M26" s="32">
        <v>1</v>
      </c>
      <c r="N26" s="33"/>
      <c r="O26" s="34">
        <f t="shared" si="2"/>
        <v>93</v>
      </c>
    </row>
    <row r="27" spans="1:15" ht="16.5" x14ac:dyDescent="0.3">
      <c r="A27" s="2">
        <v>43307</v>
      </c>
      <c r="B27" s="55">
        <f t="shared" si="0"/>
        <v>61</v>
      </c>
      <c r="C27" s="27">
        <v>25</v>
      </c>
      <c r="D27" s="27">
        <v>22</v>
      </c>
      <c r="E27" s="27">
        <v>14</v>
      </c>
      <c r="F27" s="13">
        <f t="shared" si="1"/>
        <v>7</v>
      </c>
      <c r="G27" s="27">
        <v>3</v>
      </c>
      <c r="H27" s="27">
        <v>3</v>
      </c>
      <c r="I27" s="27">
        <v>1</v>
      </c>
      <c r="J27" s="29">
        <v>7</v>
      </c>
      <c r="K27" s="30">
        <v>5</v>
      </c>
      <c r="L27" s="31">
        <v>0</v>
      </c>
      <c r="M27" s="32">
        <v>0</v>
      </c>
      <c r="N27" s="33"/>
      <c r="O27" s="34">
        <f t="shared" si="2"/>
        <v>80</v>
      </c>
    </row>
    <row r="28" spans="1:15" ht="16.5" x14ac:dyDescent="0.3">
      <c r="A28" s="2">
        <v>43308</v>
      </c>
      <c r="B28" s="55">
        <f t="shared" si="0"/>
        <v>52</v>
      </c>
      <c r="C28" s="27">
        <v>22</v>
      </c>
      <c r="D28" s="27">
        <v>16</v>
      </c>
      <c r="E28" s="27">
        <v>14</v>
      </c>
      <c r="F28" s="13">
        <f t="shared" si="1"/>
        <v>13</v>
      </c>
      <c r="G28" s="27">
        <v>6</v>
      </c>
      <c r="H28" s="27">
        <v>7</v>
      </c>
      <c r="I28" s="27">
        <v>0</v>
      </c>
      <c r="J28" s="29">
        <v>11</v>
      </c>
      <c r="K28" s="30">
        <v>6</v>
      </c>
      <c r="L28" s="31">
        <v>0</v>
      </c>
      <c r="M28" s="32">
        <v>3</v>
      </c>
      <c r="N28" s="33"/>
      <c r="O28" s="34">
        <f t="shared" si="2"/>
        <v>85</v>
      </c>
    </row>
    <row r="29" spans="1:15" ht="16.5" x14ac:dyDescent="0.3">
      <c r="A29" s="2">
        <v>43309</v>
      </c>
      <c r="B29" s="55">
        <f t="shared" ca="1" si="0"/>
        <v>0</v>
      </c>
      <c r="C29" s="27">
        <f ca="1">GetFileList("P:\TP et Raccodement\FICHES CREES RACCORDEMENT\1 - RACCOS A SAISIR DANS AX\28-07-2018\*LM RACCO*.pdf")</f>
        <v>0</v>
      </c>
      <c r="D29" s="27">
        <f ca="1">GetFileList("P:\TP et Raccodement\FICHES CREES RACCORDEMENT\1 - RACCOS A SAISIR DANS AX\28-07-2018\*LR RACCO*.pdf")</f>
        <v>0</v>
      </c>
      <c r="E29" s="27">
        <f ca="1">GetFileList("P:\TP et Raccodement\FICHES CREES RACCORDEMENT\1 - RACCOS A SAISIR DANS AX\28-07-2018\*CL RACCO*.pdf")</f>
        <v>0</v>
      </c>
      <c r="F29" s="13">
        <f t="shared" ca="1" si="1"/>
        <v>0</v>
      </c>
      <c r="G29" s="27">
        <f ca="1">GetFileList("P:\TP et Raccodement\FICHES CREES RACCORDEMENT\2 - SAV + COMPL + PASSAGE W XV A SAISIR DANS AX\28-07-2018\*LM PASS*.pdf")</f>
        <v>0</v>
      </c>
      <c r="H29" s="27">
        <f ca="1">GetFileList("P:\TP et Raccodement\FICHES CREES RACCORDEMENT\2 - SAV + COMPL + PASSAGE W XV A SAISIR DANS AX\28-07-2018\*LR PASS*.pdf")</f>
        <v>0</v>
      </c>
      <c r="I29" s="27">
        <f ca="1">GetFileList("P:\TP et Raccodement\FICHES CREES RACCORDEMENT\2 - SAV + COMPL + PASSAGE W XV A SAISIR DANS AX\28-07-2018\*CL PASS*.pdf")</f>
        <v>0</v>
      </c>
      <c r="J29" s="29">
        <f ca="1">GetFileList("P:\TP et Raccodement\FICHES CREES RACCORDEMENT\2 - SAV + COMPL + PASSAGE W XV A SAISIR DANS AX\28-07-2018\*SAV*.pdf")</f>
        <v>0</v>
      </c>
      <c r="K29" s="30">
        <f ca="1">GetFileList("P:\TP et Raccodement\FICHES CREES RACCORDEMENT\2 - SAV + COMPL + PASSAGE W XV A SAISIR DANS AX\28-07-2018\*COMPLEMENT*.pdf")</f>
        <v>0</v>
      </c>
      <c r="L29" s="31">
        <f ca="1">GetFileList("P:\TP et Raccodement\FICHES CREES RACCORDEMENT\2 - SAV + COMPL + PASSAGE W XV A SAISIR DANS AX\28-07-2018\*REPRISE*.pdf")</f>
        <v>0</v>
      </c>
      <c r="M29" s="32">
        <f ca="1">GetFileList("P:\TP et Raccodement\FICHES CREES RACCORDEMENT\2 - SAV + COMPL + PASSAGE W XV A SAISIR DANS AX\28-07-2018\*REMONTAGE*.pdf")</f>
        <v>0</v>
      </c>
      <c r="N29" s="33"/>
      <c r="O29" s="34">
        <f t="shared" ca="1" si="2"/>
        <v>0</v>
      </c>
    </row>
    <row r="30" spans="1:15" ht="16.5" x14ac:dyDescent="0.3">
      <c r="A30" s="2">
        <v>43310</v>
      </c>
      <c r="B30" s="55">
        <f t="shared" ca="1" si="0"/>
        <v>0</v>
      </c>
      <c r="C30" s="27">
        <f ca="1">GetFileList("P:\TP et Raccodement\FICHES CREES RACCORDEMENT\1 - RACCOS A SAISIR DANS AX\29-07-2018\*LM RACCO*.pdf")</f>
        <v>0</v>
      </c>
      <c r="D30" s="27">
        <f ca="1">GetFileList("P:\TP et Raccodement\FICHES CREES RACCORDEMENT\1 - RACCOS A SAISIR DANS AX\29-07-2018\*LR RACCO*.pdf")</f>
        <v>0</v>
      </c>
      <c r="E30" s="27">
        <f ca="1">GetFileList("P:\TP et Raccodement\FICHES CREES RACCORDEMENT\1 - RACCOS A SAISIR DANS AX\29-07-2018\*CL RACCO*.pdf")</f>
        <v>0</v>
      </c>
      <c r="F30" s="13">
        <f t="shared" ca="1" si="1"/>
        <v>0</v>
      </c>
      <c r="G30" s="27">
        <f ca="1">GetFileList("P:\TP et Raccodement\FICHES CREES RACCORDEMENT\2 - SAV + COMPL + PASSAGE W XV A SAISIR DANS AX\29-07-2018\*LM PASS*.pdf")</f>
        <v>0</v>
      </c>
      <c r="H30" s="27">
        <f ca="1">GetFileList("P:\TP et Raccodement\FICHES CREES RACCORDEMENT\2 - SAV + COMPL + PASSAGE W XV A SAISIR DANS AX\29-07-2018\*LR PASS*.pdf")</f>
        <v>0</v>
      </c>
      <c r="I30" s="27">
        <f ca="1">GetFileList("P:\TP et Raccodement\FICHES CREES RACCORDEMENT\2 - SAV + COMPL + PASSAGE W XV A SAISIR DANS AX\29-07-2018\*CL PASS*.pdf")</f>
        <v>0</v>
      </c>
      <c r="J30" s="29">
        <f ca="1">GetFileList("P:\TP et Raccodement\FICHES CREES RACCORDEMENT\2 - SAV + COMPL + PASSAGE W XV A SAISIR DANS AX\29-07-2018\*SAV*.pdf")</f>
        <v>0</v>
      </c>
      <c r="K30" s="30">
        <f ca="1">GetFileList("P:\TP et Raccodement\FICHES CREES RACCORDEMENT\2 - SAV + COMPL + PASSAGE W XV A SAISIR DANS AX\29-07-2018\*COMPLEMENT*.pdf")</f>
        <v>0</v>
      </c>
      <c r="L30" s="31">
        <f ca="1">GetFileList("P:\TP et Raccodement\FICHES CREES RACCORDEMENT\2 - SAV + COMPL + PASSAGE W XV A SAISIR DANS AX\29-07-2018\*REPRISE*.pdf")</f>
        <v>0</v>
      </c>
      <c r="M30" s="32">
        <f ca="1">GetFileList("P:\TP et Raccodement\FICHES CREES RACCORDEMENT\2 - SAV + COMPL + PASSAGE W XV A SAISIR DANS AX\29-07-2018\*REMONTAGE*.pdf")</f>
        <v>0</v>
      </c>
      <c r="N30" s="33"/>
      <c r="O30" s="34">
        <f t="shared" ca="1" si="2"/>
        <v>0</v>
      </c>
    </row>
    <row r="31" spans="1:15" ht="16.5" x14ac:dyDescent="0.3">
      <c r="A31" s="2">
        <v>43311</v>
      </c>
      <c r="B31" s="55">
        <f t="shared" si="0"/>
        <v>41</v>
      </c>
      <c r="C31" s="27">
        <v>16</v>
      </c>
      <c r="D31" s="27">
        <v>17</v>
      </c>
      <c r="E31" s="27">
        <v>8</v>
      </c>
      <c r="F31" s="13">
        <f t="shared" si="1"/>
        <v>7</v>
      </c>
      <c r="G31" s="27">
        <v>4</v>
      </c>
      <c r="H31" s="27">
        <v>3</v>
      </c>
      <c r="I31" s="27">
        <v>0</v>
      </c>
      <c r="J31" s="29">
        <v>3</v>
      </c>
      <c r="K31" s="30">
        <v>3</v>
      </c>
      <c r="L31" s="31">
        <v>0</v>
      </c>
      <c r="M31" s="32">
        <v>2</v>
      </c>
      <c r="N31" s="33"/>
      <c r="O31" s="34">
        <f t="shared" si="2"/>
        <v>56</v>
      </c>
    </row>
    <row r="32" spans="1:15" ht="17.25" thickBot="1" x14ac:dyDescent="0.35">
      <c r="A32" s="2">
        <v>43312</v>
      </c>
      <c r="B32" s="56">
        <f t="shared" si="0"/>
        <v>64</v>
      </c>
      <c r="C32" s="27">
        <v>24</v>
      </c>
      <c r="D32" s="27">
        <v>27</v>
      </c>
      <c r="E32" s="27">
        <v>13</v>
      </c>
      <c r="F32" s="38">
        <f t="shared" si="1"/>
        <v>13</v>
      </c>
      <c r="G32" s="27">
        <v>4</v>
      </c>
      <c r="H32" s="27">
        <v>9</v>
      </c>
      <c r="I32" s="27">
        <v>0</v>
      </c>
      <c r="J32" s="29">
        <v>4</v>
      </c>
      <c r="K32" s="30">
        <v>5</v>
      </c>
      <c r="L32" s="31">
        <v>0</v>
      </c>
      <c r="M32" s="32">
        <v>3</v>
      </c>
      <c r="N32" s="33"/>
      <c r="O32" s="39">
        <f t="shared" si="2"/>
        <v>89</v>
      </c>
    </row>
    <row r="33" spans="1:15" ht="17.25" thickBot="1" x14ac:dyDescent="0.35">
      <c r="A33" s="26" t="s">
        <v>10</v>
      </c>
      <c r="B33" s="57">
        <f ca="1">SUM(B2:B32)</f>
        <v>1418</v>
      </c>
      <c r="C33" s="17">
        <f t="shared" ref="C33:D33" ca="1" si="3">SUM(C2:C32)</f>
        <v>603</v>
      </c>
      <c r="D33" s="17">
        <f t="shared" ca="1" si="3"/>
        <v>507</v>
      </c>
      <c r="E33" s="17">
        <f ca="1">SUM(E2:E32)</f>
        <v>308</v>
      </c>
      <c r="F33" s="18">
        <f ca="1">SUM(F2:F32)</f>
        <v>176</v>
      </c>
      <c r="G33" s="18">
        <f t="shared" ref="G33:I33" ca="1" si="4">SUM(G2:G32)</f>
        <v>83</v>
      </c>
      <c r="H33" s="18">
        <f t="shared" ca="1" si="4"/>
        <v>91</v>
      </c>
      <c r="I33" s="18">
        <f t="shared" ca="1" si="4"/>
        <v>2</v>
      </c>
      <c r="J33" s="11">
        <f ca="1">SUM(J2:J32)</f>
        <v>124</v>
      </c>
      <c r="K33" s="11">
        <f t="shared" ref="K33:M33" ca="1" si="5">SUM(K2:K32)</f>
        <v>92</v>
      </c>
      <c r="L33" s="11">
        <f t="shared" ca="1" si="5"/>
        <v>6</v>
      </c>
      <c r="M33" s="11">
        <f t="shared" ca="1" si="5"/>
        <v>41</v>
      </c>
      <c r="N33" s="33"/>
      <c r="O33" s="40">
        <f ca="1">SUM(O2:O32)</f>
        <v>1857</v>
      </c>
    </row>
  </sheetData>
  <conditionalFormatting sqref="B2:B32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{E8D5ED14-4868-45E9-9D1D-C49C6BC83B56}</x14:id>
        </ext>
      </extLst>
    </cfRule>
  </conditionalFormatting>
  <conditionalFormatting sqref="B3:B7 B10:B14 B17:B21 B24:B28 B31:B32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8D5ED14-4868-45E9-9D1D-C49C6BC83B5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B2:B32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7030A0"/>
  </sheetPr>
  <dimension ref="A1:O33"/>
  <sheetViews>
    <sheetView showGridLines="0" showRowColHeaders="0" zoomScaleNormal="100" workbookViewId="0">
      <pane ySplit="1" topLeftCell="A8" activePane="bottomLeft" state="frozen"/>
      <selection pane="bottomLeft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43313</v>
      </c>
      <c r="B2" s="55">
        <f>C2+D2+E2</f>
        <v>60</v>
      </c>
      <c r="C2" s="27">
        <v>29</v>
      </c>
      <c r="D2" s="27">
        <v>21</v>
      </c>
      <c r="E2" s="27">
        <v>10</v>
      </c>
      <c r="F2" s="13">
        <f>G2+H2+I2</f>
        <v>10</v>
      </c>
      <c r="G2" s="27">
        <v>8</v>
      </c>
      <c r="H2" s="27">
        <v>2</v>
      </c>
      <c r="I2" s="27">
        <v>0</v>
      </c>
      <c r="J2" s="29">
        <v>7</v>
      </c>
      <c r="K2" s="30">
        <v>8</v>
      </c>
      <c r="L2" s="31">
        <v>1</v>
      </c>
      <c r="M2" s="32">
        <v>3</v>
      </c>
      <c r="N2" s="33"/>
      <c r="O2" s="34">
        <f>B2+F2+J2+K2+L2+M2</f>
        <v>89</v>
      </c>
    </row>
    <row r="3" spans="1:15" ht="16.5" x14ac:dyDescent="0.3">
      <c r="A3" s="2">
        <v>43314</v>
      </c>
      <c r="B3" s="55">
        <f t="shared" ref="B3:B32" si="0">C3+D3+E3</f>
        <v>54</v>
      </c>
      <c r="C3" s="27">
        <v>29</v>
      </c>
      <c r="D3" s="27">
        <v>15</v>
      </c>
      <c r="E3" s="27">
        <v>10</v>
      </c>
      <c r="F3" s="13">
        <f t="shared" ref="F3:F32" si="1">G3+H3+I3</f>
        <v>13</v>
      </c>
      <c r="G3" s="27">
        <v>8</v>
      </c>
      <c r="H3" s="27">
        <v>5</v>
      </c>
      <c r="I3" s="27">
        <v>0</v>
      </c>
      <c r="J3" s="29">
        <v>10</v>
      </c>
      <c r="K3" s="30">
        <v>3</v>
      </c>
      <c r="L3" s="31">
        <v>0</v>
      </c>
      <c r="M3" s="32">
        <v>1</v>
      </c>
      <c r="N3" s="33"/>
      <c r="O3" s="34">
        <f t="shared" ref="O3:O32" si="2">B3+F3+J3+K3+L3+M3</f>
        <v>81</v>
      </c>
    </row>
    <row r="4" spans="1:15" ht="16.5" x14ac:dyDescent="0.3">
      <c r="A4" s="2">
        <v>43315</v>
      </c>
      <c r="B4" s="55">
        <f t="shared" si="0"/>
        <v>55</v>
      </c>
      <c r="C4" s="27">
        <v>23</v>
      </c>
      <c r="D4" s="27">
        <v>22</v>
      </c>
      <c r="E4" s="27">
        <v>10</v>
      </c>
      <c r="F4" s="13">
        <f t="shared" si="1"/>
        <v>8</v>
      </c>
      <c r="G4" s="27">
        <v>3</v>
      </c>
      <c r="H4" s="27">
        <v>5</v>
      </c>
      <c r="I4" s="27">
        <v>0</v>
      </c>
      <c r="J4" s="29">
        <v>5</v>
      </c>
      <c r="K4" s="30">
        <v>4</v>
      </c>
      <c r="L4" s="31">
        <v>0</v>
      </c>
      <c r="M4" s="32">
        <v>5</v>
      </c>
      <c r="N4" s="33"/>
      <c r="O4" s="34">
        <f t="shared" si="2"/>
        <v>77</v>
      </c>
    </row>
    <row r="5" spans="1:15" ht="16.5" x14ac:dyDescent="0.3">
      <c r="A5" s="2">
        <v>43316</v>
      </c>
      <c r="B5" s="55">
        <f t="shared" si="0"/>
        <v>4</v>
      </c>
      <c r="C5" s="27">
        <v>3</v>
      </c>
      <c r="D5" s="27">
        <v>1</v>
      </c>
      <c r="E5" s="27">
        <v>0</v>
      </c>
      <c r="F5" s="13">
        <f t="shared" si="1"/>
        <v>1</v>
      </c>
      <c r="G5" s="27">
        <v>1</v>
      </c>
      <c r="H5" s="27">
        <v>0</v>
      </c>
      <c r="I5" s="27">
        <v>0</v>
      </c>
      <c r="J5" s="29">
        <v>0</v>
      </c>
      <c r="K5" s="30">
        <v>0</v>
      </c>
      <c r="L5" s="31">
        <v>0</v>
      </c>
      <c r="M5" s="32">
        <v>0</v>
      </c>
      <c r="N5" s="33"/>
      <c r="O5" s="34">
        <f t="shared" si="2"/>
        <v>5</v>
      </c>
    </row>
    <row r="6" spans="1:15" ht="16.5" x14ac:dyDescent="0.3">
      <c r="A6" s="2">
        <v>43317</v>
      </c>
      <c r="B6" s="55">
        <f t="shared" ca="1" si="0"/>
        <v>0</v>
      </c>
      <c r="C6" s="27">
        <f ca="1">GetFileList("P:\TP et Raccodement\FICHES CREES RACCORDEMENT\1 - RACCOS A SAISIR DANS AX\05-08-2018\*LM RACCO*.pdf")</f>
        <v>0</v>
      </c>
      <c r="D6" s="27">
        <f ca="1">GetFileList("P:\TP et Raccodement\FICHES CREES RACCORDEMENT\1 - RACCOS A SAISIR DANS AX\05-08-2018\*LR RACCO*.pdf")</f>
        <v>0</v>
      </c>
      <c r="E6" s="27">
        <f ca="1">GetFileList("P:\TP et Raccodement\FICHES CREES RACCORDEMENT\1 - RACCOS A SAISIR DANS AX\05-08-2018\*CL RACCO*.pdf")</f>
        <v>0</v>
      </c>
      <c r="F6" s="13">
        <f t="shared" ca="1" si="1"/>
        <v>0</v>
      </c>
      <c r="G6" s="27">
        <f ca="1">GetFileList("P:\TP et Raccodement\FICHES CREES RACCORDEMENT\2 - SAV + COMPL + PASSAGE W XV A SAISIR DANS AX\05-08-2018\*LM PASS*.pdf")</f>
        <v>0</v>
      </c>
      <c r="H6" s="27">
        <f ca="1">GetFileList("P:\TP et Raccodement\FICHES CREES RACCORDEMENT\2 - SAV + COMPL + PASSAGE W XV A SAISIR DANS AX\05-08-2018\*LR PASS*.pdf")</f>
        <v>0</v>
      </c>
      <c r="I6" s="27">
        <f ca="1">GetFileList("P:\TP et Raccodement\FICHES CREES RACCORDEMENT\2 - SAV + COMPL + PASSAGE W XV A SAISIR DANS AX\05-08-2018\*CL PASS*.pdf")</f>
        <v>0</v>
      </c>
      <c r="J6" s="29">
        <f ca="1">GetFileList("P:\TP et Raccodement\FICHES CREES RACCORDEMENT\2 - SAV + COMPL + PASSAGE W XV A SAISIR DANS AX\05-08-2018\*SAV*.pdf")</f>
        <v>0</v>
      </c>
      <c r="K6" s="30">
        <f ca="1">GetFileList("P:\TP et Raccodement\FICHES CREES RACCORDEMENT\2 - SAV + COMPL + PASSAGE W XV A SAISIR DANS AX\05-08-2018\*COMPLEMENT*.pdf")</f>
        <v>0</v>
      </c>
      <c r="L6" s="31">
        <f ca="1">GetFileList("P:\TP et Raccodement\FICHES CREES RACCORDEMENT\2 - SAV + COMPL + PASSAGE W XV A SAISIR DANS AX\05-08-2018\*REPRISE*.pdf")</f>
        <v>0</v>
      </c>
      <c r="M6" s="32">
        <f ca="1">GetFileList("P:\TP et Raccodement\FICHES CREES RACCORDEMENT\2 - SAV + COMPL + PASSAGE W XV A SAISIR DANS AX\05-08-2018\*REMONTAGE*.pdf")</f>
        <v>0</v>
      </c>
      <c r="N6" s="33"/>
      <c r="O6" s="34">
        <f t="shared" ca="1" si="2"/>
        <v>0</v>
      </c>
    </row>
    <row r="7" spans="1:15" ht="16.5" x14ac:dyDescent="0.3">
      <c r="A7" s="2">
        <v>43318</v>
      </c>
      <c r="B7" s="55">
        <f t="shared" si="0"/>
        <v>60</v>
      </c>
      <c r="C7" s="27">
        <v>24</v>
      </c>
      <c r="D7" s="27">
        <v>22</v>
      </c>
      <c r="E7" s="27">
        <v>14</v>
      </c>
      <c r="F7" s="13">
        <f t="shared" si="1"/>
        <v>6</v>
      </c>
      <c r="G7" s="27">
        <v>5</v>
      </c>
      <c r="H7" s="27">
        <v>1</v>
      </c>
      <c r="I7" s="27">
        <v>0</v>
      </c>
      <c r="J7" s="29">
        <v>3</v>
      </c>
      <c r="K7" s="30">
        <v>1</v>
      </c>
      <c r="L7" s="31">
        <v>0</v>
      </c>
      <c r="M7" s="32">
        <v>0</v>
      </c>
      <c r="N7" s="33"/>
      <c r="O7" s="34">
        <f t="shared" si="2"/>
        <v>70</v>
      </c>
    </row>
    <row r="8" spans="1:15" ht="16.5" x14ac:dyDescent="0.3">
      <c r="A8" s="2">
        <v>43319</v>
      </c>
      <c r="B8" s="55">
        <f t="shared" si="0"/>
        <v>46</v>
      </c>
      <c r="C8" s="27">
        <v>20</v>
      </c>
      <c r="D8" s="27">
        <v>19</v>
      </c>
      <c r="E8" s="27">
        <v>7</v>
      </c>
      <c r="F8" s="13">
        <f t="shared" si="1"/>
        <v>7</v>
      </c>
      <c r="G8" s="27">
        <v>3</v>
      </c>
      <c r="H8" s="27">
        <v>4</v>
      </c>
      <c r="I8" s="27">
        <v>0</v>
      </c>
      <c r="J8" s="29">
        <v>6</v>
      </c>
      <c r="K8" s="30">
        <v>4</v>
      </c>
      <c r="L8" s="31">
        <v>1</v>
      </c>
      <c r="M8" s="32">
        <v>1</v>
      </c>
      <c r="N8" s="33"/>
      <c r="O8" s="34">
        <f t="shared" si="2"/>
        <v>65</v>
      </c>
    </row>
    <row r="9" spans="1:15" ht="16.5" x14ac:dyDescent="0.3">
      <c r="A9" s="2">
        <v>43320</v>
      </c>
      <c r="B9" s="55">
        <f t="shared" si="0"/>
        <v>47</v>
      </c>
      <c r="C9" s="27">
        <v>19</v>
      </c>
      <c r="D9" s="27">
        <v>18</v>
      </c>
      <c r="E9" s="27">
        <v>10</v>
      </c>
      <c r="F9" s="13">
        <f t="shared" si="1"/>
        <v>5</v>
      </c>
      <c r="G9" s="27">
        <v>5</v>
      </c>
      <c r="H9" s="27">
        <v>0</v>
      </c>
      <c r="I9" s="27">
        <v>0</v>
      </c>
      <c r="J9" s="29">
        <v>9</v>
      </c>
      <c r="K9" s="30">
        <v>2</v>
      </c>
      <c r="L9" s="31">
        <v>2</v>
      </c>
      <c r="M9" s="32">
        <v>1</v>
      </c>
      <c r="N9" s="33"/>
      <c r="O9" s="34">
        <f t="shared" si="2"/>
        <v>66</v>
      </c>
    </row>
    <row r="10" spans="1:15" ht="16.5" x14ac:dyDescent="0.3">
      <c r="A10" s="2">
        <v>43321</v>
      </c>
      <c r="B10" s="55">
        <f t="shared" si="0"/>
        <v>40</v>
      </c>
      <c r="C10" s="27">
        <v>19</v>
      </c>
      <c r="D10" s="27">
        <v>16</v>
      </c>
      <c r="E10" s="27">
        <v>5</v>
      </c>
      <c r="F10" s="13">
        <f t="shared" si="1"/>
        <v>13</v>
      </c>
      <c r="G10" s="27">
        <v>4</v>
      </c>
      <c r="H10" s="27">
        <v>9</v>
      </c>
      <c r="I10" s="27">
        <v>0</v>
      </c>
      <c r="J10" s="29">
        <v>6</v>
      </c>
      <c r="K10" s="30">
        <v>4</v>
      </c>
      <c r="L10" s="31">
        <v>0</v>
      </c>
      <c r="M10" s="32">
        <v>1</v>
      </c>
      <c r="N10" s="33"/>
      <c r="O10" s="34">
        <f t="shared" si="2"/>
        <v>64</v>
      </c>
    </row>
    <row r="11" spans="1:15" ht="16.5" x14ac:dyDescent="0.3">
      <c r="A11" s="2">
        <v>43322</v>
      </c>
      <c r="B11" s="55">
        <f t="shared" si="0"/>
        <v>43</v>
      </c>
      <c r="C11" s="27">
        <v>18</v>
      </c>
      <c r="D11" s="27">
        <v>19</v>
      </c>
      <c r="E11" s="27">
        <v>6</v>
      </c>
      <c r="F11" s="13">
        <f t="shared" si="1"/>
        <v>2</v>
      </c>
      <c r="G11" s="27">
        <v>2</v>
      </c>
      <c r="H11" s="27">
        <v>0</v>
      </c>
      <c r="I11" s="27">
        <v>0</v>
      </c>
      <c r="J11" s="29">
        <v>7</v>
      </c>
      <c r="K11" s="30">
        <v>6</v>
      </c>
      <c r="L11" s="31">
        <v>0</v>
      </c>
      <c r="M11" s="32">
        <v>1</v>
      </c>
      <c r="N11" s="33"/>
      <c r="O11" s="34">
        <f t="shared" si="2"/>
        <v>59</v>
      </c>
    </row>
    <row r="12" spans="1:15" ht="16.5" x14ac:dyDescent="0.3">
      <c r="A12" s="2">
        <v>43323</v>
      </c>
      <c r="B12" s="55">
        <f t="shared" si="0"/>
        <v>2</v>
      </c>
      <c r="C12" s="27">
        <v>0</v>
      </c>
      <c r="D12" s="27">
        <v>1</v>
      </c>
      <c r="E12" s="27">
        <v>1</v>
      </c>
      <c r="F12" s="13">
        <f t="shared" si="1"/>
        <v>0</v>
      </c>
      <c r="G12" s="27">
        <v>0</v>
      </c>
      <c r="H12" s="27">
        <v>0</v>
      </c>
      <c r="I12" s="27">
        <v>0</v>
      </c>
      <c r="J12" s="29">
        <v>0</v>
      </c>
      <c r="K12" s="30">
        <v>0</v>
      </c>
      <c r="L12" s="31">
        <v>0</v>
      </c>
      <c r="M12" s="32">
        <v>0</v>
      </c>
      <c r="N12" s="33"/>
      <c r="O12" s="34">
        <f t="shared" si="2"/>
        <v>2</v>
      </c>
    </row>
    <row r="13" spans="1:15" ht="16.5" x14ac:dyDescent="0.3">
      <c r="A13" s="2">
        <v>43324</v>
      </c>
      <c r="B13" s="55">
        <f t="shared" ca="1" si="0"/>
        <v>0</v>
      </c>
      <c r="C13" s="27">
        <f ca="1">GetFileList("P:\TP et Raccodement\FICHES CREES RACCORDEMENT\1 - RACCOS A SAISIR DANS AX\12-08-2018\*LM RACCO*.pdf")</f>
        <v>0</v>
      </c>
      <c r="D13" s="27">
        <f ca="1">GetFileList("P:\TP et Raccodement\FICHES CREES RACCORDEMENT\1 - RACCOS A SAISIR DANS AX\12-08-2018\*LR RACCO*.pdf")</f>
        <v>0</v>
      </c>
      <c r="E13" s="27">
        <f ca="1">GetFileList("P:\TP et Raccodement\FICHES CREES RACCORDEMENT\1 - RACCOS A SAISIR DANS AX\12-08-2018\*CL RACCO*.pdf")</f>
        <v>0</v>
      </c>
      <c r="F13" s="13">
        <f t="shared" ca="1" si="1"/>
        <v>0</v>
      </c>
      <c r="G13" s="27">
        <f ca="1">GetFileList("P:\TP et Raccodement\FICHES CREES RACCORDEMENT\2 - SAV + COMPL + PASSAGE W XV A SAISIR DANS AX\12-08-2018\*LM PASS*.pdf")</f>
        <v>0</v>
      </c>
      <c r="H13" s="27">
        <f ca="1">GetFileList("P:\TP et Raccodement\FICHES CREES RACCORDEMENT\2 - SAV + COMPL + PASSAGE W XV A SAISIR DANS AX\12-08-2018\*LR PASS*.pdf")</f>
        <v>0</v>
      </c>
      <c r="I13" s="27">
        <f ca="1">GetFileList("P:\TP et Raccodement\FICHES CREES RACCORDEMENT\2 - SAV + COMPL + PASSAGE W XV A SAISIR DANS AX\12-08-2018\*CL PASS*.pdf")</f>
        <v>0</v>
      </c>
      <c r="J13" s="29">
        <f ca="1">GetFileList("P:\TP et Raccodement\FICHES CREES RACCORDEMENT\2 - SAV + COMPL + PASSAGE W XV A SAISIR DANS AX\12-08-2018\*SAV*.pdf")</f>
        <v>0</v>
      </c>
      <c r="K13" s="30">
        <f ca="1">GetFileList("P:\TP et Raccodement\FICHES CREES RACCORDEMENT\2 - SAV + COMPL + PASSAGE W XV A SAISIR DANS AX\12-08-2018\*COMPLEMENT*.pdf")</f>
        <v>0</v>
      </c>
      <c r="L13" s="31">
        <f ca="1">GetFileList("P:\TP et Raccodement\FICHES CREES RACCORDEMENT\2 - SAV + COMPL + PASSAGE W XV A SAISIR DANS AX\12-08-2018\*REPRISE*.pdf")</f>
        <v>0</v>
      </c>
      <c r="M13" s="32">
        <f ca="1">GetFileList("P:\TP et Raccodement\FICHES CREES RACCORDEMENT\2 - SAV + COMPL + PASSAGE W XV A SAISIR DANS AX\12-08-2018\*REMONTAGE*.pdf")</f>
        <v>0</v>
      </c>
      <c r="N13" s="33"/>
      <c r="O13" s="34">
        <f t="shared" ca="1" si="2"/>
        <v>0</v>
      </c>
    </row>
    <row r="14" spans="1:15" ht="16.5" x14ac:dyDescent="0.3">
      <c r="A14" s="2">
        <v>43325</v>
      </c>
      <c r="B14" s="55">
        <f t="shared" si="0"/>
        <v>39</v>
      </c>
      <c r="C14" s="27">
        <v>15</v>
      </c>
      <c r="D14" s="27">
        <v>17</v>
      </c>
      <c r="E14" s="27">
        <v>7</v>
      </c>
      <c r="F14" s="13">
        <f t="shared" si="1"/>
        <v>6</v>
      </c>
      <c r="G14" s="27">
        <v>5</v>
      </c>
      <c r="H14" s="27">
        <v>1</v>
      </c>
      <c r="I14" s="27">
        <v>0</v>
      </c>
      <c r="J14" s="29">
        <v>3</v>
      </c>
      <c r="K14" s="30">
        <v>3</v>
      </c>
      <c r="L14" s="31">
        <v>0</v>
      </c>
      <c r="M14" s="32">
        <v>1</v>
      </c>
      <c r="N14" s="33"/>
      <c r="O14" s="34">
        <f t="shared" si="2"/>
        <v>52</v>
      </c>
    </row>
    <row r="15" spans="1:15" ht="16.5" x14ac:dyDescent="0.3">
      <c r="A15" s="2">
        <v>43326</v>
      </c>
      <c r="B15" s="55">
        <f t="shared" si="0"/>
        <v>31</v>
      </c>
      <c r="C15" s="27">
        <v>13</v>
      </c>
      <c r="D15" s="27">
        <v>10</v>
      </c>
      <c r="E15" s="27">
        <v>8</v>
      </c>
      <c r="F15" s="13">
        <f t="shared" si="1"/>
        <v>10</v>
      </c>
      <c r="G15" s="27">
        <v>6</v>
      </c>
      <c r="H15" s="27">
        <v>4</v>
      </c>
      <c r="I15" s="27">
        <v>0</v>
      </c>
      <c r="J15" s="29">
        <v>3</v>
      </c>
      <c r="K15" s="30">
        <v>1</v>
      </c>
      <c r="L15" s="31">
        <v>1</v>
      </c>
      <c r="M15" s="32">
        <v>1</v>
      </c>
      <c r="N15" s="33"/>
      <c r="O15" s="34">
        <f t="shared" si="2"/>
        <v>47</v>
      </c>
    </row>
    <row r="16" spans="1:15" ht="16.5" x14ac:dyDescent="0.3">
      <c r="A16" s="2">
        <v>43327</v>
      </c>
      <c r="B16" s="55">
        <f t="shared" ca="1" si="0"/>
        <v>0</v>
      </c>
      <c r="C16" s="27">
        <f ca="1">GetFileList("P:\TP et Raccodement\FICHES CREES RACCORDEMENT\1 - RACCOS A SAISIR DANS AX\15-08-2018\*LM RACCO*.pdf")</f>
        <v>0</v>
      </c>
      <c r="D16" s="27">
        <f ca="1">GetFileList("P:\TP et Raccodement\FICHES CREES RACCORDEMENT\1 - RACCOS A SAISIR DANS AX\15-08-2018\*LR RACCO*.pdf")</f>
        <v>0</v>
      </c>
      <c r="E16" s="27">
        <f ca="1">GetFileList("P:\TP et Raccodement\FICHES CREES RACCORDEMENT\1 - RACCOS A SAISIR DANS AX\15-08-2018\*CL RACCO*.pdf")</f>
        <v>0</v>
      </c>
      <c r="F16" s="13">
        <f t="shared" ca="1" si="1"/>
        <v>0</v>
      </c>
      <c r="G16" s="27">
        <f ca="1">GetFileList("P:\TP et Raccodement\FICHES CREES RACCORDEMENT\2 - SAV + COMPL + PASSAGE W XV A SAISIR DANS AX\15-08-2018\*LM PASS*.pdf")</f>
        <v>0</v>
      </c>
      <c r="H16" s="27">
        <f ca="1">GetFileList("P:\TP et Raccodement\FICHES CREES RACCORDEMENT\2 - SAV + COMPL + PASSAGE W XV A SAISIR DANS AX\15-08-2018\*LR PASS*.pdf")</f>
        <v>0</v>
      </c>
      <c r="I16" s="27">
        <f ca="1">GetFileList("P:\TP et Raccodement\FICHES CREES RACCORDEMENT\2 - SAV + COMPL + PASSAGE W XV A SAISIR DANS AX\15-08-2018\*CL PASS*.pdf")</f>
        <v>0</v>
      </c>
      <c r="J16" s="29">
        <f ca="1">GetFileList("P:\TP et Raccodement\FICHES CREES RACCORDEMENT\2 - SAV + COMPL + PASSAGE W XV A SAISIR DANS AX\15-08-2018\*SAV*.pdf")</f>
        <v>0</v>
      </c>
      <c r="K16" s="30">
        <f ca="1">GetFileList("P:\TP et Raccodement\FICHES CREES RACCORDEMENT\2 - SAV + COMPL + PASSAGE W XV A SAISIR DANS AX\15-08-2018\*COMPLEMENT*.pdf")</f>
        <v>0</v>
      </c>
      <c r="L16" s="31">
        <f ca="1">GetFileList("P:\TP et Raccodement\FICHES CREES RACCORDEMENT\2 - SAV + COMPL + PASSAGE W XV A SAISIR DANS AX\15-08-2018\*REPRISE*.pdf")</f>
        <v>0</v>
      </c>
      <c r="M16" s="32">
        <f ca="1">GetFileList("P:\TP et Raccodement\FICHES CREES RACCORDEMENT\2 - SAV + COMPL + PASSAGE W XV A SAISIR DANS AX\15-08-2018\*REMONTAGE*.pdf")</f>
        <v>0</v>
      </c>
      <c r="N16" s="33"/>
      <c r="O16" s="34">
        <f t="shared" ca="1" si="2"/>
        <v>0</v>
      </c>
    </row>
    <row r="17" spans="1:15" ht="16.5" x14ac:dyDescent="0.3">
      <c r="A17" s="2">
        <v>43328</v>
      </c>
      <c r="B17" s="55">
        <f t="shared" si="0"/>
        <v>25</v>
      </c>
      <c r="C17" s="27">
        <v>10</v>
      </c>
      <c r="D17" s="27">
        <v>8</v>
      </c>
      <c r="E17" s="27">
        <v>7</v>
      </c>
      <c r="F17" s="13">
        <f t="shared" si="1"/>
        <v>10</v>
      </c>
      <c r="G17" s="27">
        <v>5</v>
      </c>
      <c r="H17" s="27">
        <v>4</v>
      </c>
      <c r="I17" s="27">
        <v>1</v>
      </c>
      <c r="J17" s="29">
        <v>3</v>
      </c>
      <c r="K17" s="30">
        <v>2</v>
      </c>
      <c r="L17" s="31">
        <v>0</v>
      </c>
      <c r="M17" s="32">
        <v>2</v>
      </c>
      <c r="N17" s="33"/>
      <c r="O17" s="34">
        <f t="shared" si="2"/>
        <v>42</v>
      </c>
    </row>
    <row r="18" spans="1:15" ht="16.5" x14ac:dyDescent="0.3">
      <c r="A18" s="2">
        <v>43329</v>
      </c>
      <c r="B18" s="55">
        <f t="shared" si="0"/>
        <v>29</v>
      </c>
      <c r="C18" s="27">
        <v>9</v>
      </c>
      <c r="D18" s="27">
        <v>11</v>
      </c>
      <c r="E18" s="27">
        <v>9</v>
      </c>
      <c r="F18" s="13">
        <f t="shared" si="1"/>
        <v>7</v>
      </c>
      <c r="G18" s="27">
        <v>4</v>
      </c>
      <c r="H18" s="27">
        <v>3</v>
      </c>
      <c r="I18" s="27">
        <v>0</v>
      </c>
      <c r="J18" s="29">
        <v>3</v>
      </c>
      <c r="K18" s="30">
        <v>3</v>
      </c>
      <c r="L18" s="31">
        <v>1</v>
      </c>
      <c r="M18" s="32">
        <v>0</v>
      </c>
      <c r="N18" s="33"/>
      <c r="O18" s="34">
        <f t="shared" si="2"/>
        <v>43</v>
      </c>
    </row>
    <row r="19" spans="1:15" ht="16.5" x14ac:dyDescent="0.3">
      <c r="A19" s="2">
        <v>43330</v>
      </c>
      <c r="B19" s="55">
        <f t="shared" si="0"/>
        <v>1</v>
      </c>
      <c r="C19" s="27">
        <v>1</v>
      </c>
      <c r="D19" s="27">
        <v>0</v>
      </c>
      <c r="E19" s="27">
        <v>0</v>
      </c>
      <c r="F19" s="13">
        <f t="shared" si="1"/>
        <v>0</v>
      </c>
      <c r="G19" s="27">
        <v>0</v>
      </c>
      <c r="H19" s="27">
        <v>0</v>
      </c>
      <c r="I19" s="27">
        <v>0</v>
      </c>
      <c r="J19" s="29">
        <v>0</v>
      </c>
      <c r="K19" s="30">
        <v>1</v>
      </c>
      <c r="L19" s="31">
        <v>0</v>
      </c>
      <c r="M19" s="32">
        <v>0</v>
      </c>
      <c r="N19" s="33"/>
      <c r="O19" s="34">
        <f t="shared" si="2"/>
        <v>2</v>
      </c>
    </row>
    <row r="20" spans="1:15" ht="16.5" x14ac:dyDescent="0.3">
      <c r="A20" s="2">
        <v>43331</v>
      </c>
      <c r="B20" s="55">
        <f t="shared" ca="1" si="0"/>
        <v>0</v>
      </c>
      <c r="C20" s="27">
        <f ca="1">GetFileList("P:\TP et Raccodement\FICHES CREES RACCORDEMENT\1 - RACCOS A SAISIR DANS AX\19-08-2018\*LM RACCO*.pdf")</f>
        <v>0</v>
      </c>
      <c r="D20" s="27">
        <f ca="1">GetFileList("P:\TP et Raccodement\FICHES CREES RACCORDEMENT\1 - RACCOS A SAISIR DANS AX\19-08-2018\*LR RACCO*.pdf")</f>
        <v>0</v>
      </c>
      <c r="E20" s="27">
        <f ca="1">GetFileList("P:\TP et Raccodement\FICHES CREES RACCORDEMENT\1 - RACCOS A SAISIR DANS AX\19-08-2018\*CL RACCO*.pdf")</f>
        <v>0</v>
      </c>
      <c r="F20" s="13">
        <f t="shared" ca="1" si="1"/>
        <v>0</v>
      </c>
      <c r="G20" s="27">
        <f ca="1">GetFileList("P:\TP et Raccodement\FICHES CREES RACCORDEMENT\2 - SAV + COMPL + PASSAGE W XV A SAISIR DANS AX\19-08-2018\*LM PASS*.pdf")</f>
        <v>0</v>
      </c>
      <c r="H20" s="27">
        <f ca="1">GetFileList("P:\TP et Raccodement\FICHES CREES RACCORDEMENT\2 - SAV + COMPL + PASSAGE W XV A SAISIR DANS AX\19-08-2018\*LR PASS*.pdf")</f>
        <v>0</v>
      </c>
      <c r="I20" s="27">
        <f ca="1">GetFileList("P:\TP et Raccodement\FICHES CREES RACCORDEMENT\2 - SAV + COMPL + PASSAGE W XV A SAISIR DANS AX\19-08-2018\*CL PASS*.pdf")</f>
        <v>0</v>
      </c>
      <c r="J20" s="29">
        <f ca="1">GetFileList("P:\TP et Raccodement\FICHES CREES RACCORDEMENT\2 - SAV + COMPL + PASSAGE W XV A SAISIR DANS AX\19-08-2018\*SAV*.pdf")</f>
        <v>0</v>
      </c>
      <c r="K20" s="30">
        <f ca="1">GetFileList("P:\TP et Raccodement\FICHES CREES RACCORDEMENT\2 - SAV + COMPL + PASSAGE W XV A SAISIR DANS AX\19-08-2018\*COMPLEMENT*.pdf")</f>
        <v>0</v>
      </c>
      <c r="L20" s="31">
        <f ca="1">GetFileList("P:\TP et Raccodement\FICHES CREES RACCORDEMENT\2 - SAV + COMPL + PASSAGE W XV A SAISIR DANS AX\19-08-2018\*REPRISE*.pdf")</f>
        <v>0</v>
      </c>
      <c r="M20" s="32">
        <f ca="1">GetFileList("P:\TP et Raccodement\FICHES CREES RACCORDEMENT\2 - SAV + COMPL + PASSAGE W XV A SAISIR DANS AX\19-08-2018\*REMONTAGE*.pdf")</f>
        <v>0</v>
      </c>
      <c r="N20" s="33"/>
      <c r="O20" s="34">
        <f t="shared" ca="1" si="2"/>
        <v>0</v>
      </c>
    </row>
    <row r="21" spans="1:15" ht="16.5" x14ac:dyDescent="0.3">
      <c r="A21" s="2">
        <v>43332</v>
      </c>
      <c r="B21" s="55">
        <f t="shared" si="0"/>
        <v>41</v>
      </c>
      <c r="C21" s="27">
        <v>12</v>
      </c>
      <c r="D21" s="27">
        <v>15</v>
      </c>
      <c r="E21" s="27">
        <v>14</v>
      </c>
      <c r="F21" s="13">
        <f t="shared" si="1"/>
        <v>1</v>
      </c>
      <c r="G21" s="27">
        <v>1</v>
      </c>
      <c r="H21" s="27">
        <v>0</v>
      </c>
      <c r="I21" s="27">
        <v>0</v>
      </c>
      <c r="J21" s="29">
        <v>6</v>
      </c>
      <c r="K21" s="30">
        <v>4</v>
      </c>
      <c r="L21" s="31">
        <v>1</v>
      </c>
      <c r="M21" s="32">
        <v>3</v>
      </c>
      <c r="N21" s="33"/>
      <c r="O21" s="34">
        <f t="shared" si="2"/>
        <v>56</v>
      </c>
    </row>
    <row r="22" spans="1:15" ht="16.5" x14ac:dyDescent="0.3">
      <c r="A22" s="2">
        <v>43333</v>
      </c>
      <c r="B22" s="55">
        <f t="shared" si="0"/>
        <v>27</v>
      </c>
      <c r="C22" s="27">
        <v>11</v>
      </c>
      <c r="D22" s="27">
        <v>9</v>
      </c>
      <c r="E22" s="27">
        <v>7</v>
      </c>
      <c r="F22" s="13">
        <f t="shared" si="1"/>
        <v>15</v>
      </c>
      <c r="G22" s="27">
        <v>9</v>
      </c>
      <c r="H22" s="27">
        <v>6</v>
      </c>
      <c r="I22" s="27">
        <v>0</v>
      </c>
      <c r="J22" s="29">
        <v>10</v>
      </c>
      <c r="K22" s="30">
        <v>5</v>
      </c>
      <c r="L22" s="31">
        <v>1</v>
      </c>
      <c r="M22" s="32">
        <v>1</v>
      </c>
      <c r="N22" s="33"/>
      <c r="O22" s="34">
        <f t="shared" si="2"/>
        <v>59</v>
      </c>
    </row>
    <row r="23" spans="1:15" ht="16.5" x14ac:dyDescent="0.3">
      <c r="A23" s="2">
        <v>43334</v>
      </c>
      <c r="B23" s="55">
        <f t="shared" si="0"/>
        <v>27</v>
      </c>
      <c r="C23" s="27">
        <v>4</v>
      </c>
      <c r="D23" s="27">
        <v>12</v>
      </c>
      <c r="E23" s="27">
        <v>11</v>
      </c>
      <c r="F23" s="13">
        <f t="shared" si="1"/>
        <v>8</v>
      </c>
      <c r="G23" s="27">
        <v>2</v>
      </c>
      <c r="H23" s="27">
        <v>5</v>
      </c>
      <c r="I23" s="27">
        <v>1</v>
      </c>
      <c r="J23" s="29">
        <v>13</v>
      </c>
      <c r="K23" s="30">
        <v>5</v>
      </c>
      <c r="L23" s="31">
        <v>0</v>
      </c>
      <c r="M23" s="32">
        <v>1</v>
      </c>
      <c r="N23" s="33"/>
      <c r="O23" s="34">
        <f t="shared" si="2"/>
        <v>54</v>
      </c>
    </row>
    <row r="24" spans="1:15" ht="16.5" x14ac:dyDescent="0.3">
      <c r="A24" s="2">
        <v>43335</v>
      </c>
      <c r="B24" s="55">
        <f t="shared" si="0"/>
        <v>26</v>
      </c>
      <c r="C24" s="27">
        <v>10</v>
      </c>
      <c r="D24" s="27">
        <v>10</v>
      </c>
      <c r="E24" s="27">
        <v>6</v>
      </c>
      <c r="F24" s="13">
        <f t="shared" si="1"/>
        <v>12</v>
      </c>
      <c r="G24" s="27">
        <v>5</v>
      </c>
      <c r="H24" s="27">
        <v>7</v>
      </c>
      <c r="I24" s="27">
        <v>0</v>
      </c>
      <c r="J24" s="29">
        <v>14</v>
      </c>
      <c r="K24" s="30">
        <v>5</v>
      </c>
      <c r="L24" s="31">
        <v>0</v>
      </c>
      <c r="M24" s="32">
        <v>2</v>
      </c>
      <c r="N24" s="33"/>
      <c r="O24" s="34">
        <f t="shared" si="2"/>
        <v>59</v>
      </c>
    </row>
    <row r="25" spans="1:15" ht="16.5" x14ac:dyDescent="0.3">
      <c r="A25" s="2">
        <v>43336</v>
      </c>
      <c r="B25" s="55">
        <f t="shared" si="0"/>
        <v>25</v>
      </c>
      <c r="C25" s="27">
        <v>10</v>
      </c>
      <c r="D25" s="27">
        <v>9</v>
      </c>
      <c r="E25" s="27">
        <v>6</v>
      </c>
      <c r="F25" s="13">
        <f t="shared" si="1"/>
        <v>6</v>
      </c>
      <c r="G25" s="27">
        <v>1</v>
      </c>
      <c r="H25" s="27">
        <v>5</v>
      </c>
      <c r="I25" s="27">
        <v>0</v>
      </c>
      <c r="J25" s="29">
        <v>10</v>
      </c>
      <c r="K25" s="30">
        <v>6</v>
      </c>
      <c r="L25" s="31">
        <v>0</v>
      </c>
      <c r="M25" s="32">
        <v>0</v>
      </c>
      <c r="N25" s="33"/>
      <c r="O25" s="34">
        <f t="shared" si="2"/>
        <v>47</v>
      </c>
    </row>
    <row r="26" spans="1:15" ht="16.5" x14ac:dyDescent="0.3">
      <c r="A26" s="2">
        <v>43337</v>
      </c>
      <c r="B26" s="55">
        <f t="shared" ca="1" si="0"/>
        <v>0</v>
      </c>
      <c r="C26" s="27">
        <f ca="1">GetFileList("P:\TP et Raccodement\FICHES CREES RACCORDEMENT\1 - RACCOS A SAISIR DANS AX\25-08-2018\*LM RACCO*.pdf")</f>
        <v>0</v>
      </c>
      <c r="D26" s="27">
        <f ca="1">GetFileList("P:\TP et Raccodement\FICHES CREES RACCORDEMENT\1 - RACCOS A SAISIR DANS AX\25-08-2018\*LR RACCO*.pdf")</f>
        <v>0</v>
      </c>
      <c r="E26" s="27">
        <f ca="1">GetFileList("P:\TP et Raccodement\FICHES CREES RACCORDEMENT\1 - RACCOS A SAISIR DANS AX\25-08-2018\*CL RACCO*.pdf")</f>
        <v>0</v>
      </c>
      <c r="F26" s="13">
        <f t="shared" ca="1" si="1"/>
        <v>0</v>
      </c>
      <c r="G26" s="27">
        <f ca="1">GetFileList("P:\TP et Raccodement\FICHES CREES RACCORDEMENT\2 - SAV + COMPL + PASSAGE W XV A SAISIR DANS AX\25-08-2018\*LM PASS*.pdf")</f>
        <v>0</v>
      </c>
      <c r="H26" s="27">
        <f ca="1">GetFileList("P:\TP et Raccodement\FICHES CREES RACCORDEMENT\2 - SAV + COMPL + PASSAGE W XV A SAISIR DANS AX\25-08-2018\*LR PASS*.pdf")</f>
        <v>0</v>
      </c>
      <c r="I26" s="27">
        <f ca="1">GetFileList("P:\TP et Raccodement\FICHES CREES RACCORDEMENT\2 - SAV + COMPL + PASSAGE W XV A SAISIR DANS AX\25-08-2018\*CL PASS*.pdf")</f>
        <v>0</v>
      </c>
      <c r="J26" s="29">
        <f ca="1">GetFileList("P:\TP et Raccodement\FICHES CREES RACCORDEMENT\2 - SAV + COMPL + PASSAGE W XV A SAISIR DANS AX\25-08-2018\*SAV*.pdf")</f>
        <v>0</v>
      </c>
      <c r="K26" s="30">
        <f ca="1">GetFileList("P:\TP et Raccodement\FICHES CREES RACCORDEMENT\2 - SAV + COMPL + PASSAGE W XV A SAISIR DANS AX\25-08-2018\*COMPLEMENT*.pdf")</f>
        <v>0</v>
      </c>
      <c r="L26" s="31">
        <f ca="1">GetFileList("P:\TP et Raccodement\FICHES CREES RACCORDEMENT\2 - SAV + COMPL + PASSAGE W XV A SAISIR DANS AX\25-08-2018\*REPRISE*.pdf")</f>
        <v>0</v>
      </c>
      <c r="M26" s="32">
        <f ca="1">GetFileList("P:\TP et Raccodement\FICHES CREES RACCORDEMENT\2 - SAV + COMPL + PASSAGE W XV A SAISIR DANS AX\25-08-2018\*REMONTAGE*.pdf")</f>
        <v>0</v>
      </c>
      <c r="N26" s="33"/>
      <c r="O26" s="34">
        <f t="shared" ca="1" si="2"/>
        <v>0</v>
      </c>
    </row>
    <row r="27" spans="1:15" ht="16.5" x14ac:dyDescent="0.3">
      <c r="A27" s="2">
        <v>43338</v>
      </c>
      <c r="B27" s="55">
        <f t="shared" ca="1" si="0"/>
        <v>0</v>
      </c>
      <c r="C27" s="27">
        <f ca="1">GetFileList("P:\TP et Raccodement\FICHES CREES RACCORDEMENT\1 - RACCOS A SAISIR DANS AX\26-08-2018\*LM RACCO*.pdf")</f>
        <v>0</v>
      </c>
      <c r="D27" s="27">
        <f ca="1">GetFileList("P:\TP et Raccodement\FICHES CREES RACCORDEMENT\1 - RACCOS A SAISIR DANS AX\26-08-2018\*LR RACCO*.pdf")</f>
        <v>0</v>
      </c>
      <c r="E27" s="27">
        <f ca="1">GetFileList("P:\TP et Raccodement\FICHES CREES RACCORDEMENT\1 - RACCOS A SAISIR DANS AX\26-08-2018\*CL RACCO*.pdf")</f>
        <v>0</v>
      </c>
      <c r="F27" s="13">
        <f t="shared" ca="1" si="1"/>
        <v>0</v>
      </c>
      <c r="G27" s="27">
        <f ca="1">GetFileList("P:\TP et Raccodement\FICHES CREES RACCORDEMENT\2 - SAV + COMPL + PASSAGE W XV A SAISIR DANS AX\26-08-2018\*LM PASS*.pdf")</f>
        <v>0</v>
      </c>
      <c r="H27" s="27">
        <f ca="1">GetFileList("P:\TP et Raccodement\FICHES CREES RACCORDEMENT\2 - SAV + COMPL + PASSAGE W XV A SAISIR DANS AX\26-08-2018\*LR PASS*.pdf")</f>
        <v>0</v>
      </c>
      <c r="I27" s="27">
        <f ca="1">GetFileList("P:\TP et Raccodement\FICHES CREES RACCORDEMENT\2 - SAV + COMPL + PASSAGE W XV A SAISIR DANS AX\26-08-2018\*CL PASS*.pdf")</f>
        <v>0</v>
      </c>
      <c r="J27" s="29">
        <f ca="1">GetFileList("P:\TP et Raccodement\FICHES CREES RACCORDEMENT\2 - SAV + COMPL + PASSAGE W XV A SAISIR DANS AX\26-08-2018\*SAV*.pdf")</f>
        <v>0</v>
      </c>
      <c r="K27" s="30">
        <f ca="1">GetFileList("P:\TP et Raccodement\FICHES CREES RACCORDEMENT\2 - SAV + COMPL + PASSAGE W XV A SAISIR DANS AX\26-08-2018\*COMPLEMENT*.pdf")</f>
        <v>0</v>
      </c>
      <c r="L27" s="31">
        <f ca="1">GetFileList("P:\TP et Raccodement\FICHES CREES RACCORDEMENT\2 - SAV + COMPL + PASSAGE W XV A SAISIR DANS AX\26-08-2018\*REPRISE*.pdf")</f>
        <v>0</v>
      </c>
      <c r="M27" s="32">
        <f ca="1">GetFileList("P:\TP et Raccodement\FICHES CREES RACCORDEMENT\2 - SAV + COMPL + PASSAGE W XV A SAISIR DANS AX\26-08-2018\*REMONTAGE*.pdf")</f>
        <v>0</v>
      </c>
      <c r="N27" s="33"/>
      <c r="O27" s="34">
        <f t="shared" ca="1" si="2"/>
        <v>0</v>
      </c>
    </row>
    <row r="28" spans="1:15" ht="16.5" x14ac:dyDescent="0.3">
      <c r="A28" s="2">
        <v>43339</v>
      </c>
      <c r="B28" s="55">
        <f t="shared" si="0"/>
        <v>33</v>
      </c>
      <c r="C28" s="27">
        <v>8</v>
      </c>
      <c r="D28" s="27">
        <v>13</v>
      </c>
      <c r="E28" s="27">
        <v>12</v>
      </c>
      <c r="F28" s="13">
        <f t="shared" si="1"/>
        <v>9</v>
      </c>
      <c r="G28" s="27">
        <v>6</v>
      </c>
      <c r="H28" s="27">
        <v>3</v>
      </c>
      <c r="I28" s="27">
        <v>0</v>
      </c>
      <c r="J28" s="29">
        <v>6</v>
      </c>
      <c r="K28" s="30">
        <v>3</v>
      </c>
      <c r="L28" s="31">
        <v>0</v>
      </c>
      <c r="M28" s="32">
        <v>0</v>
      </c>
      <c r="N28" s="33"/>
      <c r="O28" s="34">
        <f t="shared" si="2"/>
        <v>51</v>
      </c>
    </row>
    <row r="29" spans="1:15" ht="16.5" x14ac:dyDescent="0.3">
      <c r="A29" s="2">
        <v>43340</v>
      </c>
      <c r="B29" s="55">
        <f t="shared" si="0"/>
        <v>30</v>
      </c>
      <c r="C29" s="27">
        <v>9</v>
      </c>
      <c r="D29" s="27">
        <v>10</v>
      </c>
      <c r="E29" s="27">
        <v>11</v>
      </c>
      <c r="F29" s="13">
        <f t="shared" si="1"/>
        <v>6</v>
      </c>
      <c r="G29" s="27">
        <v>4</v>
      </c>
      <c r="H29" s="27">
        <v>2</v>
      </c>
      <c r="I29" s="27">
        <v>0</v>
      </c>
      <c r="J29" s="29">
        <v>15</v>
      </c>
      <c r="K29" s="30">
        <v>3</v>
      </c>
      <c r="L29" s="31">
        <v>0</v>
      </c>
      <c r="M29" s="32">
        <v>0</v>
      </c>
      <c r="N29" s="33"/>
      <c r="O29" s="34">
        <f t="shared" si="2"/>
        <v>54</v>
      </c>
    </row>
    <row r="30" spans="1:15" ht="16.5" x14ac:dyDescent="0.3">
      <c r="A30" s="2">
        <v>43341</v>
      </c>
      <c r="B30" s="55">
        <f t="shared" si="0"/>
        <v>30</v>
      </c>
      <c r="C30" s="27">
        <v>12</v>
      </c>
      <c r="D30" s="27">
        <v>11</v>
      </c>
      <c r="E30" s="27">
        <v>7</v>
      </c>
      <c r="F30" s="13">
        <f t="shared" si="1"/>
        <v>5</v>
      </c>
      <c r="G30" s="27">
        <v>2</v>
      </c>
      <c r="H30" s="27">
        <v>3</v>
      </c>
      <c r="I30" s="27">
        <v>0</v>
      </c>
      <c r="J30" s="29">
        <v>8</v>
      </c>
      <c r="K30" s="30">
        <v>7</v>
      </c>
      <c r="L30" s="31">
        <v>0</v>
      </c>
      <c r="M30" s="32">
        <v>0</v>
      </c>
      <c r="N30" s="33"/>
      <c r="O30" s="34">
        <f t="shared" si="2"/>
        <v>50</v>
      </c>
    </row>
    <row r="31" spans="1:15" ht="16.5" x14ac:dyDescent="0.3">
      <c r="A31" s="2">
        <v>43342</v>
      </c>
      <c r="B31" s="55">
        <f t="shared" si="0"/>
        <v>30</v>
      </c>
      <c r="C31" s="27">
        <v>11</v>
      </c>
      <c r="D31" s="27">
        <v>12</v>
      </c>
      <c r="E31" s="27">
        <v>7</v>
      </c>
      <c r="F31" s="13">
        <f t="shared" si="1"/>
        <v>6</v>
      </c>
      <c r="G31" s="27">
        <v>3</v>
      </c>
      <c r="H31" s="27">
        <v>3</v>
      </c>
      <c r="I31" s="27">
        <v>0</v>
      </c>
      <c r="J31" s="29">
        <v>9</v>
      </c>
      <c r="K31" s="30">
        <v>6</v>
      </c>
      <c r="L31" s="31">
        <v>1</v>
      </c>
      <c r="M31" s="32">
        <v>1</v>
      </c>
      <c r="N31" s="33"/>
      <c r="O31" s="34">
        <f t="shared" si="2"/>
        <v>53</v>
      </c>
    </row>
    <row r="32" spans="1:15" ht="17.25" thickBot="1" x14ac:dyDescent="0.35">
      <c r="A32" s="2">
        <v>43343</v>
      </c>
      <c r="B32" s="56">
        <f t="shared" si="0"/>
        <v>34</v>
      </c>
      <c r="C32" s="27">
        <v>12</v>
      </c>
      <c r="D32" s="27">
        <v>11</v>
      </c>
      <c r="E32" s="27">
        <v>11</v>
      </c>
      <c r="F32" s="38">
        <f t="shared" si="1"/>
        <v>3</v>
      </c>
      <c r="G32" s="27">
        <v>3</v>
      </c>
      <c r="H32" s="27">
        <v>0</v>
      </c>
      <c r="I32" s="27">
        <v>0</v>
      </c>
      <c r="J32" s="29">
        <v>10</v>
      </c>
      <c r="K32" s="30">
        <v>2</v>
      </c>
      <c r="L32" s="31">
        <v>0</v>
      </c>
      <c r="M32" s="32">
        <v>4</v>
      </c>
      <c r="N32" s="33"/>
      <c r="O32" s="39">
        <f t="shared" si="2"/>
        <v>53</v>
      </c>
    </row>
    <row r="33" spans="1:15" ht="17.25" thickBot="1" x14ac:dyDescent="0.35">
      <c r="A33" s="26" t="s">
        <v>10</v>
      </c>
      <c r="B33" s="57">
        <f ca="1">SUM(B2:B32)</f>
        <v>839</v>
      </c>
      <c r="C33" s="17">
        <f t="shared" ref="C33:D33" ca="1" si="3">SUM(C2:C32)</f>
        <v>331</v>
      </c>
      <c r="D33" s="17">
        <f t="shared" ca="1" si="3"/>
        <v>312</v>
      </c>
      <c r="E33" s="17">
        <f ca="1">SUM(E2:E32)</f>
        <v>196</v>
      </c>
      <c r="F33" s="18">
        <f ca="1">SUM(F2:F32)</f>
        <v>169</v>
      </c>
      <c r="G33" s="18">
        <f t="shared" ref="G33:I33" ca="1" si="4">SUM(G2:G32)</f>
        <v>95</v>
      </c>
      <c r="H33" s="18">
        <f t="shared" ca="1" si="4"/>
        <v>72</v>
      </c>
      <c r="I33" s="18">
        <f t="shared" ca="1" si="4"/>
        <v>2</v>
      </c>
      <c r="J33" s="11">
        <f ca="1">SUM(J2:J32)</f>
        <v>166</v>
      </c>
      <c r="K33" s="11">
        <f t="shared" ref="K33:M33" ca="1" si="5">SUM(K2:K32)</f>
        <v>88</v>
      </c>
      <c r="L33" s="11">
        <f t="shared" ca="1" si="5"/>
        <v>9</v>
      </c>
      <c r="M33" s="11">
        <f t="shared" ca="1" si="5"/>
        <v>29</v>
      </c>
      <c r="N33" s="33"/>
      <c r="O33" s="40">
        <f ca="1">SUM(O2:O32)</f>
        <v>1300</v>
      </c>
    </row>
  </sheetData>
  <conditionalFormatting sqref="B2:B32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{0818BEB7-BD18-4961-BBD8-C468631C6FB4}</x14:id>
        </ext>
      </extLst>
    </cfRule>
  </conditionalFormatting>
  <conditionalFormatting sqref="B2:B4 B7:B11 B14:B15 B17:B18 B21:B25 B28:B32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818BEB7-BD18-4961-BBD8-C468631C6FB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B2:B32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7030A0"/>
  </sheetPr>
  <dimension ref="A1:O32"/>
  <sheetViews>
    <sheetView showGridLines="0" showRowColHeaders="0" zoomScaleNormal="100" workbookViewId="0">
      <pane ySplit="1" topLeftCell="A17" activePane="bottomLeft" state="frozen"/>
      <selection pane="bottomLeft" activeCell="C24" sqref="C24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43344</v>
      </c>
      <c r="B2" s="55">
        <f>C2+D2+E2</f>
        <v>2</v>
      </c>
      <c r="C2" s="27">
        <v>2</v>
      </c>
      <c r="D2" s="27">
        <v>0</v>
      </c>
      <c r="E2" s="27">
        <v>0</v>
      </c>
      <c r="F2" s="13">
        <f>G2+H2+I2</f>
        <v>0</v>
      </c>
      <c r="G2" s="27">
        <v>0</v>
      </c>
      <c r="H2" s="27">
        <v>0</v>
      </c>
      <c r="I2" s="27">
        <v>0</v>
      </c>
      <c r="J2" s="29">
        <v>1</v>
      </c>
      <c r="K2" s="30">
        <v>1</v>
      </c>
      <c r="L2" s="31">
        <v>0</v>
      </c>
      <c r="M2" s="32">
        <v>0</v>
      </c>
      <c r="N2" s="33"/>
      <c r="O2" s="34">
        <f>B2+F2+J2+K2+L2+M2</f>
        <v>4</v>
      </c>
    </row>
    <row r="3" spans="1:15" ht="16.5" x14ac:dyDescent="0.3">
      <c r="A3" s="2">
        <v>43345</v>
      </c>
      <c r="B3" s="55">
        <f t="shared" ref="B3:B31" ca="1" si="0">C3+D3+E3</f>
        <v>0</v>
      </c>
      <c r="C3" s="27">
        <f ca="1">GetFileList("P:\TP et Raccodement\FICHES CREES RACCORDEMENT\1 - RACCOS A SAISIR DANS AX\02-09-2018\*LM RACCO*.pdf")</f>
        <v>0</v>
      </c>
      <c r="D3" s="27">
        <f ca="1">GetFileList("P:\TP et Raccodement\FICHES CREES RACCORDEMENT\1 - RACCOS A SAISIR DANS AX\02-09-2018\*LR RACCO*.pdf")</f>
        <v>0</v>
      </c>
      <c r="E3" s="27">
        <f ca="1">GetFileList("P:\TP et Raccodement\FICHES CREES RACCORDEMENT\1 - RACCOS A SAISIR DANS AX\02-09-2018\*CL RACCO*.pdf")</f>
        <v>0</v>
      </c>
      <c r="F3" s="13">
        <f t="shared" ref="F3:F31" ca="1" si="1">G3+H3+I3</f>
        <v>0</v>
      </c>
      <c r="G3" s="27">
        <f ca="1">GetFileList("P:\TP et Raccodement\FICHES CREES RACCORDEMENT\2 - SAV + COMPL + PASSAGE W XV A SAISIR DANS AX\02-09-2018\*LM PASS*.pdf")</f>
        <v>0</v>
      </c>
      <c r="H3" s="27">
        <f ca="1">GetFileList("P:\TP et Raccodement\FICHES CREES RACCORDEMENT\2 - SAV + COMPL + PASSAGE W XV A SAISIR DANS AX\02-09-2018\*LR PASS*.pdf")</f>
        <v>0</v>
      </c>
      <c r="I3" s="27">
        <f ca="1">GetFileList("P:\TP et Raccodement\FICHES CREES RACCORDEMENT\2 - SAV + COMPL + PASSAGE W XV A SAISIR DANS AX\02-09-2018\*CL PASS*.pdf")</f>
        <v>0</v>
      </c>
      <c r="J3" s="29">
        <f ca="1">GetFileList("P:\TP et Raccodement\FICHES CREES RACCORDEMENT\2 - SAV + COMPL + PASSAGE W XV A SAISIR DANS AX\02-09-2018\*SAV*.pdf")</f>
        <v>0</v>
      </c>
      <c r="K3" s="30">
        <f ca="1">GetFileList("P:\TP et Raccodement\FICHES CREES RACCORDEMENT\2 - SAV + COMPL + PASSAGE W XV A SAISIR DANS AX\02-09-2018\*COMPLEMENT*.pdf")</f>
        <v>0</v>
      </c>
      <c r="L3" s="31">
        <f ca="1">GetFileList("P:\TP et Raccodement\FICHES CREES RACCORDEMENT\2 - SAV + COMPL + PASSAGE W XV A SAISIR DANS AX\02-09-2018\*REPRISE*.pdf")</f>
        <v>0</v>
      </c>
      <c r="M3" s="32">
        <f ca="1">GetFileList("P:\TP et Raccodement\FICHES CREES RACCORDEMENT\2 - SAV + COMPL + PASSAGE W XV A SAISIR DANS AX\02-09-2018\*REMONTAGE*.pdf")</f>
        <v>0</v>
      </c>
      <c r="N3" s="33"/>
      <c r="O3" s="34">
        <f t="shared" ref="O3:O31" ca="1" si="2">B3+F3+J3+K3+L3+M3</f>
        <v>0</v>
      </c>
    </row>
    <row r="4" spans="1:15" ht="16.5" x14ac:dyDescent="0.3">
      <c r="A4" s="2">
        <v>43346</v>
      </c>
      <c r="B4" s="55">
        <f t="shared" si="0"/>
        <v>45</v>
      </c>
      <c r="C4" s="27">
        <v>17</v>
      </c>
      <c r="D4" s="27">
        <v>19</v>
      </c>
      <c r="E4" s="27">
        <v>9</v>
      </c>
      <c r="F4" s="13">
        <f t="shared" si="1"/>
        <v>10</v>
      </c>
      <c r="G4" s="27">
        <v>4</v>
      </c>
      <c r="H4" s="27">
        <v>6</v>
      </c>
      <c r="I4" s="27">
        <v>0</v>
      </c>
      <c r="J4" s="29">
        <v>7</v>
      </c>
      <c r="K4" s="30">
        <v>3</v>
      </c>
      <c r="L4" s="31">
        <v>0</v>
      </c>
      <c r="M4" s="32">
        <v>2</v>
      </c>
      <c r="N4" s="33"/>
      <c r="O4" s="34">
        <f t="shared" si="2"/>
        <v>67</v>
      </c>
    </row>
    <row r="5" spans="1:15" ht="16.5" x14ac:dyDescent="0.3">
      <c r="A5" s="2">
        <v>43347</v>
      </c>
      <c r="B5" s="55">
        <f t="shared" si="0"/>
        <v>42</v>
      </c>
      <c r="C5" s="27">
        <v>10</v>
      </c>
      <c r="D5" s="27">
        <v>19</v>
      </c>
      <c r="E5" s="27">
        <v>13</v>
      </c>
      <c r="F5" s="13">
        <f t="shared" si="1"/>
        <v>10</v>
      </c>
      <c r="G5" s="27">
        <v>5</v>
      </c>
      <c r="H5" s="27">
        <v>5</v>
      </c>
      <c r="I5" s="27">
        <v>0</v>
      </c>
      <c r="J5" s="29">
        <v>8</v>
      </c>
      <c r="K5" s="30">
        <v>4</v>
      </c>
      <c r="L5" s="31">
        <v>0</v>
      </c>
      <c r="M5" s="32">
        <v>1</v>
      </c>
      <c r="N5" s="33"/>
      <c r="O5" s="34">
        <f t="shared" si="2"/>
        <v>65</v>
      </c>
    </row>
    <row r="6" spans="1:15" ht="16.5" x14ac:dyDescent="0.3">
      <c r="A6" s="2">
        <v>43348</v>
      </c>
      <c r="B6" s="55">
        <f t="shared" si="0"/>
        <v>42</v>
      </c>
      <c r="C6" s="27">
        <v>17</v>
      </c>
      <c r="D6" s="27">
        <v>14</v>
      </c>
      <c r="E6" s="27">
        <v>11</v>
      </c>
      <c r="F6" s="13">
        <f t="shared" si="1"/>
        <v>7</v>
      </c>
      <c r="G6" s="27">
        <v>4</v>
      </c>
      <c r="H6" s="27">
        <v>3</v>
      </c>
      <c r="I6" s="27">
        <v>0</v>
      </c>
      <c r="J6" s="29">
        <v>12</v>
      </c>
      <c r="K6" s="30">
        <v>3</v>
      </c>
      <c r="L6" s="31">
        <v>0</v>
      </c>
      <c r="M6" s="32">
        <v>4</v>
      </c>
      <c r="N6" s="33"/>
      <c r="O6" s="34">
        <f t="shared" si="2"/>
        <v>68</v>
      </c>
    </row>
    <row r="7" spans="1:15" ht="16.5" x14ac:dyDescent="0.3">
      <c r="A7" s="2">
        <v>43349</v>
      </c>
      <c r="B7" s="55">
        <f t="shared" si="0"/>
        <v>35</v>
      </c>
      <c r="C7" s="27">
        <v>12</v>
      </c>
      <c r="D7" s="27">
        <v>14</v>
      </c>
      <c r="E7" s="27">
        <v>9</v>
      </c>
      <c r="F7" s="13">
        <f t="shared" si="1"/>
        <v>4</v>
      </c>
      <c r="G7" s="27">
        <v>2</v>
      </c>
      <c r="H7" s="27">
        <v>2</v>
      </c>
      <c r="I7" s="27">
        <v>0</v>
      </c>
      <c r="J7" s="29">
        <v>14</v>
      </c>
      <c r="K7" s="30">
        <v>7</v>
      </c>
      <c r="L7" s="31">
        <v>0</v>
      </c>
      <c r="M7" s="32">
        <v>3</v>
      </c>
      <c r="N7" s="33"/>
      <c r="O7" s="34">
        <f t="shared" si="2"/>
        <v>63</v>
      </c>
    </row>
    <row r="8" spans="1:15" ht="16.5" x14ac:dyDescent="0.3">
      <c r="A8" s="2">
        <v>43350</v>
      </c>
      <c r="B8" s="55">
        <f t="shared" si="0"/>
        <v>39</v>
      </c>
      <c r="C8" s="27">
        <v>16</v>
      </c>
      <c r="D8" s="27">
        <v>15</v>
      </c>
      <c r="E8" s="27">
        <v>8</v>
      </c>
      <c r="F8" s="13">
        <f t="shared" si="1"/>
        <v>10</v>
      </c>
      <c r="G8" s="27">
        <v>5</v>
      </c>
      <c r="H8" s="27">
        <v>5</v>
      </c>
      <c r="I8" s="27">
        <v>0</v>
      </c>
      <c r="J8" s="29">
        <v>9</v>
      </c>
      <c r="K8" s="30">
        <v>2</v>
      </c>
      <c r="L8" s="31">
        <v>0</v>
      </c>
      <c r="M8" s="32">
        <v>0</v>
      </c>
      <c r="N8" s="33"/>
      <c r="O8" s="34">
        <f t="shared" si="2"/>
        <v>60</v>
      </c>
    </row>
    <row r="9" spans="1:15" ht="16.5" x14ac:dyDescent="0.3">
      <c r="A9" s="2">
        <v>43351</v>
      </c>
      <c r="B9" s="55">
        <f t="shared" si="0"/>
        <v>0</v>
      </c>
      <c r="C9" s="27">
        <v>0</v>
      </c>
      <c r="D9" s="27">
        <v>0</v>
      </c>
      <c r="E9" s="27">
        <v>0</v>
      </c>
      <c r="F9" s="13">
        <f t="shared" si="1"/>
        <v>3</v>
      </c>
      <c r="G9" s="27">
        <v>2</v>
      </c>
      <c r="H9" s="27">
        <v>1</v>
      </c>
      <c r="I9" s="27">
        <v>0</v>
      </c>
      <c r="J9" s="29">
        <v>0</v>
      </c>
      <c r="K9" s="30">
        <v>0</v>
      </c>
      <c r="L9" s="31">
        <v>0</v>
      </c>
      <c r="M9" s="32">
        <v>0</v>
      </c>
      <c r="N9" s="33"/>
      <c r="O9" s="34">
        <f t="shared" si="2"/>
        <v>3</v>
      </c>
    </row>
    <row r="10" spans="1:15" ht="16.5" x14ac:dyDescent="0.3">
      <c r="A10" s="2">
        <v>43352</v>
      </c>
      <c r="B10" s="55">
        <f t="shared" ca="1" si="0"/>
        <v>0</v>
      </c>
      <c r="C10" s="27">
        <f ca="1">GetFileList("P:\TP et Raccodement\FICHES CREES RACCORDEMENT\1 - RACCOS A SAISIR DANS AX\09-09-2018\*LM RACCO*.pdf")</f>
        <v>0</v>
      </c>
      <c r="D10" s="27">
        <f ca="1">GetFileList("P:\TP et Raccodement\FICHES CREES RACCORDEMENT\1 - RACCOS A SAISIR DANS AX\09-09-2018\*LR RACCO*.pdf")</f>
        <v>0</v>
      </c>
      <c r="E10" s="27">
        <f ca="1">GetFileList("P:\TP et Raccodement\FICHES CREES RACCORDEMENT\1 - RACCOS A SAISIR DANS AX\09-09-2018\*CL RACCO*.pdf")</f>
        <v>0</v>
      </c>
      <c r="F10" s="13">
        <f t="shared" ca="1" si="1"/>
        <v>0</v>
      </c>
      <c r="G10" s="27">
        <f ca="1">GetFileList("P:\TP et Raccodement\FICHES CREES RACCORDEMENT\2 - SAV + COMPL + PASSAGE W XV A SAISIR DANS AX\09-09-2018\*LM PASS*.pdf")</f>
        <v>0</v>
      </c>
      <c r="H10" s="27">
        <f ca="1">GetFileList("P:\TP et Raccodement\FICHES CREES RACCORDEMENT\2 - SAV + COMPL + PASSAGE W XV A SAISIR DANS AX\09-09-2018\*LR PASS*.pdf")</f>
        <v>0</v>
      </c>
      <c r="I10" s="27">
        <f ca="1">GetFileList("P:\TP et Raccodement\FICHES CREES RACCORDEMENT\2 - SAV + COMPL + PASSAGE W XV A SAISIR DANS AX\09-09-2018\*CL PASS*.pdf")</f>
        <v>0</v>
      </c>
      <c r="J10" s="29">
        <f ca="1">GetFileList("P:\TP et Raccodement\FICHES CREES RACCORDEMENT\2 - SAV + COMPL + PASSAGE W XV A SAISIR DANS AX\09-09-2018\*SAV*.pdf")</f>
        <v>0</v>
      </c>
      <c r="K10" s="30">
        <f ca="1">GetFileList("P:\TP et Raccodement\FICHES CREES RACCORDEMENT\2 - SAV + COMPL + PASSAGE W XV A SAISIR DANS AX\09-09-2018\*COMPLEMENT*.pdf")</f>
        <v>0</v>
      </c>
      <c r="L10" s="31">
        <f ca="1">GetFileList("P:\TP et Raccodement\FICHES CREES RACCORDEMENT\2 - SAV + COMPL + PASSAGE W XV A SAISIR DANS AX\09-09-2018\*REPRISE*.pdf")</f>
        <v>0</v>
      </c>
      <c r="M10" s="32">
        <f ca="1">GetFileList("P:\TP et Raccodement\FICHES CREES RACCORDEMENT\2 - SAV + COMPL + PASSAGE W XV A SAISIR DANS AX\09-09-2018\*REMONTAGE*.pdf")</f>
        <v>0</v>
      </c>
      <c r="N10" s="33"/>
      <c r="O10" s="34">
        <f t="shared" ca="1" si="2"/>
        <v>0</v>
      </c>
    </row>
    <row r="11" spans="1:15" ht="16.5" x14ac:dyDescent="0.3">
      <c r="A11" s="2">
        <v>43353</v>
      </c>
      <c r="B11" s="55">
        <f t="shared" si="0"/>
        <v>42</v>
      </c>
      <c r="C11" s="27">
        <v>18</v>
      </c>
      <c r="D11" s="27">
        <v>13</v>
      </c>
      <c r="E11" s="27">
        <v>11</v>
      </c>
      <c r="F11" s="13">
        <f t="shared" si="1"/>
        <v>10</v>
      </c>
      <c r="G11" s="27">
        <v>5</v>
      </c>
      <c r="H11" s="27">
        <v>5</v>
      </c>
      <c r="I11" s="27">
        <v>0</v>
      </c>
      <c r="J11" s="29">
        <v>8</v>
      </c>
      <c r="K11" s="30">
        <v>4</v>
      </c>
      <c r="L11" s="31">
        <v>0</v>
      </c>
      <c r="M11" s="32">
        <v>1</v>
      </c>
      <c r="N11" s="33"/>
      <c r="O11" s="34">
        <f t="shared" si="2"/>
        <v>65</v>
      </c>
    </row>
    <row r="12" spans="1:15" ht="16.5" x14ac:dyDescent="0.3">
      <c r="A12" s="2">
        <v>43354</v>
      </c>
      <c r="B12" s="55">
        <f t="shared" si="0"/>
        <v>37</v>
      </c>
      <c r="C12" s="27">
        <v>11</v>
      </c>
      <c r="D12" s="27">
        <v>17</v>
      </c>
      <c r="E12" s="27">
        <v>9</v>
      </c>
      <c r="F12" s="13">
        <f t="shared" si="1"/>
        <v>12</v>
      </c>
      <c r="G12" s="27">
        <v>6</v>
      </c>
      <c r="H12" s="27">
        <v>6</v>
      </c>
      <c r="I12" s="27">
        <v>0</v>
      </c>
      <c r="J12" s="29">
        <v>13</v>
      </c>
      <c r="K12" s="30">
        <v>5</v>
      </c>
      <c r="L12" s="31">
        <v>0</v>
      </c>
      <c r="M12" s="32">
        <v>1</v>
      </c>
      <c r="N12" s="33"/>
      <c r="O12" s="34">
        <f t="shared" si="2"/>
        <v>68</v>
      </c>
    </row>
    <row r="13" spans="1:15" ht="16.5" x14ac:dyDescent="0.3">
      <c r="A13" s="2">
        <v>43355</v>
      </c>
      <c r="B13" s="55">
        <f t="shared" si="0"/>
        <v>43</v>
      </c>
      <c r="C13" s="27">
        <v>15</v>
      </c>
      <c r="D13" s="27">
        <v>15</v>
      </c>
      <c r="E13" s="27">
        <v>13</v>
      </c>
      <c r="F13" s="13">
        <f t="shared" si="1"/>
        <v>3</v>
      </c>
      <c r="G13" s="27">
        <v>2</v>
      </c>
      <c r="H13" s="27">
        <v>1</v>
      </c>
      <c r="I13" s="27">
        <v>0</v>
      </c>
      <c r="J13" s="29">
        <v>12</v>
      </c>
      <c r="K13" s="30">
        <v>12</v>
      </c>
      <c r="L13" s="31">
        <v>0</v>
      </c>
      <c r="M13" s="32">
        <v>0</v>
      </c>
      <c r="N13" s="33"/>
      <c r="O13" s="34">
        <f t="shared" si="2"/>
        <v>70</v>
      </c>
    </row>
    <row r="14" spans="1:15" ht="16.5" x14ac:dyDescent="0.3">
      <c r="A14" s="2">
        <v>43356</v>
      </c>
      <c r="B14" s="55">
        <f t="shared" si="0"/>
        <v>37</v>
      </c>
      <c r="C14" s="27">
        <v>14</v>
      </c>
      <c r="D14" s="27">
        <v>16</v>
      </c>
      <c r="E14" s="27">
        <v>7</v>
      </c>
      <c r="F14" s="13">
        <f t="shared" si="1"/>
        <v>5</v>
      </c>
      <c r="G14" s="27">
        <v>2</v>
      </c>
      <c r="H14" s="27">
        <v>3</v>
      </c>
      <c r="I14" s="27">
        <v>0</v>
      </c>
      <c r="J14" s="29">
        <v>18</v>
      </c>
      <c r="K14" s="30">
        <v>6</v>
      </c>
      <c r="L14" s="31">
        <v>0</v>
      </c>
      <c r="M14" s="32">
        <v>2</v>
      </c>
      <c r="N14" s="33"/>
      <c r="O14" s="34">
        <f t="shared" si="2"/>
        <v>68</v>
      </c>
    </row>
    <row r="15" spans="1:15" ht="16.5" x14ac:dyDescent="0.3">
      <c r="A15" s="2">
        <v>43357</v>
      </c>
      <c r="B15" s="55">
        <f t="shared" si="0"/>
        <v>43</v>
      </c>
      <c r="C15" s="27">
        <v>23</v>
      </c>
      <c r="D15" s="27">
        <v>13</v>
      </c>
      <c r="E15" s="27">
        <v>7</v>
      </c>
      <c r="F15" s="13">
        <f t="shared" si="1"/>
        <v>8</v>
      </c>
      <c r="G15" s="27">
        <v>5</v>
      </c>
      <c r="H15" s="27">
        <v>3</v>
      </c>
      <c r="I15" s="27">
        <v>0</v>
      </c>
      <c r="J15" s="29">
        <v>21</v>
      </c>
      <c r="K15" s="30">
        <v>1</v>
      </c>
      <c r="L15" s="31">
        <v>0</v>
      </c>
      <c r="M15" s="32">
        <v>2</v>
      </c>
      <c r="N15" s="33"/>
      <c r="O15" s="34">
        <f t="shared" si="2"/>
        <v>75</v>
      </c>
    </row>
    <row r="16" spans="1:15" ht="16.5" x14ac:dyDescent="0.3">
      <c r="A16" s="2">
        <v>43358</v>
      </c>
      <c r="B16" s="55">
        <f t="shared" si="0"/>
        <v>2</v>
      </c>
      <c r="C16" s="27">
        <v>2</v>
      </c>
      <c r="D16" s="27">
        <v>0</v>
      </c>
      <c r="E16" s="27">
        <v>0</v>
      </c>
      <c r="F16" s="13">
        <f t="shared" si="1"/>
        <v>1</v>
      </c>
      <c r="G16" s="27">
        <v>1</v>
      </c>
      <c r="H16" s="27">
        <v>0</v>
      </c>
      <c r="I16" s="27">
        <v>0</v>
      </c>
      <c r="J16" s="29">
        <v>1</v>
      </c>
      <c r="K16" s="30">
        <v>0</v>
      </c>
      <c r="L16" s="31">
        <v>0</v>
      </c>
      <c r="M16" s="32">
        <v>1</v>
      </c>
      <c r="N16" s="33"/>
      <c r="O16" s="34">
        <f t="shared" si="2"/>
        <v>5</v>
      </c>
    </row>
    <row r="17" spans="1:15" ht="16.5" x14ac:dyDescent="0.3">
      <c r="A17" s="2">
        <v>43359</v>
      </c>
      <c r="B17" s="55">
        <f t="shared" ca="1" si="0"/>
        <v>0</v>
      </c>
      <c r="C17" s="27">
        <f ca="1">GetFileList("P:\TP et Raccodement\FICHES CREES RACCORDEMENT\1 - RACCOS A SAISIR DANS AX\16-09-2018\*LM RACCO*.pdf")</f>
        <v>0</v>
      </c>
      <c r="D17" s="27">
        <f ca="1">GetFileList("P:\TP et Raccodement\FICHES CREES RACCORDEMENT\1 - RACCOS A SAISIR DANS AX\16-09-2018\*LR RACCO*.pdf")</f>
        <v>0</v>
      </c>
      <c r="E17" s="27">
        <f ca="1">GetFileList("P:\TP et Raccodement\FICHES CREES RACCORDEMENT\1 - RACCOS A SAISIR DANS AX\16-09-2018\*CL RACCO*.pdf")</f>
        <v>0</v>
      </c>
      <c r="F17" s="13">
        <f t="shared" ca="1" si="1"/>
        <v>0</v>
      </c>
      <c r="G17" s="27">
        <f ca="1">GetFileList("P:\TP et Raccodement\FICHES CREES RACCORDEMENT\2 - SAV + COMPL + PASSAGE W XV A SAISIR DANS AX\16-09-2018\*LM PASS*.pdf")</f>
        <v>0</v>
      </c>
      <c r="H17" s="27">
        <f ca="1">GetFileList("P:\TP et Raccodement\FICHES CREES RACCORDEMENT\2 - SAV + COMPL + PASSAGE W XV A SAISIR DANS AX\16-09-2018\*LR PASS*.pdf")</f>
        <v>0</v>
      </c>
      <c r="I17" s="27">
        <f ca="1">GetFileList("P:\TP et Raccodement\FICHES CREES RACCORDEMENT\2 - SAV + COMPL + PASSAGE W XV A SAISIR DANS AX\16-09-2018\*CL PASS*.pdf")</f>
        <v>0</v>
      </c>
      <c r="J17" s="29">
        <f ca="1">GetFileList("P:\TP et Raccodement\FICHES CREES RACCORDEMENT\2 - SAV + COMPL + PASSAGE W XV A SAISIR DANS AX\16-09-2018\*SAV*.pdf")</f>
        <v>0</v>
      </c>
      <c r="K17" s="30">
        <f ca="1">GetFileList("P:\TP et Raccodement\FICHES CREES RACCORDEMENT\2 - SAV + COMPL + PASSAGE W XV A SAISIR DANS AX\16-09-2018\*COMPLEMENT*.pdf")</f>
        <v>0</v>
      </c>
      <c r="L17" s="31">
        <f ca="1">GetFileList("P:\TP et Raccodement\FICHES CREES RACCORDEMENT\2 - SAV + COMPL + PASSAGE W XV A SAISIR DANS AX\16-09-2018\*REPRISE*.pdf")</f>
        <v>0</v>
      </c>
      <c r="M17" s="32">
        <f ca="1">GetFileList("P:\TP et Raccodement\FICHES CREES RACCORDEMENT\2 - SAV + COMPL + PASSAGE W XV A SAISIR DANS AX\16-09-2018\*REMONTAGE*.pdf")</f>
        <v>0</v>
      </c>
      <c r="N17" s="33"/>
      <c r="O17" s="34">
        <f t="shared" ca="1" si="2"/>
        <v>0</v>
      </c>
    </row>
    <row r="18" spans="1:15" ht="16.5" x14ac:dyDescent="0.3">
      <c r="A18" s="2">
        <v>43360</v>
      </c>
      <c r="B18" s="55">
        <f t="shared" si="0"/>
        <v>42</v>
      </c>
      <c r="C18" s="27">
        <v>21</v>
      </c>
      <c r="D18" s="27">
        <v>13</v>
      </c>
      <c r="E18" s="27">
        <v>8</v>
      </c>
      <c r="F18" s="13">
        <f t="shared" si="1"/>
        <v>14</v>
      </c>
      <c r="G18" s="27">
        <v>7</v>
      </c>
      <c r="H18" s="27">
        <v>6</v>
      </c>
      <c r="I18" s="27">
        <v>1</v>
      </c>
      <c r="J18" s="29">
        <v>8</v>
      </c>
      <c r="K18" s="30">
        <v>8</v>
      </c>
      <c r="L18" s="31">
        <v>0</v>
      </c>
      <c r="M18" s="32">
        <v>1</v>
      </c>
      <c r="N18" s="33"/>
      <c r="O18" s="34">
        <f t="shared" si="2"/>
        <v>73</v>
      </c>
    </row>
    <row r="19" spans="1:15" ht="16.5" x14ac:dyDescent="0.3">
      <c r="A19" s="2">
        <v>43361</v>
      </c>
      <c r="B19" s="55">
        <f t="shared" si="0"/>
        <v>40</v>
      </c>
      <c r="C19" s="27">
        <v>17</v>
      </c>
      <c r="D19" s="27">
        <v>14</v>
      </c>
      <c r="E19" s="27">
        <v>9</v>
      </c>
      <c r="F19" s="13">
        <f t="shared" si="1"/>
        <v>9</v>
      </c>
      <c r="G19" s="27">
        <v>6</v>
      </c>
      <c r="H19" s="27">
        <v>2</v>
      </c>
      <c r="I19" s="27">
        <v>1</v>
      </c>
      <c r="J19" s="29">
        <v>16</v>
      </c>
      <c r="K19" s="30">
        <v>6</v>
      </c>
      <c r="L19" s="31">
        <v>1</v>
      </c>
      <c r="M19" s="32">
        <v>0</v>
      </c>
      <c r="N19" s="33"/>
      <c r="O19" s="34">
        <f t="shared" si="2"/>
        <v>72</v>
      </c>
    </row>
    <row r="20" spans="1:15" ht="16.5" x14ac:dyDescent="0.3">
      <c r="A20" s="2">
        <v>43362</v>
      </c>
      <c r="B20" s="55">
        <f t="shared" si="0"/>
        <v>42</v>
      </c>
      <c r="C20" s="27">
        <v>13</v>
      </c>
      <c r="D20" s="27">
        <v>16</v>
      </c>
      <c r="E20" s="27">
        <v>13</v>
      </c>
      <c r="F20" s="13">
        <f t="shared" si="1"/>
        <v>9</v>
      </c>
      <c r="G20" s="27">
        <v>7</v>
      </c>
      <c r="H20" s="27">
        <v>2</v>
      </c>
      <c r="I20" s="27">
        <v>0</v>
      </c>
      <c r="J20" s="29">
        <v>15</v>
      </c>
      <c r="K20" s="30">
        <v>3</v>
      </c>
      <c r="L20" s="31">
        <v>0</v>
      </c>
      <c r="M20" s="32">
        <v>1</v>
      </c>
      <c r="N20" s="33"/>
      <c r="O20" s="34">
        <f t="shared" si="2"/>
        <v>70</v>
      </c>
    </row>
    <row r="21" spans="1:15" ht="16.5" x14ac:dyDescent="0.3">
      <c r="A21" s="2">
        <v>43363</v>
      </c>
      <c r="B21" s="55">
        <f t="shared" si="0"/>
        <v>31</v>
      </c>
      <c r="C21" s="27">
        <v>12</v>
      </c>
      <c r="D21" s="27">
        <v>12</v>
      </c>
      <c r="E21" s="27">
        <v>7</v>
      </c>
      <c r="F21" s="13">
        <f t="shared" si="1"/>
        <v>5</v>
      </c>
      <c r="G21" s="27">
        <v>1</v>
      </c>
      <c r="H21" s="27">
        <v>3</v>
      </c>
      <c r="I21" s="27">
        <v>1</v>
      </c>
      <c r="J21" s="29">
        <v>18</v>
      </c>
      <c r="K21" s="30">
        <v>4</v>
      </c>
      <c r="L21" s="31">
        <v>0</v>
      </c>
      <c r="M21" s="32">
        <v>0</v>
      </c>
      <c r="N21" s="33"/>
      <c r="O21" s="34">
        <f t="shared" si="2"/>
        <v>58</v>
      </c>
    </row>
    <row r="22" spans="1:15" ht="16.5" x14ac:dyDescent="0.3">
      <c r="A22" s="2">
        <v>43364</v>
      </c>
      <c r="B22" s="55">
        <f t="shared" si="0"/>
        <v>31</v>
      </c>
      <c r="C22" s="27">
        <v>13</v>
      </c>
      <c r="D22" s="27">
        <v>11</v>
      </c>
      <c r="E22" s="27">
        <v>7</v>
      </c>
      <c r="F22" s="13">
        <f t="shared" si="1"/>
        <v>9</v>
      </c>
      <c r="G22" s="27">
        <v>5</v>
      </c>
      <c r="H22" s="27">
        <v>4</v>
      </c>
      <c r="I22" s="27">
        <v>0</v>
      </c>
      <c r="J22" s="29">
        <v>16</v>
      </c>
      <c r="K22" s="30">
        <v>4</v>
      </c>
      <c r="L22" s="31">
        <v>0</v>
      </c>
      <c r="M22" s="32">
        <v>1</v>
      </c>
      <c r="N22" s="33"/>
      <c r="O22" s="34">
        <f t="shared" si="2"/>
        <v>61</v>
      </c>
    </row>
    <row r="23" spans="1:15" ht="16.5" x14ac:dyDescent="0.3">
      <c r="A23" s="2">
        <v>43365</v>
      </c>
      <c r="B23" s="55">
        <f t="shared" si="0"/>
        <v>3</v>
      </c>
      <c r="C23" s="27">
        <v>3</v>
      </c>
      <c r="D23" s="27">
        <v>0</v>
      </c>
      <c r="E23" s="27">
        <v>0</v>
      </c>
      <c r="F23" s="13">
        <f t="shared" si="1"/>
        <v>0</v>
      </c>
      <c r="G23" s="27">
        <v>0</v>
      </c>
      <c r="H23" s="27">
        <v>0</v>
      </c>
      <c r="I23" s="27">
        <v>0</v>
      </c>
      <c r="J23" s="29">
        <v>0</v>
      </c>
      <c r="K23" s="30">
        <v>1</v>
      </c>
      <c r="L23" s="31">
        <v>0</v>
      </c>
      <c r="M23" s="32">
        <v>0</v>
      </c>
      <c r="N23" s="33"/>
      <c r="O23" s="34">
        <f t="shared" si="2"/>
        <v>4</v>
      </c>
    </row>
    <row r="24" spans="1:15" ht="16.5" x14ac:dyDescent="0.3">
      <c r="A24" s="2">
        <v>43366</v>
      </c>
      <c r="B24" s="55">
        <f t="shared" ca="1" si="0"/>
        <v>0</v>
      </c>
      <c r="C24" s="27"/>
      <c r="D24" s="27">
        <f ca="1">GetFileList("P:\TP et Raccodement\FICHES CREES RACCORDEMENT\1 - RACCOS A SAISIR DANS AX\23-09-2018\*LR RACCO*.pdf")</f>
        <v>0</v>
      </c>
      <c r="E24" s="27">
        <f ca="1">GetFileList("P:\TP et Raccodement\FICHES CREES RACCORDEMENT\1 - RACCOS A SAISIR DANS AX\23-09-2018\*CL RACCO*.pdf")</f>
        <v>0</v>
      </c>
      <c r="F24" s="13">
        <f t="shared" ca="1" si="1"/>
        <v>0</v>
      </c>
      <c r="G24" s="27">
        <f ca="1">GetFileList("P:\TP et Raccodement\FICHES CREES RACCORDEMENT\2 - SAV + COMPL + PASSAGE W XV A SAISIR DANS AX\23-09-2018\*LM PASS*.pdf")</f>
        <v>0</v>
      </c>
      <c r="H24" s="27">
        <f ca="1">GetFileList("P:\TP et Raccodement\FICHES CREES RACCORDEMENT\2 - SAV + COMPL + PASSAGE W XV A SAISIR DANS AX\23-09-2018\*LR PASS*.pdf")</f>
        <v>0</v>
      </c>
      <c r="I24" s="27">
        <f ca="1">GetFileList("P:\TP et Raccodement\FICHES CREES RACCORDEMENT\2 - SAV + COMPL + PASSAGE W XV A SAISIR DANS AX\23-09-2018\*CL PASS*.pdf")</f>
        <v>0</v>
      </c>
      <c r="J24" s="29">
        <f ca="1">GetFileList("P:\TP et Raccodement\FICHES CREES RACCORDEMENT\2 - SAV + COMPL + PASSAGE W XV A SAISIR DANS AX\23-09-2018\*SAV*.pdf")</f>
        <v>0</v>
      </c>
      <c r="K24" s="30">
        <f ca="1">GetFileList("P:\TP et Raccodement\FICHES CREES RACCORDEMENT\2 - SAV + COMPL + PASSAGE W XV A SAISIR DANS AX\23-09-2018\*COMPLEMENT*.pdf")</f>
        <v>0</v>
      </c>
      <c r="L24" s="31">
        <f ca="1">GetFileList("P:\TP et Raccodement\FICHES CREES RACCORDEMENT\2 - SAV + COMPL + PASSAGE W XV A SAISIR DANS AX\23-09-2018\*REPRISE*.pdf")</f>
        <v>0</v>
      </c>
      <c r="M24" s="32">
        <f ca="1">GetFileList("P:\TP et Raccodement\FICHES CREES RACCORDEMENT\2 - SAV + COMPL + PASSAGE W XV A SAISIR DANS AX\23-09-2018\*REMONTAGE*.pdf")</f>
        <v>0</v>
      </c>
      <c r="N24" s="33"/>
      <c r="O24" s="34">
        <f t="shared" ca="1" si="2"/>
        <v>0</v>
      </c>
    </row>
    <row r="25" spans="1:15" ht="16.5" x14ac:dyDescent="0.3">
      <c r="A25" s="2">
        <v>43367</v>
      </c>
      <c r="B25" s="55">
        <f t="shared" si="0"/>
        <v>55</v>
      </c>
      <c r="C25" s="27">
        <v>19</v>
      </c>
      <c r="D25" s="27">
        <v>18</v>
      </c>
      <c r="E25" s="27">
        <v>18</v>
      </c>
      <c r="F25" s="13">
        <f t="shared" si="1"/>
        <v>7</v>
      </c>
      <c r="G25" s="27">
        <v>5</v>
      </c>
      <c r="H25" s="27">
        <v>2</v>
      </c>
      <c r="I25" s="27">
        <v>0</v>
      </c>
      <c r="J25" s="29">
        <v>6</v>
      </c>
      <c r="K25" s="30">
        <v>3</v>
      </c>
      <c r="L25" s="31">
        <v>0</v>
      </c>
      <c r="M25" s="32">
        <v>5</v>
      </c>
      <c r="N25" s="33"/>
      <c r="O25" s="34">
        <f t="shared" si="2"/>
        <v>76</v>
      </c>
    </row>
    <row r="26" spans="1:15" ht="16.5" x14ac:dyDescent="0.3">
      <c r="A26" s="2">
        <v>43368</v>
      </c>
      <c r="B26" s="55">
        <f t="shared" si="0"/>
        <v>43</v>
      </c>
      <c r="C26" s="27">
        <v>14</v>
      </c>
      <c r="D26" s="27">
        <v>18</v>
      </c>
      <c r="E26" s="27">
        <v>11</v>
      </c>
      <c r="F26" s="13">
        <f t="shared" si="1"/>
        <v>13</v>
      </c>
      <c r="G26" s="27">
        <v>6</v>
      </c>
      <c r="H26" s="27">
        <v>7</v>
      </c>
      <c r="I26" s="27">
        <v>0</v>
      </c>
      <c r="J26" s="29">
        <v>5</v>
      </c>
      <c r="K26" s="30">
        <v>2</v>
      </c>
      <c r="L26" s="31">
        <v>0</v>
      </c>
      <c r="M26" s="32">
        <v>1</v>
      </c>
      <c r="N26" s="33"/>
      <c r="O26" s="34">
        <f t="shared" si="2"/>
        <v>64</v>
      </c>
    </row>
    <row r="27" spans="1:15" ht="16.5" x14ac:dyDescent="0.3">
      <c r="A27" s="2">
        <v>43369</v>
      </c>
      <c r="B27" s="55">
        <f t="shared" si="0"/>
        <v>41</v>
      </c>
      <c r="C27" s="27">
        <v>13</v>
      </c>
      <c r="D27" s="27">
        <v>19</v>
      </c>
      <c r="E27" s="27">
        <v>9</v>
      </c>
      <c r="F27" s="13">
        <f t="shared" si="1"/>
        <v>5</v>
      </c>
      <c r="G27" s="27">
        <v>2</v>
      </c>
      <c r="H27" s="27">
        <v>3</v>
      </c>
      <c r="I27" s="27">
        <v>0</v>
      </c>
      <c r="J27" s="29">
        <v>11</v>
      </c>
      <c r="K27" s="30">
        <v>7</v>
      </c>
      <c r="L27" s="31">
        <v>1</v>
      </c>
      <c r="M27" s="32">
        <v>1</v>
      </c>
      <c r="N27" s="33"/>
      <c r="O27" s="34">
        <f t="shared" si="2"/>
        <v>66</v>
      </c>
    </row>
    <row r="28" spans="1:15" ht="16.5" x14ac:dyDescent="0.3">
      <c r="A28" s="2">
        <v>43370</v>
      </c>
      <c r="B28" s="55">
        <f t="shared" si="0"/>
        <v>42</v>
      </c>
      <c r="C28" s="27">
        <v>12</v>
      </c>
      <c r="D28" s="27">
        <v>16</v>
      </c>
      <c r="E28" s="27">
        <v>14</v>
      </c>
      <c r="F28" s="13">
        <f t="shared" si="1"/>
        <v>6</v>
      </c>
      <c r="G28" s="27">
        <v>5</v>
      </c>
      <c r="H28" s="27">
        <v>1</v>
      </c>
      <c r="I28" s="27">
        <v>0</v>
      </c>
      <c r="J28" s="29">
        <v>19</v>
      </c>
      <c r="K28" s="30">
        <v>7</v>
      </c>
      <c r="L28" s="31">
        <v>0</v>
      </c>
      <c r="M28" s="32">
        <v>1</v>
      </c>
      <c r="N28" s="33"/>
      <c r="O28" s="34">
        <f t="shared" si="2"/>
        <v>75</v>
      </c>
    </row>
    <row r="29" spans="1:15" ht="16.5" x14ac:dyDescent="0.3">
      <c r="A29" s="2">
        <v>43371</v>
      </c>
      <c r="B29" s="55">
        <f t="shared" si="0"/>
        <v>39</v>
      </c>
      <c r="C29" s="27">
        <v>13</v>
      </c>
      <c r="D29" s="27">
        <v>11</v>
      </c>
      <c r="E29" s="27">
        <v>15</v>
      </c>
      <c r="F29" s="13">
        <f t="shared" si="1"/>
        <v>6</v>
      </c>
      <c r="G29" s="27">
        <v>4</v>
      </c>
      <c r="H29" s="27">
        <v>2</v>
      </c>
      <c r="I29" s="27">
        <v>0</v>
      </c>
      <c r="J29" s="29">
        <v>9</v>
      </c>
      <c r="K29" s="30">
        <v>2</v>
      </c>
      <c r="L29" s="31">
        <v>1</v>
      </c>
      <c r="M29" s="32">
        <v>1</v>
      </c>
      <c r="N29" s="33"/>
      <c r="O29" s="34">
        <f t="shared" si="2"/>
        <v>58</v>
      </c>
    </row>
    <row r="30" spans="1:15" ht="16.5" x14ac:dyDescent="0.3">
      <c r="A30" s="2">
        <v>43372</v>
      </c>
      <c r="B30" s="55">
        <f t="shared" si="0"/>
        <v>3</v>
      </c>
      <c r="C30" s="27">
        <v>3</v>
      </c>
      <c r="D30" s="27">
        <v>0</v>
      </c>
      <c r="E30" s="27">
        <v>0</v>
      </c>
      <c r="F30" s="13">
        <f t="shared" si="1"/>
        <v>1</v>
      </c>
      <c r="G30" s="27">
        <v>1</v>
      </c>
      <c r="H30" s="27">
        <v>0</v>
      </c>
      <c r="I30" s="27">
        <v>0</v>
      </c>
      <c r="J30" s="29">
        <v>0</v>
      </c>
      <c r="K30" s="30">
        <v>0</v>
      </c>
      <c r="L30" s="31">
        <v>0</v>
      </c>
      <c r="M30" s="32">
        <v>0</v>
      </c>
      <c r="N30" s="33"/>
      <c r="O30" s="34">
        <f t="shared" si="2"/>
        <v>4</v>
      </c>
    </row>
    <row r="31" spans="1:15" ht="17.25" thickBot="1" x14ac:dyDescent="0.35">
      <c r="A31" s="2">
        <v>43373</v>
      </c>
      <c r="B31" s="55">
        <f t="shared" ca="1" si="0"/>
        <v>0</v>
      </c>
      <c r="C31" s="27">
        <f ca="1">GetFileList("P:\TP et Raccodement\FICHES CREES RACCORDEMENT\1 - RACCOS A SAISIR DANS AX\30-09-2018\*LM RACCO*.pdf")</f>
        <v>0</v>
      </c>
      <c r="D31" s="27">
        <f ca="1">GetFileList("P:\TP et Raccodement\FICHES CREES RACCORDEMENT\1 - RACCOS A SAISIR DANS AX\30-09-2018\*LR RACCO*.pdf")</f>
        <v>0</v>
      </c>
      <c r="E31" s="27">
        <f ca="1">GetFileList("P:\TP et Raccodement\FICHES CREES RACCORDEMENT\1 - RACCOS A SAISIR DANS AX\30-09-2018\*CL RACCO*.pdf")</f>
        <v>0</v>
      </c>
      <c r="F31" s="13">
        <f t="shared" ca="1" si="1"/>
        <v>0</v>
      </c>
      <c r="G31" s="27">
        <f ca="1">GetFileList("P:\TP et Raccodement\FICHES CREES RACCORDEMENT\2 - SAV + COMPL + PASSAGE W XV A SAISIR DANS AX\30-09-2018\*LM PASS*.pdf")</f>
        <v>0</v>
      </c>
      <c r="H31" s="27">
        <f ca="1">GetFileList("P:\TP et Raccodement\FICHES CREES RACCORDEMENT\2 - SAV + COMPL + PASSAGE W XV A SAISIR DANS AX\30-09-2018\*LR PASS*.pdf")</f>
        <v>0</v>
      </c>
      <c r="I31" s="27">
        <f ca="1">GetFileList("P:\TP et Raccodement\FICHES CREES RACCORDEMENT\2 - SAV + COMPL + PASSAGE W XV A SAISIR DANS AX\30-09-2018\*CL PASS*.pdf")</f>
        <v>0</v>
      </c>
      <c r="J31" s="29">
        <f ca="1">GetFileList("P:\TP et Raccodement\FICHES CREES RACCORDEMENT\2 - SAV + COMPL + PASSAGE W XV A SAISIR DANS AX\30-09-2018\*SAV*.pdf")</f>
        <v>0</v>
      </c>
      <c r="K31" s="30">
        <f ca="1">GetFileList("P:\TP et Raccodement\FICHES CREES RACCORDEMENT\2 - SAV + COMPL + PASSAGE W XV A SAISIR DANS AX\30-09-2018\*COMPLEMENT*.pdf")</f>
        <v>0</v>
      </c>
      <c r="L31" s="31">
        <f ca="1">GetFileList("P:\TP et Raccodement\FICHES CREES RACCORDEMENT\2 - SAV + COMPL + PASSAGE W XV A SAISIR DANS AX\30-09-2018\*REPRISE*.pdf")</f>
        <v>0</v>
      </c>
      <c r="M31" s="32">
        <f ca="1">GetFileList("P:\TP et Raccodement\FICHES CREES RACCORDEMENT\2 - SAV + COMPL + PASSAGE W XV A SAISIR DANS AX\30-09-2018\*REMONTAGE*.pdf")</f>
        <v>0</v>
      </c>
      <c r="N31" s="33"/>
      <c r="O31" s="34">
        <f t="shared" ca="1" si="2"/>
        <v>0</v>
      </c>
    </row>
    <row r="32" spans="1:15" ht="17.25" thickBot="1" x14ac:dyDescent="0.35">
      <c r="A32" s="26" t="s">
        <v>10</v>
      </c>
      <c r="B32" s="57">
        <f t="shared" ref="B32:M32" ca="1" si="3">SUM(B2:B31)</f>
        <v>821</v>
      </c>
      <c r="C32" s="17">
        <f t="shared" ca="1" si="3"/>
        <v>310</v>
      </c>
      <c r="D32" s="17">
        <f t="shared" ca="1" si="3"/>
        <v>303</v>
      </c>
      <c r="E32" s="17">
        <f t="shared" ca="1" si="3"/>
        <v>208</v>
      </c>
      <c r="F32" s="18">
        <f t="shared" ca="1" si="3"/>
        <v>167</v>
      </c>
      <c r="G32" s="18">
        <f t="shared" ca="1" si="3"/>
        <v>92</v>
      </c>
      <c r="H32" s="18">
        <f t="shared" ca="1" si="3"/>
        <v>72</v>
      </c>
      <c r="I32" s="18">
        <f t="shared" ca="1" si="3"/>
        <v>3</v>
      </c>
      <c r="J32" s="11">
        <f t="shared" ca="1" si="3"/>
        <v>247</v>
      </c>
      <c r="K32" s="11">
        <f t="shared" ca="1" si="3"/>
        <v>95</v>
      </c>
      <c r="L32" s="11">
        <f t="shared" ca="1" si="3"/>
        <v>3</v>
      </c>
      <c r="M32" s="11">
        <f t="shared" ca="1" si="3"/>
        <v>29</v>
      </c>
      <c r="N32" s="33"/>
      <c r="O32" s="40">
        <f ca="1">SUM(O2:O31)</f>
        <v>1362</v>
      </c>
    </row>
  </sheetData>
  <conditionalFormatting sqref="B2:B31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{8C7231A5-D50C-4547-ADF7-C008D2B3BEE6}</x14:id>
        </ext>
      </extLst>
    </cfRule>
  </conditionalFormatting>
  <conditionalFormatting sqref="B4:B8 B11:B15 B18:B22 B25:B29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C7231A5-D50C-4547-ADF7-C008D2B3BEE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B2:B31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7030A0"/>
  </sheetPr>
  <dimension ref="A1:O33"/>
  <sheetViews>
    <sheetView showGridLines="0" showRowColHeaders="0" zoomScaleNormal="100" workbookViewId="0">
      <pane ySplit="1" topLeftCell="A17" activePane="bottomLeft" state="frozen"/>
      <selection pane="bottomLeft" activeCell="D31" sqref="D31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43374</v>
      </c>
      <c r="B2" s="55">
        <f>C2+D2+E2</f>
        <v>50</v>
      </c>
      <c r="C2" s="27">
        <v>22</v>
      </c>
      <c r="D2" s="27">
        <v>16</v>
      </c>
      <c r="E2" s="27">
        <v>12</v>
      </c>
      <c r="F2" s="13">
        <f>G2+H2+I2</f>
        <v>13</v>
      </c>
      <c r="G2" s="27">
        <v>8</v>
      </c>
      <c r="H2" s="27">
        <v>5</v>
      </c>
      <c r="I2" s="27">
        <v>0</v>
      </c>
      <c r="J2" s="29">
        <v>5</v>
      </c>
      <c r="K2" s="30">
        <v>1</v>
      </c>
      <c r="L2" s="31">
        <v>1</v>
      </c>
      <c r="M2" s="32">
        <v>1</v>
      </c>
      <c r="N2" s="33"/>
      <c r="O2" s="34">
        <f>B2+F2+J2+K2+L2+M2</f>
        <v>71</v>
      </c>
    </row>
    <row r="3" spans="1:15" ht="16.5" x14ac:dyDescent="0.3">
      <c r="A3" s="2">
        <v>43375</v>
      </c>
      <c r="B3" s="55">
        <f t="shared" ref="B3:B32" si="0">C3+D3+E3</f>
        <v>57</v>
      </c>
      <c r="C3" s="27">
        <v>24</v>
      </c>
      <c r="D3" s="27">
        <v>20</v>
      </c>
      <c r="E3" s="27">
        <v>13</v>
      </c>
      <c r="F3" s="13">
        <f t="shared" ref="F3:F32" si="1">G3+H3+I3</f>
        <v>6</v>
      </c>
      <c r="G3" s="27">
        <v>5</v>
      </c>
      <c r="H3" s="27">
        <v>1</v>
      </c>
      <c r="I3" s="27">
        <v>0</v>
      </c>
      <c r="J3" s="29">
        <v>6</v>
      </c>
      <c r="K3" s="30">
        <v>1</v>
      </c>
      <c r="L3" s="31">
        <v>0</v>
      </c>
      <c r="M3" s="32">
        <v>2</v>
      </c>
      <c r="N3" s="33"/>
      <c r="O3" s="34">
        <f t="shared" ref="O3:O32" si="2">B3+F3+J3+K3+L3+M3</f>
        <v>72</v>
      </c>
    </row>
    <row r="4" spans="1:15" ht="16.5" x14ac:dyDescent="0.3">
      <c r="A4" s="2">
        <v>43376</v>
      </c>
      <c r="B4" s="55">
        <f t="shared" si="0"/>
        <v>45</v>
      </c>
      <c r="C4" s="27">
        <v>19</v>
      </c>
      <c r="D4" s="27">
        <v>15</v>
      </c>
      <c r="E4" s="27">
        <v>11</v>
      </c>
      <c r="F4" s="13">
        <f t="shared" si="1"/>
        <v>4</v>
      </c>
      <c r="G4" s="27">
        <v>1</v>
      </c>
      <c r="H4" s="27">
        <v>3</v>
      </c>
      <c r="I4" s="27">
        <v>0</v>
      </c>
      <c r="J4" s="29">
        <v>3</v>
      </c>
      <c r="K4" s="30">
        <v>6</v>
      </c>
      <c r="L4" s="31">
        <v>1</v>
      </c>
      <c r="M4" s="32">
        <v>1</v>
      </c>
      <c r="N4" s="33"/>
      <c r="O4" s="34">
        <f t="shared" si="2"/>
        <v>60</v>
      </c>
    </row>
    <row r="5" spans="1:15" ht="16.5" x14ac:dyDescent="0.3">
      <c r="A5" s="2">
        <v>43377</v>
      </c>
      <c r="B5" s="55">
        <f t="shared" si="0"/>
        <v>42</v>
      </c>
      <c r="C5" s="27">
        <v>19</v>
      </c>
      <c r="D5" s="27">
        <v>14</v>
      </c>
      <c r="E5" s="27">
        <v>9</v>
      </c>
      <c r="F5" s="13">
        <f t="shared" si="1"/>
        <v>7</v>
      </c>
      <c r="G5" s="27">
        <v>3</v>
      </c>
      <c r="H5" s="27">
        <v>4</v>
      </c>
      <c r="I5" s="27">
        <v>0</v>
      </c>
      <c r="J5" s="29">
        <v>6</v>
      </c>
      <c r="K5" s="30">
        <v>3</v>
      </c>
      <c r="L5" s="31">
        <v>0</v>
      </c>
      <c r="M5" s="32">
        <v>2</v>
      </c>
      <c r="N5" s="33"/>
      <c r="O5" s="34">
        <f t="shared" si="2"/>
        <v>60</v>
      </c>
    </row>
    <row r="6" spans="1:15" ht="16.5" x14ac:dyDescent="0.3">
      <c r="A6" s="2">
        <v>43378</v>
      </c>
      <c r="B6" s="55">
        <f t="shared" si="0"/>
        <v>39</v>
      </c>
      <c r="C6" s="27">
        <v>18</v>
      </c>
      <c r="D6" s="27">
        <v>12</v>
      </c>
      <c r="E6" s="27">
        <v>9</v>
      </c>
      <c r="F6" s="13">
        <f t="shared" si="1"/>
        <v>6</v>
      </c>
      <c r="G6" s="27">
        <v>4</v>
      </c>
      <c r="H6" s="27">
        <v>1</v>
      </c>
      <c r="I6" s="27">
        <v>1</v>
      </c>
      <c r="J6" s="29">
        <v>13</v>
      </c>
      <c r="K6" s="30">
        <v>2</v>
      </c>
      <c r="L6" s="31">
        <v>0</v>
      </c>
      <c r="M6" s="32">
        <v>1</v>
      </c>
      <c r="N6" s="33"/>
      <c r="O6" s="34">
        <f t="shared" si="2"/>
        <v>61</v>
      </c>
    </row>
    <row r="7" spans="1:15" ht="16.5" x14ac:dyDescent="0.3">
      <c r="A7" s="2">
        <v>43379</v>
      </c>
      <c r="B7" s="55">
        <f t="shared" si="0"/>
        <v>5</v>
      </c>
      <c r="C7" s="27">
        <v>5</v>
      </c>
      <c r="D7" s="27">
        <v>0</v>
      </c>
      <c r="E7" s="27">
        <v>0</v>
      </c>
      <c r="F7" s="13">
        <f t="shared" si="1"/>
        <v>2</v>
      </c>
      <c r="G7" s="27">
        <v>2</v>
      </c>
      <c r="H7" s="27">
        <v>0</v>
      </c>
      <c r="I7" s="27">
        <v>0</v>
      </c>
      <c r="J7" s="29">
        <v>0</v>
      </c>
      <c r="K7" s="30">
        <v>0</v>
      </c>
      <c r="L7" s="31">
        <v>0</v>
      </c>
      <c r="M7" s="32">
        <v>0</v>
      </c>
      <c r="N7" s="33"/>
      <c r="O7" s="34">
        <f t="shared" si="2"/>
        <v>7</v>
      </c>
    </row>
    <row r="8" spans="1:15" ht="16.5" x14ac:dyDescent="0.3">
      <c r="A8" s="2">
        <v>43380</v>
      </c>
      <c r="B8" s="55">
        <f t="shared" ca="1" si="0"/>
        <v>0</v>
      </c>
      <c r="C8" s="27">
        <f ca="1">GetFileList("P:\TP et Raccodement\FICHES CREES RACCORDEMENT\1 - RACCOS A SAISIR DANS AX\07-10-2018\*LM RACCO*.pdf")</f>
        <v>0</v>
      </c>
      <c r="D8" s="27">
        <f ca="1">GetFileList("P:\TP et Raccodement\FICHES CREES RACCORDEMENT\1 - RACCOS A SAISIR DANS AX\07-10-2018\*LR RACCO*.pdf")</f>
        <v>0</v>
      </c>
      <c r="E8" s="27">
        <f ca="1">GetFileList("P:\TP et Raccodement\FICHES CREES RACCORDEMENT\1 - RACCOS A SAISIR DANS AX\07-10-2018\*CL RACCO*.pdf")</f>
        <v>0</v>
      </c>
      <c r="F8" s="13">
        <f t="shared" ca="1" si="1"/>
        <v>0</v>
      </c>
      <c r="G8" s="27">
        <f ca="1">GetFileList("P:\TP et Raccodement\FICHES CREES RACCORDEMENT\2 - SAV + COMPL + PASSAGE W XV A SAISIR DANS AX\07-10-2018\*LM PASS*.pdf")</f>
        <v>0</v>
      </c>
      <c r="H8" s="27">
        <f ca="1">GetFileList("P:\TP et Raccodement\FICHES CREES RACCORDEMENT\2 - SAV + COMPL + PASSAGE W XV A SAISIR DANS AX\07-10-2018\*LR PASS*.pdf")</f>
        <v>0</v>
      </c>
      <c r="I8" s="27">
        <f ca="1">GetFileList("P:\TP et Raccodement\FICHES CREES RACCORDEMENT\2 - SAV + COMPL + PASSAGE W XV A SAISIR DANS AX\07-10-2018\*CL PASS*.pdf")</f>
        <v>0</v>
      </c>
      <c r="J8" s="29">
        <f ca="1">GetFileList("P:\TP et Raccodement\FICHES CREES RACCORDEMENT\2 - SAV + COMPL + PASSAGE W XV A SAISIR DANS AX\07-10-2018\*SAV*.pdf")</f>
        <v>0</v>
      </c>
      <c r="K8" s="30">
        <f ca="1">GetFileList("P:\TP et Raccodement\FICHES CREES RACCORDEMENT\2 - SAV + COMPL + PASSAGE W XV A SAISIR DANS AX\07-10-2018\*COMPLEMENT*.pdf")</f>
        <v>0</v>
      </c>
      <c r="L8" s="31">
        <f ca="1">GetFileList("P:\TP et Raccodement\FICHES CREES RACCORDEMENT\2 - SAV + COMPL + PASSAGE W XV A SAISIR DANS AX\07-10-2018\*REPRISE*.pdf")</f>
        <v>0</v>
      </c>
      <c r="M8" s="32">
        <f ca="1">GetFileList("P:\TP et Raccodement\FICHES CREES RACCORDEMENT\2 - SAV + COMPL + PASSAGE W XV A SAISIR DANS AX\07-10-2018\*REMONTAGE*.pdf")</f>
        <v>0</v>
      </c>
      <c r="N8" s="33"/>
      <c r="O8" s="34">
        <f t="shared" ca="1" si="2"/>
        <v>0</v>
      </c>
    </row>
    <row r="9" spans="1:15" ht="16.5" x14ac:dyDescent="0.3">
      <c r="A9" s="2">
        <v>43381</v>
      </c>
      <c r="B9" s="55">
        <f t="shared" si="0"/>
        <v>44</v>
      </c>
      <c r="C9" s="27">
        <v>19</v>
      </c>
      <c r="D9" s="27">
        <v>14</v>
      </c>
      <c r="E9" s="27">
        <v>11</v>
      </c>
      <c r="F9" s="13">
        <f t="shared" si="1"/>
        <v>9</v>
      </c>
      <c r="G9" s="27">
        <v>6</v>
      </c>
      <c r="H9" s="27">
        <v>3</v>
      </c>
      <c r="I9" s="27">
        <v>0</v>
      </c>
      <c r="J9" s="29">
        <v>11</v>
      </c>
      <c r="K9" s="30">
        <v>6</v>
      </c>
      <c r="L9" s="31">
        <v>0</v>
      </c>
      <c r="M9" s="32">
        <v>2</v>
      </c>
      <c r="N9" s="33"/>
      <c r="O9" s="34">
        <f t="shared" si="2"/>
        <v>72</v>
      </c>
    </row>
    <row r="10" spans="1:15" ht="16.5" x14ac:dyDescent="0.3">
      <c r="A10" s="2">
        <v>43382</v>
      </c>
      <c r="B10" s="55">
        <f t="shared" si="0"/>
        <v>40</v>
      </c>
      <c r="C10" s="27">
        <v>16</v>
      </c>
      <c r="D10" s="27">
        <v>15</v>
      </c>
      <c r="E10" s="27">
        <v>9</v>
      </c>
      <c r="F10" s="13">
        <f t="shared" si="1"/>
        <v>16</v>
      </c>
      <c r="G10" s="27">
        <v>9</v>
      </c>
      <c r="H10" s="27">
        <v>7</v>
      </c>
      <c r="I10" s="27">
        <v>0</v>
      </c>
      <c r="J10" s="29">
        <v>6</v>
      </c>
      <c r="K10" s="30">
        <v>7</v>
      </c>
      <c r="L10" s="31">
        <v>0</v>
      </c>
      <c r="M10" s="32">
        <v>1</v>
      </c>
      <c r="N10" s="33"/>
      <c r="O10" s="34">
        <f t="shared" si="2"/>
        <v>70</v>
      </c>
    </row>
    <row r="11" spans="1:15" ht="16.5" x14ac:dyDescent="0.3">
      <c r="A11" s="2">
        <v>43383</v>
      </c>
      <c r="B11" s="55">
        <f t="shared" si="0"/>
        <v>38</v>
      </c>
      <c r="C11" s="27">
        <v>12</v>
      </c>
      <c r="D11" s="27">
        <v>15</v>
      </c>
      <c r="E11" s="27">
        <v>11</v>
      </c>
      <c r="F11" s="13">
        <f t="shared" si="1"/>
        <v>10</v>
      </c>
      <c r="G11" s="27">
        <v>6</v>
      </c>
      <c r="H11" s="27">
        <v>3</v>
      </c>
      <c r="I11" s="27">
        <v>1</v>
      </c>
      <c r="J11" s="29">
        <v>16</v>
      </c>
      <c r="K11" s="30">
        <v>9</v>
      </c>
      <c r="L11" s="31">
        <v>2</v>
      </c>
      <c r="M11" s="32">
        <v>1</v>
      </c>
      <c r="N11" s="33"/>
      <c r="O11" s="34">
        <f t="shared" si="2"/>
        <v>76</v>
      </c>
    </row>
    <row r="12" spans="1:15" ht="16.5" x14ac:dyDescent="0.3">
      <c r="A12" s="2">
        <v>43384</v>
      </c>
      <c r="B12" s="55">
        <f t="shared" si="0"/>
        <v>40</v>
      </c>
      <c r="C12" s="27">
        <v>14</v>
      </c>
      <c r="D12" s="27">
        <v>15</v>
      </c>
      <c r="E12" s="27">
        <v>11</v>
      </c>
      <c r="F12" s="13">
        <f t="shared" si="1"/>
        <v>11</v>
      </c>
      <c r="G12" s="27">
        <v>9</v>
      </c>
      <c r="H12" s="27">
        <v>2</v>
      </c>
      <c r="I12" s="27">
        <v>0</v>
      </c>
      <c r="J12" s="29">
        <v>11</v>
      </c>
      <c r="K12" s="30">
        <v>7</v>
      </c>
      <c r="L12" s="31">
        <v>0</v>
      </c>
      <c r="M12" s="32">
        <v>3</v>
      </c>
      <c r="N12" s="33"/>
      <c r="O12" s="34">
        <f t="shared" si="2"/>
        <v>72</v>
      </c>
    </row>
    <row r="13" spans="1:15" ht="16.5" x14ac:dyDescent="0.3">
      <c r="A13" s="2">
        <v>43385</v>
      </c>
      <c r="B13" s="55">
        <f t="shared" si="0"/>
        <v>47</v>
      </c>
      <c r="C13" s="27">
        <v>21</v>
      </c>
      <c r="D13" s="27">
        <v>15</v>
      </c>
      <c r="E13" s="27">
        <v>11</v>
      </c>
      <c r="F13" s="13">
        <f t="shared" si="1"/>
        <v>9</v>
      </c>
      <c r="G13" s="27">
        <v>7</v>
      </c>
      <c r="H13" s="27">
        <v>2</v>
      </c>
      <c r="I13" s="27">
        <v>0</v>
      </c>
      <c r="J13" s="29">
        <v>5</v>
      </c>
      <c r="K13" s="30">
        <v>6</v>
      </c>
      <c r="L13" s="31">
        <v>1</v>
      </c>
      <c r="M13" s="32">
        <v>0</v>
      </c>
      <c r="N13" s="33"/>
      <c r="O13" s="34">
        <f t="shared" si="2"/>
        <v>68</v>
      </c>
    </row>
    <row r="14" spans="1:15" ht="16.5" x14ac:dyDescent="0.3">
      <c r="A14" s="2">
        <v>43386</v>
      </c>
      <c r="B14" s="55">
        <f t="shared" si="0"/>
        <v>5</v>
      </c>
      <c r="C14" s="27">
        <v>4</v>
      </c>
      <c r="D14" s="27">
        <v>0</v>
      </c>
      <c r="E14" s="27">
        <v>1</v>
      </c>
      <c r="F14" s="13">
        <f t="shared" si="1"/>
        <v>1</v>
      </c>
      <c r="G14" s="27">
        <v>1</v>
      </c>
      <c r="H14" s="27">
        <v>0</v>
      </c>
      <c r="I14" s="27">
        <v>0</v>
      </c>
      <c r="J14" s="29">
        <v>0</v>
      </c>
      <c r="K14" s="30">
        <v>0</v>
      </c>
      <c r="L14" s="31">
        <v>0</v>
      </c>
      <c r="M14" s="32">
        <v>0</v>
      </c>
      <c r="N14" s="33"/>
      <c r="O14" s="34">
        <f t="shared" si="2"/>
        <v>6</v>
      </c>
    </row>
    <row r="15" spans="1:15" ht="16.5" x14ac:dyDescent="0.3">
      <c r="A15" s="2">
        <v>43387</v>
      </c>
      <c r="B15" s="55">
        <f t="shared" ca="1" si="0"/>
        <v>0</v>
      </c>
      <c r="C15" s="27">
        <f ca="1">GetFileList("P:\TP et Raccodement\FICHES CREES RACCORDEMENT\1 - RACCOS A SAISIR DANS AX\14-10-2018\*LM RACCO*.pdf")</f>
        <v>0</v>
      </c>
      <c r="D15" s="27">
        <f ca="1">GetFileList("P:\TP et Raccodement\FICHES CREES RACCORDEMENT\1 - RACCOS A SAISIR DANS AX\14-10-2018\*LR RACCO*.pdf")</f>
        <v>0</v>
      </c>
      <c r="E15" s="27">
        <f ca="1">GetFileList("P:\TP et Raccodement\FICHES CREES RACCORDEMENT\1 - RACCOS A SAISIR DANS AX\14-10-2018\*CL RACCO*.pdf")</f>
        <v>0</v>
      </c>
      <c r="F15" s="13">
        <f t="shared" ca="1" si="1"/>
        <v>0</v>
      </c>
      <c r="G15" s="27">
        <f ca="1">GetFileList("P:\TP et Raccodement\FICHES CREES RACCORDEMENT\2 - SAV + COMPL + PASSAGE W XV A SAISIR DANS AX\14-10-2018\*LM PASS*.pdf")</f>
        <v>0</v>
      </c>
      <c r="H15" s="27">
        <f ca="1">GetFileList("P:\TP et Raccodement\FICHES CREES RACCORDEMENT\2 - SAV + COMPL + PASSAGE W XV A SAISIR DANS AX\14-10-2018\*LR PASS*.pdf")</f>
        <v>0</v>
      </c>
      <c r="I15" s="27">
        <f ca="1">GetFileList("P:\TP et Raccodement\FICHES CREES RACCORDEMENT\2 - SAV + COMPL + PASSAGE W XV A SAISIR DANS AX\14-10-2018\*CL PASS*.pdf")</f>
        <v>0</v>
      </c>
      <c r="J15" s="29">
        <f ca="1">GetFileList("P:\TP et Raccodement\FICHES CREES RACCORDEMENT\2 - SAV + COMPL + PASSAGE W XV A SAISIR DANS AX\14-10-2018\*SAV*.pdf")</f>
        <v>0</v>
      </c>
      <c r="K15" s="30">
        <f ca="1">GetFileList("P:\TP et Raccodement\FICHES CREES RACCORDEMENT\2 - SAV + COMPL + PASSAGE W XV A SAISIR DANS AX\14-10-2018\*COMPLEMENT*.pdf")</f>
        <v>0</v>
      </c>
      <c r="L15" s="31">
        <f ca="1">GetFileList("P:\TP et Raccodement\FICHES CREES RACCORDEMENT\2 - SAV + COMPL + PASSAGE W XV A SAISIR DANS AX\14-10-2018\*REPRISE*.pdf")</f>
        <v>0</v>
      </c>
      <c r="M15" s="32">
        <f ca="1">GetFileList("P:\TP et Raccodement\FICHES CREES RACCORDEMENT\2 - SAV + COMPL + PASSAGE W XV A SAISIR DANS AX\14-10-2018\*REMONTAGE*.pdf")</f>
        <v>0</v>
      </c>
      <c r="N15" s="33"/>
      <c r="O15" s="34">
        <f t="shared" ca="1" si="2"/>
        <v>0</v>
      </c>
    </row>
    <row r="16" spans="1:15" ht="16.5" x14ac:dyDescent="0.3">
      <c r="A16" s="2">
        <v>43388</v>
      </c>
      <c r="B16" s="55">
        <f t="shared" si="0"/>
        <v>55</v>
      </c>
      <c r="C16" s="27">
        <v>19</v>
      </c>
      <c r="D16" s="27">
        <v>19</v>
      </c>
      <c r="E16" s="27">
        <v>17</v>
      </c>
      <c r="F16" s="13">
        <f t="shared" si="1"/>
        <v>12</v>
      </c>
      <c r="G16" s="27">
        <v>9</v>
      </c>
      <c r="H16" s="27">
        <v>3</v>
      </c>
      <c r="I16" s="27">
        <v>0</v>
      </c>
      <c r="J16" s="29">
        <v>10</v>
      </c>
      <c r="K16" s="30">
        <v>3</v>
      </c>
      <c r="L16" s="31">
        <v>0</v>
      </c>
      <c r="M16" s="32">
        <v>1</v>
      </c>
      <c r="N16" s="33"/>
      <c r="O16" s="34">
        <f t="shared" si="2"/>
        <v>81</v>
      </c>
    </row>
    <row r="17" spans="1:15" ht="16.5" x14ac:dyDescent="0.3">
      <c r="A17" s="2">
        <v>43389</v>
      </c>
      <c r="B17" s="55">
        <f t="shared" si="0"/>
        <v>38</v>
      </c>
      <c r="C17" s="27">
        <v>20</v>
      </c>
      <c r="D17" s="27">
        <v>8</v>
      </c>
      <c r="E17" s="27">
        <v>10</v>
      </c>
      <c r="F17" s="13">
        <f t="shared" si="1"/>
        <v>11</v>
      </c>
      <c r="G17" s="27">
        <v>3</v>
      </c>
      <c r="H17" s="27">
        <v>8</v>
      </c>
      <c r="I17" s="27">
        <v>0</v>
      </c>
      <c r="J17" s="29">
        <v>6</v>
      </c>
      <c r="K17" s="30">
        <v>6</v>
      </c>
      <c r="L17" s="31">
        <v>0</v>
      </c>
      <c r="M17" s="32">
        <v>1</v>
      </c>
      <c r="N17" s="33"/>
      <c r="O17" s="34">
        <f t="shared" si="2"/>
        <v>62</v>
      </c>
    </row>
    <row r="18" spans="1:15" ht="16.5" x14ac:dyDescent="0.3">
      <c r="A18" s="2">
        <v>43390</v>
      </c>
      <c r="B18" s="55">
        <f t="shared" si="0"/>
        <v>42</v>
      </c>
      <c r="C18" s="27">
        <v>17</v>
      </c>
      <c r="D18" s="27">
        <v>15</v>
      </c>
      <c r="E18" s="27">
        <v>10</v>
      </c>
      <c r="F18" s="13">
        <f t="shared" si="1"/>
        <v>19</v>
      </c>
      <c r="G18" s="27">
        <v>11</v>
      </c>
      <c r="H18" s="27">
        <v>8</v>
      </c>
      <c r="I18" s="27">
        <v>0</v>
      </c>
      <c r="J18" s="29">
        <v>9</v>
      </c>
      <c r="K18" s="30">
        <v>6</v>
      </c>
      <c r="L18" s="31">
        <v>1</v>
      </c>
      <c r="M18" s="32">
        <v>1</v>
      </c>
      <c r="N18" s="33"/>
      <c r="O18" s="34">
        <f t="shared" si="2"/>
        <v>78</v>
      </c>
    </row>
    <row r="19" spans="1:15" ht="16.5" x14ac:dyDescent="0.3">
      <c r="A19" s="2">
        <v>43391</v>
      </c>
      <c r="B19" s="55">
        <f t="shared" si="0"/>
        <v>39</v>
      </c>
      <c r="C19" s="27">
        <v>15</v>
      </c>
      <c r="D19" s="27">
        <v>11</v>
      </c>
      <c r="E19" s="27">
        <v>13</v>
      </c>
      <c r="F19" s="13">
        <f t="shared" si="1"/>
        <v>11</v>
      </c>
      <c r="G19" s="27">
        <v>7</v>
      </c>
      <c r="H19" s="27">
        <v>3</v>
      </c>
      <c r="I19" s="27">
        <v>1</v>
      </c>
      <c r="J19" s="29">
        <v>11</v>
      </c>
      <c r="K19" s="30">
        <v>3</v>
      </c>
      <c r="L19" s="31">
        <v>0</v>
      </c>
      <c r="M19" s="32">
        <v>1</v>
      </c>
      <c r="N19" s="33"/>
      <c r="O19" s="34">
        <f t="shared" si="2"/>
        <v>65</v>
      </c>
    </row>
    <row r="20" spans="1:15" ht="16.5" x14ac:dyDescent="0.3">
      <c r="A20" s="2">
        <v>43392</v>
      </c>
      <c r="B20" s="55">
        <f t="shared" si="0"/>
        <v>48</v>
      </c>
      <c r="C20" s="27">
        <v>14</v>
      </c>
      <c r="D20" s="27">
        <v>21</v>
      </c>
      <c r="E20" s="27">
        <v>13</v>
      </c>
      <c r="F20" s="13">
        <f t="shared" si="1"/>
        <v>10</v>
      </c>
      <c r="G20" s="27">
        <v>6</v>
      </c>
      <c r="H20" s="27">
        <v>4</v>
      </c>
      <c r="I20" s="27">
        <v>0</v>
      </c>
      <c r="J20" s="29">
        <v>11</v>
      </c>
      <c r="K20" s="30">
        <v>4</v>
      </c>
      <c r="L20" s="31">
        <v>0</v>
      </c>
      <c r="M20" s="32">
        <v>2</v>
      </c>
      <c r="N20" s="33"/>
      <c r="O20" s="34">
        <f t="shared" si="2"/>
        <v>75</v>
      </c>
    </row>
    <row r="21" spans="1:15" ht="16.5" x14ac:dyDescent="0.3">
      <c r="A21" s="2">
        <v>43393</v>
      </c>
      <c r="B21" s="55">
        <f t="shared" si="0"/>
        <v>5</v>
      </c>
      <c r="C21" s="27">
        <v>4</v>
      </c>
      <c r="D21" s="27">
        <v>0</v>
      </c>
      <c r="E21" s="27">
        <v>1</v>
      </c>
      <c r="F21" s="13">
        <f t="shared" si="1"/>
        <v>0</v>
      </c>
      <c r="G21" s="27">
        <v>0</v>
      </c>
      <c r="H21" s="27">
        <v>0</v>
      </c>
      <c r="I21" s="27">
        <v>0</v>
      </c>
      <c r="J21" s="29">
        <v>1</v>
      </c>
      <c r="K21" s="30">
        <v>1</v>
      </c>
      <c r="L21" s="31">
        <v>0</v>
      </c>
      <c r="M21" s="32">
        <v>0</v>
      </c>
      <c r="N21" s="33"/>
      <c r="O21" s="34">
        <f t="shared" si="2"/>
        <v>7</v>
      </c>
    </row>
    <row r="22" spans="1:15" ht="16.5" x14ac:dyDescent="0.3">
      <c r="A22" s="2">
        <v>43394</v>
      </c>
      <c r="B22" s="55">
        <f t="shared" ca="1" si="0"/>
        <v>0</v>
      </c>
      <c r="C22" s="27">
        <f ca="1">GetFileList("P:\TP et Raccodement\FICHES CREES RACCORDEMENT\1 - RACCOS A SAISIR DANS AX\21-10-2018\*LM RACCO*.pdf")</f>
        <v>0</v>
      </c>
      <c r="D22" s="27">
        <f ca="1">GetFileList("P:\TP et Raccodement\FICHES CREES RACCORDEMENT\1 - RACCOS A SAISIR DANS AX\21-10-2018\*LR RACCO*.pdf")</f>
        <v>0</v>
      </c>
      <c r="E22" s="27">
        <f ca="1">GetFileList("P:\TP et Raccodement\FICHES CREES RACCORDEMENT\1 - RACCOS A SAISIR DANS AX\21-10-2018\*CL RACCO*.pdf")</f>
        <v>0</v>
      </c>
      <c r="F22" s="13">
        <f t="shared" ca="1" si="1"/>
        <v>0</v>
      </c>
      <c r="G22" s="27">
        <f ca="1">GetFileList("P:\TP et Raccodement\FICHES CREES RACCORDEMENT\2 - SAV + COMPL + PASSAGE W XV A SAISIR DANS AX\21-10-2018\*LM PASS*.pdf")</f>
        <v>0</v>
      </c>
      <c r="H22" s="27">
        <f ca="1">GetFileList("P:\TP et Raccodement\FICHES CREES RACCORDEMENT\2 - SAV + COMPL + PASSAGE W XV A SAISIR DANS AX\21-10-2018\*LR PASS*.pdf")</f>
        <v>0</v>
      </c>
      <c r="I22" s="27">
        <f ca="1">GetFileList("P:\TP et Raccodement\FICHES CREES RACCORDEMENT\2 - SAV + COMPL + PASSAGE W XV A SAISIR DANS AX\21-10-2018\*CL PASS*.pdf")</f>
        <v>0</v>
      </c>
      <c r="J22" s="29">
        <f ca="1">GetFileList("P:\TP et Raccodement\FICHES CREES RACCORDEMENT\2 - SAV + COMPL + PASSAGE W XV A SAISIR DANS AX\21-10-2018\*SAV*.pdf")</f>
        <v>0</v>
      </c>
      <c r="K22" s="30">
        <f ca="1">GetFileList("P:\TP et Raccodement\FICHES CREES RACCORDEMENT\2 - SAV + COMPL + PASSAGE W XV A SAISIR DANS AX\21-10-2018\*COMPLEMENT*.pdf")</f>
        <v>0</v>
      </c>
      <c r="L22" s="31">
        <f ca="1">GetFileList("P:\TP et Raccodement\FICHES CREES RACCORDEMENT\2 - SAV + COMPL + PASSAGE W XV A SAISIR DANS AX\21-10-2018\*REPRISE*.pdf")</f>
        <v>0</v>
      </c>
      <c r="M22" s="32">
        <f ca="1">GetFileList("P:\TP et Raccodement\FICHES CREES RACCORDEMENT\2 - SAV + COMPL + PASSAGE W XV A SAISIR DANS AX\21-10-2018\*REMONTAGE*.pdf")</f>
        <v>0</v>
      </c>
      <c r="N22" s="33"/>
      <c r="O22" s="34">
        <f t="shared" ca="1" si="2"/>
        <v>0</v>
      </c>
    </row>
    <row r="23" spans="1:15" ht="16.5" x14ac:dyDescent="0.3">
      <c r="A23" s="2">
        <v>43395</v>
      </c>
      <c r="B23" s="55">
        <f t="shared" si="0"/>
        <v>46</v>
      </c>
      <c r="C23" s="27">
        <v>22</v>
      </c>
      <c r="D23" s="27">
        <v>15</v>
      </c>
      <c r="E23" s="27">
        <v>9</v>
      </c>
      <c r="F23" s="13">
        <f t="shared" si="1"/>
        <v>9</v>
      </c>
      <c r="G23" s="27">
        <v>6</v>
      </c>
      <c r="H23" s="27">
        <v>3</v>
      </c>
      <c r="I23" s="27">
        <v>0</v>
      </c>
      <c r="J23" s="29">
        <v>5</v>
      </c>
      <c r="K23" s="30">
        <v>8</v>
      </c>
      <c r="L23" s="31">
        <v>0</v>
      </c>
      <c r="M23" s="32">
        <v>1</v>
      </c>
      <c r="N23" s="33"/>
      <c r="O23" s="34">
        <f t="shared" si="2"/>
        <v>69</v>
      </c>
    </row>
    <row r="24" spans="1:15" ht="16.5" x14ac:dyDescent="0.3">
      <c r="A24" s="2">
        <v>43396</v>
      </c>
      <c r="B24" s="55">
        <f t="shared" si="0"/>
        <v>43</v>
      </c>
      <c r="C24" s="27">
        <v>20</v>
      </c>
      <c r="D24" s="27">
        <v>14</v>
      </c>
      <c r="E24" s="27">
        <v>9</v>
      </c>
      <c r="F24" s="13">
        <f t="shared" si="1"/>
        <v>13</v>
      </c>
      <c r="G24" s="27">
        <v>7</v>
      </c>
      <c r="H24" s="27">
        <v>5</v>
      </c>
      <c r="I24" s="27">
        <v>1</v>
      </c>
      <c r="J24" s="29">
        <v>7</v>
      </c>
      <c r="K24" s="30">
        <v>8</v>
      </c>
      <c r="L24" s="31">
        <v>1</v>
      </c>
      <c r="M24" s="32">
        <v>2</v>
      </c>
      <c r="N24" s="33"/>
      <c r="O24" s="34">
        <f t="shared" si="2"/>
        <v>74</v>
      </c>
    </row>
    <row r="25" spans="1:15" ht="16.5" x14ac:dyDescent="0.3">
      <c r="A25" s="2">
        <v>43397</v>
      </c>
      <c r="B25" s="55">
        <f t="shared" si="0"/>
        <v>38</v>
      </c>
      <c r="C25" s="27">
        <v>19</v>
      </c>
      <c r="D25" s="27">
        <v>12</v>
      </c>
      <c r="E25" s="27">
        <v>7</v>
      </c>
      <c r="F25" s="13">
        <f t="shared" si="1"/>
        <v>16</v>
      </c>
      <c r="G25" s="27">
        <v>5</v>
      </c>
      <c r="H25" s="27">
        <v>11</v>
      </c>
      <c r="I25" s="27">
        <v>0</v>
      </c>
      <c r="J25" s="29">
        <v>5</v>
      </c>
      <c r="K25" s="30">
        <v>2</v>
      </c>
      <c r="L25" s="31">
        <v>2</v>
      </c>
      <c r="M25" s="32">
        <v>3</v>
      </c>
      <c r="N25" s="33"/>
      <c r="O25" s="34">
        <f t="shared" si="2"/>
        <v>66</v>
      </c>
    </row>
    <row r="26" spans="1:15" ht="16.5" x14ac:dyDescent="0.3">
      <c r="A26" s="2">
        <v>43398</v>
      </c>
      <c r="B26" s="55">
        <f t="shared" si="0"/>
        <v>40</v>
      </c>
      <c r="C26" s="27">
        <v>17</v>
      </c>
      <c r="D26" s="27">
        <v>14</v>
      </c>
      <c r="E26" s="27">
        <v>9</v>
      </c>
      <c r="F26" s="13">
        <f t="shared" si="1"/>
        <v>12</v>
      </c>
      <c r="G26" s="27">
        <v>7</v>
      </c>
      <c r="H26" s="27">
        <v>5</v>
      </c>
      <c r="I26" s="27">
        <v>0</v>
      </c>
      <c r="J26" s="29">
        <v>3</v>
      </c>
      <c r="K26" s="30">
        <v>8</v>
      </c>
      <c r="L26" s="31">
        <v>0</v>
      </c>
      <c r="M26" s="32">
        <v>1</v>
      </c>
      <c r="N26" s="33"/>
      <c r="O26" s="34">
        <f t="shared" si="2"/>
        <v>64</v>
      </c>
    </row>
    <row r="27" spans="1:15" ht="16.5" x14ac:dyDescent="0.3">
      <c r="A27" s="2">
        <v>43399</v>
      </c>
      <c r="B27" s="55">
        <f t="shared" si="0"/>
        <v>43</v>
      </c>
      <c r="C27" s="27">
        <v>14</v>
      </c>
      <c r="D27" s="27">
        <v>18</v>
      </c>
      <c r="E27" s="27">
        <v>11</v>
      </c>
      <c r="F27" s="13">
        <f t="shared" si="1"/>
        <v>11</v>
      </c>
      <c r="G27" s="27">
        <v>5</v>
      </c>
      <c r="H27" s="27">
        <v>6</v>
      </c>
      <c r="I27" s="27">
        <v>0</v>
      </c>
      <c r="J27" s="29">
        <v>6</v>
      </c>
      <c r="K27" s="30">
        <v>5</v>
      </c>
      <c r="L27" s="31">
        <v>0</v>
      </c>
      <c r="M27" s="32">
        <v>1</v>
      </c>
      <c r="N27" s="33"/>
      <c r="O27" s="34">
        <f t="shared" si="2"/>
        <v>66</v>
      </c>
    </row>
    <row r="28" spans="1:15" ht="16.5" x14ac:dyDescent="0.3">
      <c r="A28" s="2">
        <v>43400</v>
      </c>
      <c r="B28" s="55">
        <f t="shared" si="0"/>
        <v>4</v>
      </c>
      <c r="C28" s="27">
        <v>3</v>
      </c>
      <c r="D28" s="27">
        <v>1</v>
      </c>
      <c r="E28" s="27">
        <v>0</v>
      </c>
      <c r="F28" s="13">
        <f t="shared" si="1"/>
        <v>0</v>
      </c>
      <c r="G28" s="27">
        <v>0</v>
      </c>
      <c r="H28" s="27">
        <v>0</v>
      </c>
      <c r="I28" s="27">
        <v>0</v>
      </c>
      <c r="J28" s="29">
        <v>1</v>
      </c>
      <c r="K28" s="30">
        <v>0</v>
      </c>
      <c r="L28" s="31">
        <v>0</v>
      </c>
      <c r="M28" s="32">
        <v>0</v>
      </c>
      <c r="N28" s="33"/>
      <c r="O28" s="34">
        <f t="shared" si="2"/>
        <v>5</v>
      </c>
    </row>
    <row r="29" spans="1:15" ht="16.5" x14ac:dyDescent="0.3">
      <c r="A29" s="2">
        <v>43401</v>
      </c>
      <c r="B29" s="55">
        <f t="shared" ca="1" si="0"/>
        <v>0</v>
      </c>
      <c r="C29" s="27">
        <f ca="1">GetFileList("P:\TP et Raccodement\FICHES CREES RACCORDEMENT\1 - RACCOS A SAISIR DANS AX\28-10-2018\*LM RACCO*.pdf")</f>
        <v>0</v>
      </c>
      <c r="D29" s="27">
        <f ca="1">GetFileList("P:\TP et Raccodement\FICHES CREES RACCORDEMENT\1 - RACCOS A SAISIR DANS AX\28-10-2018\*LR RACCO*.pdf")</f>
        <v>0</v>
      </c>
      <c r="E29" s="27">
        <f ca="1">GetFileList("P:\TP et Raccodement\FICHES CREES RACCORDEMENT\1 - RACCOS A SAISIR DANS AX\28-10-2018\*CL RACCO*.pdf")</f>
        <v>0</v>
      </c>
      <c r="F29" s="13">
        <f t="shared" ca="1" si="1"/>
        <v>0</v>
      </c>
      <c r="G29" s="27">
        <f ca="1">GetFileList("P:\TP et Raccodement\FICHES CREES RACCORDEMENT\2 - SAV + COMPL + PASSAGE W XV A SAISIR DANS AX\28-10-2018\*LM PASS*.pdf")</f>
        <v>0</v>
      </c>
      <c r="H29" s="27">
        <f ca="1">GetFileList("P:\TP et Raccodement\FICHES CREES RACCORDEMENT\2 - SAV + COMPL + PASSAGE W XV A SAISIR DANS AX\28-10-2018\*LR PASS*.pdf")</f>
        <v>0</v>
      </c>
      <c r="I29" s="27">
        <f ca="1">GetFileList("P:\TP et Raccodement\FICHES CREES RACCORDEMENT\2 - SAV + COMPL + PASSAGE W XV A SAISIR DANS AX\28-10-2018\*CL PASS*.pdf")</f>
        <v>0</v>
      </c>
      <c r="J29" s="29">
        <f ca="1">GetFileList("P:\TP et Raccodement\FICHES CREES RACCORDEMENT\2 - SAV + COMPL + PASSAGE W XV A SAISIR DANS AX\28-10-2018\*SAV*.pdf")</f>
        <v>0</v>
      </c>
      <c r="K29" s="30">
        <f ca="1">GetFileList("P:\TP et Raccodement\FICHES CREES RACCORDEMENT\2 - SAV + COMPL + PASSAGE W XV A SAISIR DANS AX\28-10-2018\*COMPLEMENT*.pdf")</f>
        <v>0</v>
      </c>
      <c r="L29" s="31">
        <f ca="1">GetFileList("P:\TP et Raccodement\FICHES CREES RACCORDEMENT\2 - SAV + COMPL + PASSAGE W XV A SAISIR DANS AX\28-10-2018\*REPRISE*.pdf")</f>
        <v>0</v>
      </c>
      <c r="M29" s="32">
        <f ca="1">GetFileList("P:\TP et Raccodement\FICHES CREES RACCORDEMENT\2 - SAV + COMPL + PASSAGE W XV A SAISIR DANS AX\28-10-2018\*REMONTAGE*.pdf")</f>
        <v>0</v>
      </c>
      <c r="N29" s="33"/>
      <c r="O29" s="34">
        <f t="shared" ca="1" si="2"/>
        <v>0</v>
      </c>
    </row>
    <row r="30" spans="1:15" ht="16.5" x14ac:dyDescent="0.3">
      <c r="A30" s="2">
        <v>43402</v>
      </c>
      <c r="B30" s="55">
        <f t="shared" si="0"/>
        <v>50</v>
      </c>
      <c r="C30" s="27">
        <v>27</v>
      </c>
      <c r="D30" s="27">
        <v>11</v>
      </c>
      <c r="E30" s="27">
        <v>12</v>
      </c>
      <c r="F30" s="13">
        <f t="shared" si="1"/>
        <v>12</v>
      </c>
      <c r="G30" s="27">
        <v>8</v>
      </c>
      <c r="H30" s="27">
        <v>4</v>
      </c>
      <c r="I30" s="27">
        <v>0</v>
      </c>
      <c r="J30" s="29">
        <v>10</v>
      </c>
      <c r="K30" s="30">
        <v>9</v>
      </c>
      <c r="L30" s="31">
        <v>1</v>
      </c>
      <c r="M30" s="32">
        <v>0</v>
      </c>
      <c r="N30" s="33"/>
      <c r="O30" s="34">
        <f t="shared" si="2"/>
        <v>82</v>
      </c>
    </row>
    <row r="31" spans="1:15" ht="16.5" x14ac:dyDescent="0.3">
      <c r="A31" s="2">
        <v>43403</v>
      </c>
      <c r="B31" s="55">
        <f t="shared" si="0"/>
        <v>47</v>
      </c>
      <c r="C31" s="27">
        <v>19</v>
      </c>
      <c r="D31" s="27">
        <v>19</v>
      </c>
      <c r="E31" s="27">
        <v>9</v>
      </c>
      <c r="F31" s="13">
        <f t="shared" si="1"/>
        <v>18</v>
      </c>
      <c r="G31" s="27">
        <v>8</v>
      </c>
      <c r="H31" s="27">
        <v>10</v>
      </c>
      <c r="I31" s="27">
        <v>0</v>
      </c>
      <c r="J31" s="29">
        <v>3</v>
      </c>
      <c r="K31" s="30">
        <v>10</v>
      </c>
      <c r="L31" s="31">
        <v>0</v>
      </c>
      <c r="M31" s="32">
        <v>0</v>
      </c>
      <c r="N31" s="33"/>
      <c r="O31" s="34">
        <f t="shared" si="2"/>
        <v>78</v>
      </c>
    </row>
    <row r="32" spans="1:15" ht="17.25" thickBot="1" x14ac:dyDescent="0.35">
      <c r="A32" s="2">
        <v>43404</v>
      </c>
      <c r="B32" s="56">
        <f t="shared" si="0"/>
        <v>60</v>
      </c>
      <c r="C32" s="27">
        <v>24</v>
      </c>
      <c r="D32" s="27">
        <v>25</v>
      </c>
      <c r="E32" s="27">
        <v>11</v>
      </c>
      <c r="F32" s="38">
        <f t="shared" si="1"/>
        <v>9</v>
      </c>
      <c r="G32" s="27">
        <v>6</v>
      </c>
      <c r="H32" s="27">
        <v>3</v>
      </c>
      <c r="I32" s="27">
        <v>0</v>
      </c>
      <c r="J32" s="29">
        <v>10</v>
      </c>
      <c r="K32" s="30">
        <v>8</v>
      </c>
      <c r="L32" s="31">
        <v>0</v>
      </c>
      <c r="M32" s="32">
        <v>2</v>
      </c>
      <c r="N32" s="33"/>
      <c r="O32" s="39">
        <f t="shared" si="2"/>
        <v>89</v>
      </c>
    </row>
    <row r="33" spans="1:15" ht="17.25" thickBot="1" x14ac:dyDescent="0.35">
      <c r="A33" s="26" t="s">
        <v>10</v>
      </c>
      <c r="B33" s="57">
        <f ca="1">SUM(B2:B32)</f>
        <v>1050</v>
      </c>
      <c r="C33" s="17">
        <f t="shared" ref="C33:D33" ca="1" si="3">SUM(C2:C32)</f>
        <v>447</v>
      </c>
      <c r="D33" s="17">
        <f t="shared" ca="1" si="3"/>
        <v>354</v>
      </c>
      <c r="E33" s="17">
        <f ca="1">SUM(E2:E32)</f>
        <v>249</v>
      </c>
      <c r="F33" s="18">
        <f ca="1">SUM(F2:F32)</f>
        <v>257</v>
      </c>
      <c r="G33" s="18">
        <f t="shared" ref="G33:I33" ca="1" si="4">SUM(G2:G32)</f>
        <v>149</v>
      </c>
      <c r="H33" s="18">
        <f t="shared" ca="1" si="4"/>
        <v>104</v>
      </c>
      <c r="I33" s="18">
        <f t="shared" ca="1" si="4"/>
        <v>4</v>
      </c>
      <c r="J33" s="11">
        <f ca="1">SUM(J2:J32)</f>
        <v>180</v>
      </c>
      <c r="K33" s="11">
        <f t="shared" ref="K33:M33" ca="1" si="5">SUM(K2:K32)</f>
        <v>129</v>
      </c>
      <c r="L33" s="11">
        <f t="shared" ca="1" si="5"/>
        <v>10</v>
      </c>
      <c r="M33" s="11">
        <f t="shared" ca="1" si="5"/>
        <v>30</v>
      </c>
      <c r="N33" s="33"/>
      <c r="O33" s="40">
        <f ca="1">SUM(O2:O32)</f>
        <v>1656</v>
      </c>
    </row>
  </sheetData>
  <conditionalFormatting sqref="B2:B32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{ECEC30C0-AB77-41EE-95C7-71FE0E793C29}</x14:id>
        </ext>
      </extLst>
    </cfRule>
  </conditionalFormatting>
  <conditionalFormatting sqref="B2:B6 B9:B13 B16:B20 B23:B27 B30:B32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CEC30C0-AB77-41EE-95C7-71FE0E793C2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B2:B32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7030A0"/>
  </sheetPr>
  <dimension ref="A1:O32"/>
  <sheetViews>
    <sheetView showGridLines="0" showRowColHeaders="0" tabSelected="1" zoomScaleNormal="10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43405</v>
      </c>
      <c r="B2" s="55">
        <f ca="1">C2+D2+E2</f>
        <v>0</v>
      </c>
      <c r="C2" s="27">
        <f ca="1">GetFileList("P:\TP et Raccodement\FICHES CREES RACCORDEMENT\1 - RACCOS A SAISIR DANS AX\01-11-2018\*LM RACCO*.pdf")</f>
        <v>0</v>
      </c>
      <c r="D2" s="27">
        <f ca="1">GetFileList("P:\TP et Raccodement\FICHES CREES RACCORDEMENT\1 - RACCOS A SAISIR DANS AX\01-11-2018\*LR RACCO*.pdf")</f>
        <v>0</v>
      </c>
      <c r="E2" s="27">
        <f ca="1">GetFileList("P:\TP et Raccodement\FICHES CREES RACCORDEMENT\1 - RACCOS A SAISIR DANS AX\01-11-2018\*CL RACCO*.pdf")</f>
        <v>0</v>
      </c>
      <c r="F2" s="13">
        <f ca="1">G2+H2+I2</f>
        <v>0</v>
      </c>
      <c r="G2" s="27">
        <v>0</v>
      </c>
      <c r="H2" s="27">
        <f ca="1">GetFileList("P:\TP et Raccodement\FICHES CREES RACCORDEMENT\2 - SAV + COMPL + PASSAGE W XV A SAISIR DANS AX\01-11-2018\*LR PASS*.pdf")</f>
        <v>0</v>
      </c>
      <c r="I2" s="27">
        <f ca="1">GetFileList("P:\TP et Raccodement\FICHES CREES RACCORDEMENT\2 - SAV + COMPL + PASSAGE W XV A SAISIR DANS AX\01-11-2018\*CL PASS*.pdf")</f>
        <v>0</v>
      </c>
      <c r="J2" s="29">
        <f ca="1">GetFileList("P:\TP et Raccodement\FICHES CREES RACCORDEMENT\2 - SAV + COMPL + PASSAGE W XV A SAISIR DANS AX\01-11-2018\*SAV*.pdf")</f>
        <v>0</v>
      </c>
      <c r="K2" s="30">
        <f ca="1">GetFileList("P:\TP et Raccodement\FICHES CREES RACCORDEMENT\2 - SAV + COMPL + PASSAGE W XV A SAISIR DANS AX\01-11-2018\*COMPLEMENT*.pdf")</f>
        <v>0</v>
      </c>
      <c r="L2" s="31">
        <f ca="1">GetFileList("P:\TP et Raccodement\FICHES CREES RACCORDEMENT\2 - SAV + COMPL + PASSAGE W XV A SAISIR DANS AX\01-11-2018\*REPRISE*.pdf")</f>
        <v>0</v>
      </c>
      <c r="M2" s="32">
        <f ca="1">GetFileList("P:\TP et Raccodement\FICHES CREES RACCORDEMENT\2 - SAV + COMPL + PASSAGE W XV A SAISIR DANS AX\01-11-2018\*REMONTAGE*.pdf")</f>
        <v>0</v>
      </c>
      <c r="N2" s="33"/>
      <c r="O2" s="34">
        <f ca="1">B2+F2+J2+K2+L2+M2</f>
        <v>0</v>
      </c>
    </row>
    <row r="3" spans="1:15" ht="16.5" x14ac:dyDescent="0.3">
      <c r="A3" s="2">
        <v>43406</v>
      </c>
      <c r="B3" s="55">
        <f t="shared" ref="B3:B31" si="0">C3+D3+E3</f>
        <v>41</v>
      </c>
      <c r="C3" s="27">
        <v>18</v>
      </c>
      <c r="D3" s="27">
        <v>14</v>
      </c>
      <c r="E3" s="27">
        <v>9</v>
      </c>
      <c r="F3" s="13">
        <f t="shared" ref="F3:F31" si="1">G3+H3+I3</f>
        <v>8</v>
      </c>
      <c r="G3" s="27">
        <v>3</v>
      </c>
      <c r="H3" s="27">
        <v>5</v>
      </c>
      <c r="I3" s="27">
        <v>0</v>
      </c>
      <c r="J3" s="29">
        <v>10</v>
      </c>
      <c r="K3" s="30">
        <v>4</v>
      </c>
      <c r="L3" s="31">
        <v>0</v>
      </c>
      <c r="M3" s="32">
        <v>1</v>
      </c>
      <c r="N3" s="33"/>
      <c r="O3" s="34">
        <f t="shared" ref="O3:O31" si="2">B3+F3+J3+K3+L3+M3</f>
        <v>64</v>
      </c>
    </row>
    <row r="4" spans="1:15" ht="16.5" x14ac:dyDescent="0.3">
      <c r="A4" s="2">
        <v>43407</v>
      </c>
      <c r="B4" s="55">
        <f t="shared" ca="1" si="0"/>
        <v>0</v>
      </c>
      <c r="C4" s="27">
        <f ca="1">GetFileList("P:\TP et Raccodement\FICHES CREES RACCORDEMENT\1 - RACCOS A SAISIR DANS AX\03-11-2018\*LM RACCO*.pdf")</f>
        <v>0</v>
      </c>
      <c r="D4" s="27">
        <f ca="1">GetFileList("P:\TP et Raccodement\FICHES CREES RACCORDEMENT\1 - RACCOS A SAISIR DANS AX\03-11-2018\*LR RACCO*.pdf")</f>
        <v>0</v>
      </c>
      <c r="E4" s="27">
        <f ca="1">GetFileList("P:\TP et Raccodement\FICHES CREES RACCORDEMENT\1 - RACCOS A SAISIR DANS AX\03-11-2018\*CL RACCO*.pdf")</f>
        <v>0</v>
      </c>
      <c r="F4" s="13">
        <f t="shared" ca="1" si="1"/>
        <v>0</v>
      </c>
      <c r="G4" s="27">
        <f ca="1">GetFileList("P:\TP et Raccodement\FICHES CREES RACCORDEMENT\2 - SAV + COMPL + PASSAGE W XV A SAISIR DANS AX\03-11-2018\*LM PASS*.pdf")</f>
        <v>0</v>
      </c>
      <c r="H4" s="27">
        <f ca="1">GetFileList("P:\TP et Raccodement\FICHES CREES RACCORDEMENT\2 - SAV + COMPL + PASSAGE W XV A SAISIR DANS AX\03-11-2018\*LR PASS*.pdf")</f>
        <v>0</v>
      </c>
      <c r="I4" s="27">
        <f ca="1">GetFileList("P:\TP et Raccodement\FICHES CREES RACCORDEMENT\2 - SAV + COMPL + PASSAGE W XV A SAISIR DANS AX\03-11-2018\*CL PASS*.pdf")</f>
        <v>0</v>
      </c>
      <c r="J4" s="29">
        <f ca="1">GetFileList("P:\TP et Raccodement\FICHES CREES RACCORDEMENT\2 - SAV + COMPL + PASSAGE W XV A SAISIR DANS AX\03-11-2018\*SAV*.pdf")</f>
        <v>0</v>
      </c>
      <c r="K4" s="30">
        <f ca="1">GetFileList("P:\TP et Raccodement\FICHES CREES RACCORDEMENT\2 - SAV + COMPL + PASSAGE W XV A SAISIR DANS AX\03-11-2018\*COMPLEMENT*.pdf")</f>
        <v>0</v>
      </c>
      <c r="L4" s="31">
        <f ca="1">GetFileList("P:\TP et Raccodement\FICHES CREES RACCORDEMENT\2 - SAV + COMPL + PASSAGE W XV A SAISIR DANS AX\03-11-2018\*REPRISE*.pdf")</f>
        <v>0</v>
      </c>
      <c r="M4" s="32">
        <f ca="1">GetFileList("P:\TP et Raccodement\FICHES CREES RACCORDEMENT\2 - SAV + COMPL + PASSAGE W XV A SAISIR DANS AX\03-11-2018\*REMONTAGE*.pdf")</f>
        <v>0</v>
      </c>
      <c r="N4" s="33"/>
      <c r="O4" s="34">
        <f t="shared" ca="1" si="2"/>
        <v>0</v>
      </c>
    </row>
    <row r="5" spans="1:15" ht="16.5" x14ac:dyDescent="0.3">
      <c r="A5" s="2">
        <v>43408</v>
      </c>
      <c r="B5" s="55">
        <f t="shared" ca="1" si="0"/>
        <v>0</v>
      </c>
      <c r="C5" s="27">
        <f ca="1">GetFileList("P:\TP et Raccodement\FICHES CREES RACCORDEMENT\1 - RACCOS A SAISIR DANS AX\04-11-2018\*LM RACCO*.pdf")</f>
        <v>0</v>
      </c>
      <c r="D5" s="27">
        <f ca="1">GetFileList("P:\TP et Raccodement\FICHES CREES RACCORDEMENT\1 - RACCOS A SAISIR DANS AX\04-11-2018\*LR RACCO*.pdf")</f>
        <v>0</v>
      </c>
      <c r="E5" s="27">
        <f ca="1">GetFileList("P:\TP et Raccodement\FICHES CREES RACCORDEMENT\1 - RACCOS A SAISIR DANS AX\04-11-2018\*CL RACCO*.pdf")</f>
        <v>0</v>
      </c>
      <c r="F5" s="13">
        <f t="shared" ca="1" si="1"/>
        <v>0</v>
      </c>
      <c r="G5" s="27">
        <f ca="1">GetFileList("P:\TP et Raccodement\FICHES CREES RACCORDEMENT\2 - SAV + COMPL + PASSAGE W XV A SAISIR DANS AX\04-11-2018\*LM PASS*.pdf")</f>
        <v>0</v>
      </c>
      <c r="H5" s="27">
        <f ca="1">GetFileList("P:\TP et Raccodement\FICHES CREES RACCORDEMENT\2 - SAV + COMPL + PASSAGE W XV A SAISIR DANS AX\04-11-2018\*LR PASS*.pdf")</f>
        <v>0</v>
      </c>
      <c r="I5" s="27">
        <f ca="1">GetFileList("P:\TP et Raccodement\FICHES CREES RACCORDEMENT\2 - SAV + COMPL + PASSAGE W XV A SAISIR DANS AX\04-11-2018\*CL PASS*.pdf")</f>
        <v>0</v>
      </c>
      <c r="J5" s="29">
        <f ca="1">GetFileList("P:\TP et Raccodement\FICHES CREES RACCORDEMENT\2 - SAV + COMPL + PASSAGE W XV A SAISIR DANS AX\04-11-2018\*SAV*.pdf")</f>
        <v>0</v>
      </c>
      <c r="K5" s="30">
        <f ca="1">GetFileList("P:\TP et Raccodement\FICHES CREES RACCORDEMENT\2 - SAV + COMPL + PASSAGE W XV A SAISIR DANS AX\04-11-2018\*COMPLEMENT*.pdf")</f>
        <v>0</v>
      </c>
      <c r="L5" s="31">
        <f ca="1">GetFileList("P:\TP et Raccodement\FICHES CREES RACCORDEMENT\2 - SAV + COMPL + PASSAGE W XV A SAISIR DANS AX\04-11-2018\*REPRISE*.pdf")</f>
        <v>0</v>
      </c>
      <c r="M5" s="32">
        <f ca="1">GetFileList("P:\TP et Raccodement\FICHES CREES RACCORDEMENT\2 - SAV + COMPL + PASSAGE W XV A SAISIR DANS AX\04-11-2018\*REMONTAGE*.pdf")</f>
        <v>0</v>
      </c>
      <c r="N5" s="33"/>
      <c r="O5" s="34">
        <f t="shared" ca="1" si="2"/>
        <v>0</v>
      </c>
    </row>
    <row r="6" spans="1:15" ht="16.5" x14ac:dyDescent="0.3">
      <c r="A6" s="2">
        <v>43409</v>
      </c>
      <c r="B6" s="55">
        <f t="shared" si="0"/>
        <v>59</v>
      </c>
      <c r="C6" s="27">
        <v>18</v>
      </c>
      <c r="D6" s="27">
        <v>25</v>
      </c>
      <c r="E6" s="27">
        <v>16</v>
      </c>
      <c r="F6" s="13">
        <f t="shared" si="1"/>
        <v>10</v>
      </c>
      <c r="G6" s="27">
        <v>7</v>
      </c>
      <c r="H6" s="27">
        <v>3</v>
      </c>
      <c r="I6" s="27">
        <v>0</v>
      </c>
      <c r="J6" s="29">
        <v>5</v>
      </c>
      <c r="K6" s="30">
        <v>3</v>
      </c>
      <c r="L6" s="31">
        <v>1</v>
      </c>
      <c r="M6" s="32">
        <v>7</v>
      </c>
      <c r="N6" s="33"/>
      <c r="O6" s="34">
        <f t="shared" si="2"/>
        <v>85</v>
      </c>
    </row>
    <row r="7" spans="1:15" ht="16.5" x14ac:dyDescent="0.3">
      <c r="A7" s="2">
        <v>43410</v>
      </c>
      <c r="B7" s="55">
        <f t="shared" si="0"/>
        <v>42</v>
      </c>
      <c r="C7" s="27">
        <v>18</v>
      </c>
      <c r="D7" s="27">
        <v>13</v>
      </c>
      <c r="E7" s="27">
        <v>11</v>
      </c>
      <c r="F7" s="13">
        <f t="shared" si="1"/>
        <v>16</v>
      </c>
      <c r="G7" s="27">
        <v>10</v>
      </c>
      <c r="H7" s="27">
        <v>6</v>
      </c>
      <c r="I7" s="27">
        <v>0</v>
      </c>
      <c r="J7" s="29">
        <v>8</v>
      </c>
      <c r="K7" s="30">
        <v>4</v>
      </c>
      <c r="L7" s="31">
        <v>0</v>
      </c>
      <c r="M7" s="32">
        <v>0</v>
      </c>
      <c r="N7" s="33"/>
      <c r="O7" s="34">
        <f t="shared" si="2"/>
        <v>70</v>
      </c>
    </row>
    <row r="8" spans="1:15" ht="16.5" x14ac:dyDescent="0.3">
      <c r="A8" s="2">
        <v>43411</v>
      </c>
      <c r="B8" s="55">
        <f t="shared" si="0"/>
        <v>41</v>
      </c>
      <c r="C8" s="27">
        <v>16</v>
      </c>
      <c r="D8" s="27">
        <v>14</v>
      </c>
      <c r="E8" s="27">
        <v>11</v>
      </c>
      <c r="F8" s="13">
        <f t="shared" si="1"/>
        <v>10</v>
      </c>
      <c r="G8" s="27">
        <v>4</v>
      </c>
      <c r="H8" s="27">
        <v>5</v>
      </c>
      <c r="I8" s="27">
        <v>1</v>
      </c>
      <c r="J8" s="29">
        <v>10</v>
      </c>
      <c r="K8" s="30">
        <v>6</v>
      </c>
      <c r="L8" s="31">
        <v>0</v>
      </c>
      <c r="M8" s="32">
        <v>2</v>
      </c>
      <c r="N8" s="33"/>
      <c r="O8" s="34">
        <f t="shared" si="2"/>
        <v>69</v>
      </c>
    </row>
    <row r="9" spans="1:15" ht="16.5" x14ac:dyDescent="0.3">
      <c r="A9" s="2">
        <v>43412</v>
      </c>
      <c r="B9" s="55">
        <f t="shared" si="0"/>
        <v>42</v>
      </c>
      <c r="C9" s="27">
        <v>13</v>
      </c>
      <c r="D9" s="27">
        <v>21</v>
      </c>
      <c r="E9" s="27">
        <v>8</v>
      </c>
      <c r="F9" s="13">
        <f t="shared" si="1"/>
        <v>14</v>
      </c>
      <c r="G9" s="27">
        <v>5</v>
      </c>
      <c r="H9" s="27">
        <v>8</v>
      </c>
      <c r="I9" s="27">
        <v>1</v>
      </c>
      <c r="J9" s="29">
        <v>8</v>
      </c>
      <c r="K9" s="30">
        <v>2</v>
      </c>
      <c r="L9" s="31">
        <v>0</v>
      </c>
      <c r="M9" s="32">
        <v>2</v>
      </c>
      <c r="N9" s="33"/>
      <c r="O9" s="34">
        <f t="shared" si="2"/>
        <v>68</v>
      </c>
    </row>
    <row r="10" spans="1:15" ht="16.5" x14ac:dyDescent="0.3">
      <c r="A10" s="2">
        <v>43413</v>
      </c>
      <c r="B10" s="55">
        <f t="shared" si="0"/>
        <v>45</v>
      </c>
      <c r="C10" s="27">
        <v>16</v>
      </c>
      <c r="D10" s="27">
        <v>21</v>
      </c>
      <c r="E10" s="27">
        <v>8</v>
      </c>
      <c r="F10" s="13">
        <f t="shared" si="1"/>
        <v>14</v>
      </c>
      <c r="G10" s="27">
        <v>5</v>
      </c>
      <c r="H10" s="27">
        <v>9</v>
      </c>
      <c r="I10" s="27">
        <v>0</v>
      </c>
      <c r="J10" s="29">
        <v>16</v>
      </c>
      <c r="K10" s="30">
        <v>5</v>
      </c>
      <c r="L10" s="31">
        <v>1</v>
      </c>
      <c r="M10" s="32">
        <v>2</v>
      </c>
      <c r="N10" s="33"/>
      <c r="O10" s="34">
        <f t="shared" si="2"/>
        <v>83</v>
      </c>
    </row>
    <row r="11" spans="1:15" ht="16.5" x14ac:dyDescent="0.3">
      <c r="A11" s="2">
        <v>43414</v>
      </c>
      <c r="B11" s="55">
        <f t="shared" si="0"/>
        <v>5</v>
      </c>
      <c r="C11" s="27">
        <v>5</v>
      </c>
      <c r="D11" s="27">
        <v>0</v>
      </c>
      <c r="E11" s="27">
        <v>0</v>
      </c>
      <c r="F11" s="13">
        <f t="shared" si="1"/>
        <v>0</v>
      </c>
      <c r="G11" s="27">
        <v>0</v>
      </c>
      <c r="H11" s="27">
        <v>0</v>
      </c>
      <c r="I11" s="27">
        <v>0</v>
      </c>
      <c r="J11" s="29">
        <v>0</v>
      </c>
      <c r="K11" s="30">
        <v>0</v>
      </c>
      <c r="L11" s="31">
        <v>1</v>
      </c>
      <c r="M11" s="32">
        <v>1</v>
      </c>
      <c r="N11" s="33"/>
      <c r="O11" s="34">
        <f t="shared" si="2"/>
        <v>7</v>
      </c>
    </row>
    <row r="12" spans="1:15" ht="16.5" x14ac:dyDescent="0.3">
      <c r="A12" s="2">
        <v>43415</v>
      </c>
      <c r="B12" s="55">
        <f t="shared" ca="1" si="0"/>
        <v>0</v>
      </c>
      <c r="C12" s="27">
        <f ca="1">GetFileList("P:\TP et Raccodement\FICHES CREES RACCORDEMENT\1 - RACCOS A SAISIR DANS AX\11-11-2018\*LM RACCO*.pdf")</f>
        <v>0</v>
      </c>
      <c r="D12" s="27">
        <f ca="1">GetFileList("P:\TP et Raccodement\FICHES CREES RACCORDEMENT\1 - RACCOS A SAISIR DANS AX\11-11-2018\*LR RACCO*.pdf")</f>
        <v>0</v>
      </c>
      <c r="E12" s="27">
        <f ca="1">GetFileList("P:\TP et Raccodement\FICHES CREES RACCORDEMENT\1 - RACCOS A SAISIR DANS AX\11-11-2018\*CL RACCO*.pdf")</f>
        <v>0</v>
      </c>
      <c r="F12" s="13">
        <f t="shared" ca="1" si="1"/>
        <v>0</v>
      </c>
      <c r="G12" s="27">
        <f ca="1">GetFileList("P:\TP et Raccodement\FICHES CREES RACCORDEMENT\2 - SAV + COMPL + PASSAGE W XV A SAISIR DANS AX\11-11-2018\*LM PASS*.pdf")</f>
        <v>0</v>
      </c>
      <c r="H12" s="27">
        <f ca="1">GetFileList("P:\TP et Raccodement\FICHES CREES RACCORDEMENT\2 - SAV + COMPL + PASSAGE W XV A SAISIR DANS AX\11-11-2018\*LR PASS*.pdf")</f>
        <v>0</v>
      </c>
      <c r="I12" s="27">
        <f ca="1">GetFileList("P:\TP et Raccodement\FICHES CREES RACCORDEMENT\2 - SAV + COMPL + PASSAGE W XV A SAISIR DANS AX\11-11-2018\*CL PASS*.pdf")</f>
        <v>0</v>
      </c>
      <c r="J12" s="29">
        <f ca="1">GetFileList("P:\TP et Raccodement\FICHES CREES RACCORDEMENT\2 - SAV + COMPL + PASSAGE W XV A SAISIR DANS AX\11-11-2018\*SAV*.pdf")</f>
        <v>0</v>
      </c>
      <c r="K12" s="30">
        <f ca="1">GetFileList("P:\TP et Raccodement\FICHES CREES RACCORDEMENT\2 - SAV + COMPL + PASSAGE W XV A SAISIR DANS AX\11-11-2018\*COMPLEMENT*.pdf")</f>
        <v>0</v>
      </c>
      <c r="L12" s="31">
        <f ca="1">GetFileList("P:\TP et Raccodement\FICHES CREES RACCORDEMENT\2 - SAV + COMPL + PASSAGE W XV A SAISIR DANS AX\11-11-2018\*REPRISE*.pdf")</f>
        <v>0</v>
      </c>
      <c r="M12" s="32">
        <f ca="1">GetFileList("P:\TP et Raccodement\FICHES CREES RACCORDEMENT\2 - SAV + COMPL + PASSAGE W XV A SAISIR DANS AX\11-11-2018\*REMONTAGE*.pdf")</f>
        <v>0</v>
      </c>
      <c r="N12" s="33"/>
      <c r="O12" s="34">
        <f t="shared" ca="1" si="2"/>
        <v>0</v>
      </c>
    </row>
    <row r="13" spans="1:15" ht="16.5" x14ac:dyDescent="0.3">
      <c r="A13" s="2">
        <v>43416</v>
      </c>
      <c r="B13" s="55">
        <f t="shared" si="0"/>
        <v>47</v>
      </c>
      <c r="C13" s="27">
        <v>14</v>
      </c>
      <c r="D13" s="27">
        <v>19</v>
      </c>
      <c r="E13" s="27">
        <v>14</v>
      </c>
      <c r="F13" s="13">
        <f t="shared" si="1"/>
        <v>17</v>
      </c>
      <c r="G13" s="27">
        <v>7</v>
      </c>
      <c r="H13" s="27">
        <v>10</v>
      </c>
      <c r="I13" s="27">
        <v>0</v>
      </c>
      <c r="J13" s="29">
        <v>7</v>
      </c>
      <c r="K13" s="30">
        <v>3</v>
      </c>
      <c r="L13" s="31">
        <v>0</v>
      </c>
      <c r="M13" s="32">
        <v>2</v>
      </c>
      <c r="N13" s="33"/>
      <c r="O13" s="34">
        <f t="shared" si="2"/>
        <v>76</v>
      </c>
    </row>
    <row r="14" spans="1:15" ht="16.5" x14ac:dyDescent="0.3">
      <c r="A14" s="2">
        <v>43417</v>
      </c>
      <c r="B14" s="55">
        <f t="shared" si="0"/>
        <v>35</v>
      </c>
      <c r="C14" s="27">
        <v>11</v>
      </c>
      <c r="D14" s="27">
        <v>11</v>
      </c>
      <c r="E14" s="27">
        <v>13</v>
      </c>
      <c r="F14" s="13">
        <f t="shared" si="1"/>
        <v>16</v>
      </c>
      <c r="G14" s="27">
        <v>9</v>
      </c>
      <c r="H14" s="27">
        <v>7</v>
      </c>
      <c r="I14" s="27">
        <v>0</v>
      </c>
      <c r="J14" s="29">
        <v>6</v>
      </c>
      <c r="K14" s="30">
        <v>3</v>
      </c>
      <c r="L14" s="31">
        <v>0</v>
      </c>
      <c r="M14" s="32">
        <v>1</v>
      </c>
      <c r="N14" s="33"/>
      <c r="O14" s="34">
        <f t="shared" si="2"/>
        <v>61</v>
      </c>
    </row>
    <row r="15" spans="1:15" ht="16.5" x14ac:dyDescent="0.3">
      <c r="A15" s="2">
        <v>43418</v>
      </c>
      <c r="B15" s="55">
        <f t="shared" si="0"/>
        <v>47</v>
      </c>
      <c r="C15" s="27">
        <v>18</v>
      </c>
      <c r="D15" s="27">
        <v>14</v>
      </c>
      <c r="E15" s="27">
        <v>15</v>
      </c>
      <c r="F15" s="13">
        <f t="shared" si="1"/>
        <v>11</v>
      </c>
      <c r="G15" s="27">
        <v>5</v>
      </c>
      <c r="H15" s="27">
        <v>4</v>
      </c>
      <c r="I15" s="27">
        <v>2</v>
      </c>
      <c r="J15" s="29">
        <v>7</v>
      </c>
      <c r="K15" s="30">
        <v>7</v>
      </c>
      <c r="L15" s="31">
        <v>0</v>
      </c>
      <c r="M15" s="32">
        <v>0</v>
      </c>
      <c r="N15" s="33"/>
      <c r="O15" s="34">
        <f t="shared" si="2"/>
        <v>72</v>
      </c>
    </row>
    <row r="16" spans="1:15" ht="16.5" x14ac:dyDescent="0.3">
      <c r="A16" s="2">
        <v>43419</v>
      </c>
      <c r="B16" s="55">
        <f t="shared" si="0"/>
        <v>41</v>
      </c>
      <c r="C16" s="27">
        <v>15</v>
      </c>
      <c r="D16" s="27">
        <v>18</v>
      </c>
      <c r="E16" s="27">
        <v>8</v>
      </c>
      <c r="F16" s="13">
        <f t="shared" si="1"/>
        <v>11</v>
      </c>
      <c r="G16" s="27">
        <v>6</v>
      </c>
      <c r="H16" s="27">
        <v>4</v>
      </c>
      <c r="I16" s="27">
        <v>1</v>
      </c>
      <c r="J16" s="29">
        <v>9</v>
      </c>
      <c r="K16" s="30">
        <v>2</v>
      </c>
      <c r="L16" s="31">
        <v>0</v>
      </c>
      <c r="M16" s="32">
        <v>3</v>
      </c>
      <c r="N16" s="33"/>
      <c r="O16" s="34">
        <f t="shared" si="2"/>
        <v>66</v>
      </c>
    </row>
    <row r="17" spans="1:15" ht="16.5" x14ac:dyDescent="0.3">
      <c r="A17" s="2">
        <v>43420</v>
      </c>
      <c r="B17" s="55">
        <f t="shared" si="0"/>
        <v>42</v>
      </c>
      <c r="C17" s="27">
        <v>20</v>
      </c>
      <c r="D17" s="27">
        <v>15</v>
      </c>
      <c r="E17" s="27">
        <v>7</v>
      </c>
      <c r="F17" s="13">
        <f t="shared" si="1"/>
        <v>15</v>
      </c>
      <c r="G17" s="27">
        <v>7</v>
      </c>
      <c r="H17" s="27">
        <v>7</v>
      </c>
      <c r="I17" s="27">
        <v>1</v>
      </c>
      <c r="J17" s="29">
        <v>6</v>
      </c>
      <c r="K17" s="30">
        <v>3</v>
      </c>
      <c r="L17" s="31">
        <v>1</v>
      </c>
      <c r="M17" s="32">
        <f ca="1">GetFileList("P:\TP et Raccodement\FICHES CREES RACCORDEMENT\2 - SAV + COMPL + PASSAGE W XV A SAISIR DANS AX\16-11-2018\*REMONTAGE*.pdf")</f>
        <v>0</v>
      </c>
      <c r="N17" s="33"/>
      <c r="O17" s="34">
        <f t="shared" ca="1" si="2"/>
        <v>67</v>
      </c>
    </row>
    <row r="18" spans="1:15" ht="16.5" x14ac:dyDescent="0.3">
      <c r="A18" s="2">
        <v>43421</v>
      </c>
      <c r="B18" s="55">
        <f t="shared" si="0"/>
        <v>5</v>
      </c>
      <c r="C18" s="27">
        <v>5</v>
      </c>
      <c r="D18" s="27">
        <v>0</v>
      </c>
      <c r="E18" s="27">
        <v>0</v>
      </c>
      <c r="F18" s="13">
        <f t="shared" si="1"/>
        <v>2</v>
      </c>
      <c r="G18" s="27">
        <v>2</v>
      </c>
      <c r="H18" s="27">
        <v>0</v>
      </c>
      <c r="I18" s="27">
        <v>0</v>
      </c>
      <c r="J18" s="29">
        <v>0</v>
      </c>
      <c r="K18" s="30">
        <v>0</v>
      </c>
      <c r="L18" s="31">
        <v>0</v>
      </c>
      <c r="M18" s="32">
        <v>0</v>
      </c>
      <c r="N18" s="33"/>
      <c r="O18" s="34">
        <f t="shared" si="2"/>
        <v>7</v>
      </c>
    </row>
    <row r="19" spans="1:15" ht="16.5" x14ac:dyDescent="0.3">
      <c r="A19" s="2">
        <v>43422</v>
      </c>
      <c r="B19" s="55">
        <f t="shared" ca="1" si="0"/>
        <v>0</v>
      </c>
      <c r="C19" s="27">
        <f ca="1">GetFileList("P:\TP et Raccodement\FICHES CREES RACCORDEMENT\1 - RACCOS A SAISIR DANS AX\18-11-2018\*LM RACCO*.pdf")</f>
        <v>0</v>
      </c>
      <c r="D19" s="27">
        <f ca="1">GetFileList("P:\TP et Raccodement\FICHES CREES RACCORDEMENT\1 - RACCOS A SAISIR DANS AX\18-11-2018\*LR RACCO*.pdf")</f>
        <v>0</v>
      </c>
      <c r="E19" s="27">
        <f ca="1">GetFileList("P:\TP et Raccodement\FICHES CREES RACCORDEMENT\1 - RACCOS A SAISIR DANS AX\18-11-2018\*CL RACCO*.pdf")</f>
        <v>0</v>
      </c>
      <c r="F19" s="13">
        <f t="shared" ca="1" si="1"/>
        <v>0</v>
      </c>
      <c r="G19" s="27">
        <f ca="1">GetFileList("P:\TP et Raccodement\FICHES CREES RACCORDEMENT\2 - SAV + COMPL + PASSAGE W XV A SAISIR DANS AX\18-11-2018\*LM PASS*.pdf")</f>
        <v>0</v>
      </c>
      <c r="H19" s="27">
        <f ca="1">GetFileList("P:\TP et Raccodement\FICHES CREES RACCORDEMENT\2 - SAV + COMPL + PASSAGE W XV A SAISIR DANS AX\18-11-2018\*LR PASS*.pdf")</f>
        <v>0</v>
      </c>
      <c r="I19" s="27">
        <f ca="1">GetFileList("P:\TP et Raccodement\FICHES CREES RACCORDEMENT\2 - SAV + COMPL + PASSAGE W XV A SAISIR DANS AX\18-11-2018\*CL PASS*.pdf")</f>
        <v>0</v>
      </c>
      <c r="J19" s="29">
        <f ca="1">GetFileList("P:\TP et Raccodement\FICHES CREES RACCORDEMENT\2 - SAV + COMPL + PASSAGE W XV A SAISIR DANS AX\18-11-2018\*SAV*.pdf")</f>
        <v>0</v>
      </c>
      <c r="K19" s="30">
        <f ca="1">GetFileList("P:\TP et Raccodement\FICHES CREES RACCORDEMENT\2 - SAV + COMPL + PASSAGE W XV A SAISIR DANS AX\18-11-2018\*COMPLEMENT*.pdf")</f>
        <v>0</v>
      </c>
      <c r="L19" s="31">
        <f ca="1">GetFileList("P:\TP et Raccodement\FICHES CREES RACCORDEMENT\2 - SAV + COMPL + PASSAGE W XV A SAISIR DANS AX\18-11-2018\*REPRISE*.pdf")</f>
        <v>0</v>
      </c>
      <c r="M19" s="32">
        <f ca="1">GetFileList("P:\TP et Raccodement\FICHES CREES RACCORDEMENT\2 - SAV + COMPL + PASSAGE W XV A SAISIR DANS AX\18-11-2018\*REMONTAGE*.pdf")</f>
        <v>0</v>
      </c>
      <c r="N19" s="33"/>
      <c r="O19" s="34">
        <f t="shared" ca="1" si="2"/>
        <v>0</v>
      </c>
    </row>
    <row r="20" spans="1:15" ht="16.5" x14ac:dyDescent="0.3">
      <c r="A20" s="2">
        <v>43423</v>
      </c>
      <c r="B20" s="55">
        <f t="shared" si="0"/>
        <v>53</v>
      </c>
      <c r="C20" s="27">
        <v>24</v>
      </c>
      <c r="D20" s="27">
        <v>15</v>
      </c>
      <c r="E20" s="27">
        <v>14</v>
      </c>
      <c r="F20" s="13">
        <f t="shared" si="1"/>
        <v>13</v>
      </c>
      <c r="G20" s="27">
        <v>10</v>
      </c>
      <c r="H20" s="27">
        <v>3</v>
      </c>
      <c r="I20" s="27">
        <v>0</v>
      </c>
      <c r="J20" s="29">
        <v>8</v>
      </c>
      <c r="K20" s="30">
        <v>4</v>
      </c>
      <c r="L20" s="31">
        <v>0</v>
      </c>
      <c r="M20" s="32">
        <v>1</v>
      </c>
      <c r="N20" s="33"/>
      <c r="O20" s="34">
        <f t="shared" si="2"/>
        <v>79</v>
      </c>
    </row>
    <row r="21" spans="1:15" ht="16.5" x14ac:dyDescent="0.3">
      <c r="A21" s="2">
        <v>43424</v>
      </c>
      <c r="B21" s="55">
        <f t="shared" si="0"/>
        <v>36</v>
      </c>
      <c r="C21" s="27">
        <v>13</v>
      </c>
      <c r="D21" s="27">
        <v>14</v>
      </c>
      <c r="E21" s="27">
        <v>9</v>
      </c>
      <c r="F21" s="13">
        <f t="shared" si="1"/>
        <v>10</v>
      </c>
      <c r="G21" s="27">
        <v>4</v>
      </c>
      <c r="H21" s="27">
        <v>6</v>
      </c>
      <c r="I21" s="27">
        <v>0</v>
      </c>
      <c r="J21" s="29">
        <v>6</v>
      </c>
      <c r="K21" s="30">
        <v>8</v>
      </c>
      <c r="L21" s="31">
        <v>1</v>
      </c>
      <c r="M21" s="32">
        <v>0</v>
      </c>
      <c r="N21" s="33"/>
      <c r="O21" s="34">
        <f t="shared" si="2"/>
        <v>61</v>
      </c>
    </row>
    <row r="22" spans="1:15" ht="16.5" x14ac:dyDescent="0.3">
      <c r="A22" s="2">
        <v>43425</v>
      </c>
      <c r="B22" s="55">
        <f t="shared" si="0"/>
        <v>50</v>
      </c>
      <c r="C22" s="27">
        <v>17</v>
      </c>
      <c r="D22" s="27">
        <v>16</v>
      </c>
      <c r="E22" s="27">
        <v>17</v>
      </c>
      <c r="F22" s="13">
        <f t="shared" si="1"/>
        <v>9</v>
      </c>
      <c r="G22" s="27">
        <v>4</v>
      </c>
      <c r="H22" s="27">
        <v>5</v>
      </c>
      <c r="I22" s="27">
        <v>0</v>
      </c>
      <c r="J22" s="29">
        <v>8</v>
      </c>
      <c r="K22" s="30">
        <v>4</v>
      </c>
      <c r="L22" s="31">
        <v>0</v>
      </c>
      <c r="M22" s="32">
        <v>0</v>
      </c>
      <c r="N22" s="33"/>
      <c r="O22" s="34">
        <f t="shared" si="2"/>
        <v>71</v>
      </c>
    </row>
    <row r="23" spans="1:15" ht="16.5" x14ac:dyDescent="0.3">
      <c r="A23" s="2">
        <v>43426</v>
      </c>
      <c r="B23" s="55">
        <f t="shared" si="0"/>
        <v>30</v>
      </c>
      <c r="C23" s="27">
        <v>16</v>
      </c>
      <c r="D23" s="27">
        <v>9</v>
      </c>
      <c r="E23" s="27">
        <v>5</v>
      </c>
      <c r="F23" s="13">
        <f t="shared" ca="1" si="1"/>
        <v>10</v>
      </c>
      <c r="G23" s="27">
        <v>8</v>
      </c>
      <c r="H23" s="27">
        <v>2</v>
      </c>
      <c r="I23" s="27">
        <f ca="1">GetFileList("P:\TP et Raccodement\FICHES CREES RACCORDEMENT\2 - SAV + COMPL + PASSAGE W XV A SAISIR DANS AX\22-11-2018\*CL PASS*.pdf")</f>
        <v>0</v>
      </c>
      <c r="J23" s="29">
        <v>8</v>
      </c>
      <c r="K23" s="30">
        <v>6</v>
      </c>
      <c r="L23" s="31">
        <f ca="1">GetFileList("P:\TP et Raccodement\FICHES CREES RACCORDEMENT\2 - SAV + COMPL + PASSAGE W XV A SAISIR DANS AX\22-11-2018\*REPRISE*.pdf")</f>
        <v>0</v>
      </c>
      <c r="M23" s="32">
        <v>1</v>
      </c>
      <c r="N23" s="33"/>
      <c r="O23" s="34">
        <f t="shared" ca="1" si="2"/>
        <v>55</v>
      </c>
    </row>
    <row r="24" spans="1:15" ht="16.5" x14ac:dyDescent="0.3">
      <c r="A24" s="2">
        <v>43427</v>
      </c>
      <c r="B24" s="55">
        <f t="shared" si="0"/>
        <v>40</v>
      </c>
      <c r="C24" s="27">
        <v>16</v>
      </c>
      <c r="D24" s="27">
        <v>14</v>
      </c>
      <c r="E24" s="27">
        <v>10</v>
      </c>
      <c r="F24" s="13">
        <f t="shared" si="1"/>
        <v>9</v>
      </c>
      <c r="G24" s="27">
        <v>3</v>
      </c>
      <c r="H24" s="27">
        <v>5</v>
      </c>
      <c r="I24" s="27">
        <v>1</v>
      </c>
      <c r="J24" s="29">
        <v>9</v>
      </c>
      <c r="K24" s="30">
        <v>10</v>
      </c>
      <c r="L24" s="31">
        <v>1</v>
      </c>
      <c r="M24" s="32">
        <v>0</v>
      </c>
      <c r="N24" s="33"/>
      <c r="O24" s="34">
        <f t="shared" si="2"/>
        <v>69</v>
      </c>
    </row>
    <row r="25" spans="1:15" ht="16.5" x14ac:dyDescent="0.3">
      <c r="A25" s="2">
        <v>43428</v>
      </c>
      <c r="B25" s="55">
        <f t="shared" si="0"/>
        <v>4</v>
      </c>
      <c r="C25" s="27">
        <v>3</v>
      </c>
      <c r="D25" s="27">
        <v>0</v>
      </c>
      <c r="E25" s="27">
        <v>1</v>
      </c>
      <c r="F25" s="13">
        <f t="shared" si="1"/>
        <v>0</v>
      </c>
      <c r="G25" s="27">
        <v>0</v>
      </c>
      <c r="H25" s="27">
        <v>0</v>
      </c>
      <c r="I25" s="27">
        <v>0</v>
      </c>
      <c r="J25" s="29">
        <v>0</v>
      </c>
      <c r="K25" s="30">
        <v>0</v>
      </c>
      <c r="L25" s="31">
        <v>0</v>
      </c>
      <c r="M25" s="32">
        <v>1</v>
      </c>
      <c r="N25" s="33"/>
      <c r="O25" s="34">
        <f t="shared" si="2"/>
        <v>5</v>
      </c>
    </row>
    <row r="26" spans="1:15" ht="16.5" x14ac:dyDescent="0.3">
      <c r="A26" s="2">
        <v>43429</v>
      </c>
      <c r="B26" s="55">
        <f t="shared" ca="1" si="0"/>
        <v>0</v>
      </c>
      <c r="C26" s="27">
        <f ca="1">GetFileList("P:\TP et Raccodement\FICHES CREES RACCORDEMENT\1 - RACCOS A SAISIR DANS AX\25-11-2018\*LM RACCO*.pdf")</f>
        <v>0</v>
      </c>
      <c r="D26" s="27">
        <f ca="1">GetFileList("P:\TP et Raccodement\FICHES CREES RACCORDEMENT\1 - RACCOS A SAISIR DANS AX\25-11-2018\*LR RACCO*.pdf")</f>
        <v>0</v>
      </c>
      <c r="E26" s="27">
        <f ca="1">GetFileList("P:\TP et Raccodement\FICHES CREES RACCORDEMENT\1 - RACCOS A SAISIR DANS AX\25-11-2018\*CL RACCO*.pdf")</f>
        <v>0</v>
      </c>
      <c r="F26" s="13">
        <f t="shared" ca="1" si="1"/>
        <v>0</v>
      </c>
      <c r="G26" s="27">
        <f ca="1">GetFileList("P:\TP et Raccodement\FICHES CREES RACCORDEMENT\2 - SAV + COMPL + PASSAGE W XV A SAISIR DANS AX\25-11-2018\*LM PASS*.pdf")</f>
        <v>0</v>
      </c>
      <c r="H26" s="27">
        <f ca="1">GetFileList("P:\TP et Raccodement\FICHES CREES RACCORDEMENT\2 - SAV + COMPL + PASSAGE W XV A SAISIR DANS AX\25-11-2018\*LR PASS*.pdf")</f>
        <v>0</v>
      </c>
      <c r="I26" s="27">
        <f ca="1">GetFileList("P:\TP et Raccodement\FICHES CREES RACCORDEMENT\2 - SAV + COMPL + PASSAGE W XV A SAISIR DANS AX\25-11-2018\*CL PASS*.pdf")</f>
        <v>0</v>
      </c>
      <c r="J26" s="29">
        <f ca="1">GetFileList("P:\TP et Raccodement\FICHES CREES RACCORDEMENT\2 - SAV + COMPL + PASSAGE W XV A SAISIR DANS AX\25-11-2018\*SAV*.pdf")</f>
        <v>0</v>
      </c>
      <c r="K26" s="30">
        <f ca="1">GetFileList("P:\TP et Raccodement\FICHES CREES RACCORDEMENT\2 - SAV + COMPL + PASSAGE W XV A SAISIR DANS AX\25-11-2018\*COMPLEMENT*.pdf")</f>
        <v>0</v>
      </c>
      <c r="L26" s="31">
        <f ca="1">GetFileList("P:\TP et Raccodement\FICHES CREES RACCORDEMENT\2 - SAV + COMPL + PASSAGE W XV A SAISIR DANS AX\25-11-2018\*REPRISE*.pdf")</f>
        <v>0</v>
      </c>
      <c r="M26" s="32">
        <f ca="1">GetFileList("P:\TP et Raccodement\FICHES CREES RACCORDEMENT\2 - SAV + COMPL + PASSAGE W XV A SAISIR DANS AX\25-11-2018\*REMONTAGE*.pdf")</f>
        <v>0</v>
      </c>
      <c r="N26" s="33"/>
      <c r="O26" s="34">
        <f t="shared" ca="1" si="2"/>
        <v>0</v>
      </c>
    </row>
    <row r="27" spans="1:15" ht="16.5" x14ac:dyDescent="0.3">
      <c r="A27" s="2">
        <v>43430</v>
      </c>
      <c r="B27" s="55">
        <f t="shared" si="0"/>
        <v>55</v>
      </c>
      <c r="C27" s="27">
        <v>23</v>
      </c>
      <c r="D27" s="27">
        <v>16</v>
      </c>
      <c r="E27" s="27">
        <v>16</v>
      </c>
      <c r="F27" s="13">
        <f t="shared" si="1"/>
        <v>12</v>
      </c>
      <c r="G27" s="27">
        <v>6</v>
      </c>
      <c r="H27" s="27">
        <v>6</v>
      </c>
      <c r="I27" s="27">
        <v>0</v>
      </c>
      <c r="J27" s="29">
        <v>9</v>
      </c>
      <c r="K27" s="30">
        <v>7</v>
      </c>
      <c r="L27" s="31">
        <v>0</v>
      </c>
      <c r="M27" s="32">
        <v>2</v>
      </c>
      <c r="N27" s="33"/>
      <c r="O27" s="34">
        <f t="shared" si="2"/>
        <v>85</v>
      </c>
    </row>
    <row r="28" spans="1:15" ht="16.5" x14ac:dyDescent="0.3">
      <c r="A28" s="2">
        <v>43431</v>
      </c>
      <c r="B28" s="55">
        <f t="shared" si="0"/>
        <v>37</v>
      </c>
      <c r="C28" s="27">
        <v>16</v>
      </c>
      <c r="D28" s="27">
        <v>10</v>
      </c>
      <c r="E28" s="27">
        <v>11</v>
      </c>
      <c r="F28" s="13">
        <f t="shared" si="1"/>
        <v>12</v>
      </c>
      <c r="G28" s="27">
        <v>5</v>
      </c>
      <c r="H28" s="27">
        <v>7</v>
      </c>
      <c r="I28" s="27">
        <v>0</v>
      </c>
      <c r="J28" s="29">
        <v>5</v>
      </c>
      <c r="K28" s="30">
        <v>3</v>
      </c>
      <c r="L28" s="31">
        <v>1</v>
      </c>
      <c r="M28" s="32">
        <v>1</v>
      </c>
      <c r="N28" s="33"/>
      <c r="O28" s="34">
        <f t="shared" si="2"/>
        <v>59</v>
      </c>
    </row>
    <row r="29" spans="1:15" ht="16.5" x14ac:dyDescent="0.3">
      <c r="A29" s="2">
        <v>43432</v>
      </c>
      <c r="B29" s="55">
        <f t="shared" ca="1" si="0"/>
        <v>20</v>
      </c>
      <c r="C29" s="27">
        <f ca="1">GetFileList("P:\TP et Raccodement\FICHES CREES RACCORDEMENT\1 - RACCOS A SAISIR DANS AX\28-11-2018\*LM RACCO*.pdf")</f>
        <v>9</v>
      </c>
      <c r="D29" s="27">
        <f ca="1">GetFileList("P:\TP et Raccodement\FICHES CREES RACCORDEMENT\1 - RACCOS A SAISIR DANS AX\28-11-2018\*LR RACCO*.pdf")</f>
        <v>3</v>
      </c>
      <c r="E29" s="27">
        <f ca="1">GetFileList("P:\TP et Raccodement\FICHES CREES RACCORDEMENT\1 - RACCOS A SAISIR DANS AX\28-11-2018\*CL RACCO*.pdf")</f>
        <v>8</v>
      </c>
      <c r="F29" s="13">
        <f t="shared" ca="1" si="1"/>
        <v>6</v>
      </c>
      <c r="G29" s="27">
        <f ca="1">GetFileList("P:\TP et Raccodement\FICHES CREES RACCORDEMENT\2 - SAV + COMPL + PASSAGE W XV A SAISIR DANS AX\28-11-2018\*LM PASS*.pdf")</f>
        <v>2</v>
      </c>
      <c r="H29" s="27">
        <f ca="1">GetFileList("P:\TP et Raccodement\FICHES CREES RACCORDEMENT\2 - SAV + COMPL + PASSAGE W XV A SAISIR DANS AX\28-11-2018\*LR PASS*.pdf")</f>
        <v>4</v>
      </c>
      <c r="I29" s="27">
        <f ca="1">GetFileList("P:\TP et Raccodement\FICHES CREES RACCORDEMENT\2 - SAV + COMPL + PASSAGE W XV A SAISIR DANS AX\28-11-2018\*CL PASS*.pdf")</f>
        <v>0</v>
      </c>
      <c r="J29" s="29">
        <f ca="1">GetFileList("P:\TP et Raccodement\FICHES CREES RACCORDEMENT\2 - SAV + COMPL + PASSAGE W XV A SAISIR DANS AX\28-11-2018\*SAV*.pdf")</f>
        <v>6</v>
      </c>
      <c r="K29" s="30">
        <f ca="1">GetFileList("P:\TP et Raccodement\FICHES CREES RACCORDEMENT\2 - SAV + COMPL + PASSAGE W XV A SAISIR DANS AX\28-11-2018\*COMPLEMENT*.pdf")</f>
        <v>1</v>
      </c>
      <c r="L29" s="31">
        <f ca="1">GetFileList("P:\TP et Raccodement\FICHES CREES RACCORDEMENT\2 - SAV + COMPL + PASSAGE W XV A SAISIR DANS AX\28-11-2018\*REPRISE*.pdf")</f>
        <v>0</v>
      </c>
      <c r="M29" s="32">
        <f ca="1">GetFileList("P:\TP et Raccodement\FICHES CREES RACCORDEMENT\2 - SAV + COMPL + PASSAGE W XV A SAISIR DANS AX\28-11-2018\*REMONTAGE*.pdf")</f>
        <v>0</v>
      </c>
      <c r="N29" s="33"/>
      <c r="O29" s="34">
        <v>33</v>
      </c>
    </row>
    <row r="30" spans="1:15" ht="16.5" x14ac:dyDescent="0.3">
      <c r="A30" s="2">
        <v>43433</v>
      </c>
      <c r="B30" s="55">
        <f t="shared" ca="1" si="0"/>
        <v>0</v>
      </c>
      <c r="C30" s="27">
        <f ca="1">GetFileList("P:\TP et Raccodement\FICHES CREES RACCORDEMENT\1 - RACCOS A SAISIR DANS AX\29-11-2018\*LM RACCO*.pdf")</f>
        <v>0</v>
      </c>
      <c r="D30" s="27">
        <f ca="1">GetFileList("P:\TP et Raccodement\FICHES CREES RACCORDEMENT\1 - RACCOS A SAISIR DANS AX\29-11-2018\*LR RACCO*.pdf")</f>
        <v>0</v>
      </c>
      <c r="E30" s="27">
        <f ca="1">GetFileList("P:\TP et Raccodement\FICHES CREES RACCORDEMENT\1 - RACCOS A SAISIR DANS AX\29-11-2018\*CL RACCO*.pdf")</f>
        <v>0</v>
      </c>
      <c r="F30" s="13">
        <f t="shared" ca="1" si="1"/>
        <v>0</v>
      </c>
      <c r="G30" s="27">
        <f ca="1">GetFileList("P:\TP et Raccodement\FICHES CREES RACCORDEMENT\2 - SAV + COMPL + PASSAGE W XV A SAISIR DANS AX\29-11-2018\*LM PASS*.pdf")</f>
        <v>0</v>
      </c>
      <c r="H30" s="27">
        <f ca="1">GetFileList("P:\TP et Raccodement\FICHES CREES RACCORDEMENT\2 - SAV + COMPL + PASSAGE W XV A SAISIR DANS AX\29-11-2018\*LR PASS*.pdf")</f>
        <v>0</v>
      </c>
      <c r="I30" s="27">
        <f ca="1">GetFileList("P:\TP et Raccodement\FICHES CREES RACCORDEMENT\2 - SAV + COMPL + PASSAGE W XV A SAISIR DANS AX\29-11-2018\*CL PASS*.pdf")</f>
        <v>0</v>
      </c>
      <c r="J30" s="29">
        <f ca="1">GetFileList("P:\TP et Raccodement\FICHES CREES RACCORDEMENT\2 - SAV + COMPL + PASSAGE W XV A SAISIR DANS AX\29-11-2018\*SAV*.pdf")</f>
        <v>0</v>
      </c>
      <c r="K30" s="30">
        <f ca="1">GetFileList("P:\TP et Raccodement\FICHES CREES RACCORDEMENT\2 - SAV + COMPL + PASSAGE W XV A SAISIR DANS AX\29-11-2018\*COMPLEMENT*.pdf")</f>
        <v>0</v>
      </c>
      <c r="L30" s="31">
        <f ca="1">GetFileList("P:\TP et Raccodement\FICHES CREES RACCORDEMENT\2 - SAV + COMPL + PASSAGE W XV A SAISIR DANS AX\29-11-2018\*REPRISE*.pdf")</f>
        <v>0</v>
      </c>
      <c r="M30" s="32">
        <f ca="1">GetFileList("P:\TP et Raccodement\FICHES CREES RACCORDEMENT\2 - SAV + COMPL + PASSAGE W XV A SAISIR DANS AX\29-11-2018\*REMONTAGE*.pdf")</f>
        <v>0</v>
      </c>
      <c r="N30" s="33"/>
      <c r="O30" s="34">
        <f t="shared" ca="1" si="2"/>
        <v>0</v>
      </c>
    </row>
    <row r="31" spans="1:15" ht="17.25" thickBot="1" x14ac:dyDescent="0.35">
      <c r="A31" s="2">
        <v>43434</v>
      </c>
      <c r="B31" s="55">
        <f t="shared" ca="1" si="0"/>
        <v>0</v>
      </c>
      <c r="C31" s="27">
        <f ca="1">GetFileList("P:\TP et Raccodement\FICHES CREES RACCORDEMENT\1 - RACCOS A SAISIR DANS AX\30-11-2018\*LM RACCO*.pdf")</f>
        <v>0</v>
      </c>
      <c r="D31" s="27">
        <f ca="1">GetFileList("P:\TP et Raccodement\FICHES CREES RACCORDEMENT\1 - RACCOS A SAISIR DANS AX\30-11-2018\*LR RACCO*.pdf")</f>
        <v>0</v>
      </c>
      <c r="E31" s="27">
        <f ca="1">GetFileList("P:\TP et Raccodement\FICHES CREES RACCORDEMENT\1 - RACCOS A SAISIR DANS AX\30-11-2018\*CL RACCO*.pdf")</f>
        <v>0</v>
      </c>
      <c r="F31" s="13">
        <f t="shared" ca="1" si="1"/>
        <v>0</v>
      </c>
      <c r="G31" s="27">
        <f ca="1">GetFileList("P:\TP et Raccodement\FICHES CREES RACCORDEMENT\2 - SAV + COMPL + PASSAGE W XV A SAISIR DANS AX\30-11-2018\*LM PASS*.pdf")</f>
        <v>0</v>
      </c>
      <c r="H31" s="27">
        <f ca="1">GetFileList("P:\TP et Raccodement\FICHES CREES RACCORDEMENT\2 - SAV + COMPL + PASSAGE W XV A SAISIR DANS AX\30-11-2018\*LR PASS*.pdf")</f>
        <v>0</v>
      </c>
      <c r="I31" s="27">
        <f ca="1">GetFileList("P:\TP et Raccodement\FICHES CREES RACCORDEMENT\2 - SAV + COMPL + PASSAGE W XV A SAISIR DANS AX\30-11-2018\*CL PASS*.pdf")</f>
        <v>0</v>
      </c>
      <c r="J31" s="29">
        <f ca="1">GetFileList("P:\TP et Raccodement\FICHES CREES RACCORDEMENT\2 - SAV + COMPL + PASSAGE W XV A SAISIR DANS AX\30-11-2018\*SAV*.pdf")</f>
        <v>0</v>
      </c>
      <c r="K31" s="30">
        <f ca="1">GetFileList("P:\TP et Raccodement\FICHES CREES RACCORDEMENT\2 - SAV + COMPL + PASSAGE W XV A SAISIR DANS AX\30-11-2018\*COMPLEMENT*.pdf")</f>
        <v>0</v>
      </c>
      <c r="L31" s="31">
        <f ca="1">GetFileList("P:\TP et Raccodement\FICHES CREES RACCORDEMENT\2 - SAV + COMPL + PASSAGE W XV A SAISIR DANS AX\30-11-2018\*REPRISE*.pdf")</f>
        <v>0</v>
      </c>
      <c r="M31" s="32">
        <f ca="1">GetFileList("P:\TP et Raccodement\FICHES CREES RACCORDEMENT\2 - SAV + COMPL + PASSAGE W XV A SAISIR DANS AX\30-11-2018\*REMONTAGE*.pdf")</f>
        <v>0</v>
      </c>
      <c r="N31" s="33"/>
      <c r="O31" s="34">
        <f t="shared" ca="1" si="2"/>
        <v>0</v>
      </c>
    </row>
    <row r="32" spans="1:15" ht="17.25" thickBot="1" x14ac:dyDescent="0.35">
      <c r="A32" s="26" t="s">
        <v>10</v>
      </c>
      <c r="B32" s="57">
        <f t="shared" ref="B32:M32" ca="1" si="3">SUM(B2:B31)</f>
        <v>817</v>
      </c>
      <c r="C32" s="17">
        <f t="shared" ca="1" si="3"/>
        <v>324</v>
      </c>
      <c r="D32" s="17">
        <f t="shared" ca="1" si="3"/>
        <v>282</v>
      </c>
      <c r="E32" s="17">
        <f t="shared" ca="1" si="3"/>
        <v>211</v>
      </c>
      <c r="F32" s="18">
        <f t="shared" ca="1" si="3"/>
        <v>225</v>
      </c>
      <c r="G32" s="18">
        <f t="shared" ca="1" si="3"/>
        <v>112</v>
      </c>
      <c r="H32" s="18">
        <f t="shared" ca="1" si="3"/>
        <v>106</v>
      </c>
      <c r="I32" s="18">
        <f t="shared" ca="1" si="3"/>
        <v>7</v>
      </c>
      <c r="J32" s="11">
        <f t="shared" ca="1" si="3"/>
        <v>151</v>
      </c>
      <c r="K32" s="11">
        <f t="shared" ca="1" si="3"/>
        <v>85</v>
      </c>
      <c r="L32" s="11">
        <f t="shared" ca="1" si="3"/>
        <v>7</v>
      </c>
      <c r="M32" s="11">
        <f t="shared" ca="1" si="3"/>
        <v>27</v>
      </c>
      <c r="N32" s="33"/>
      <c r="O32" s="40">
        <f ca="1">SUM(O2:O31)</f>
        <v>1312</v>
      </c>
    </row>
  </sheetData>
  <conditionalFormatting sqref="B2:B31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{7A3426D6-D11E-4E6B-BCD0-B79E2AE0C734}</x14:id>
        </ext>
      </extLst>
    </cfRule>
  </conditionalFormatting>
  <conditionalFormatting sqref="B3 B6:B10 B13:B17 B20:B24 B27:B31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A3426D6-D11E-4E6B-BCD0-B79E2AE0C73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B2:B31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7030A0"/>
  </sheetPr>
  <dimension ref="A1:O33"/>
  <sheetViews>
    <sheetView showGridLines="0" showRowColHeaders="0" zoomScaleNormal="100" workbookViewId="0">
      <pane ySplit="1" topLeftCell="A2" activePane="bottomLeft" state="frozen"/>
      <selection pane="bottomLeft" activeCell="G17" sqref="G17"/>
    </sheetView>
  </sheetViews>
  <sheetFormatPr baseColWidth="10" defaultColWidth="9.140625" defaultRowHeight="15" x14ac:dyDescent="0.25"/>
  <cols>
    <col min="1" max="1" width="12.140625" bestFit="1" customWidth="1"/>
    <col min="2" max="2" width="14.28515625" customWidth="1"/>
    <col min="6" max="6" width="10.42578125" customWidth="1"/>
    <col min="13" max="13" width="12.28515625" bestFit="1" customWidth="1"/>
    <col min="15" max="15" width="9.140625" style="1"/>
  </cols>
  <sheetData>
    <row r="1" spans="1:15" ht="31.5" customHeight="1" x14ac:dyDescent="0.25">
      <c r="A1" s="41" t="s">
        <v>11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3" t="s">
        <v>6</v>
      </c>
      <c r="K1" s="23" t="s">
        <v>9</v>
      </c>
      <c r="L1" s="23" t="s">
        <v>7</v>
      </c>
      <c r="M1" s="23" t="s">
        <v>8</v>
      </c>
      <c r="N1" s="24"/>
      <c r="O1" s="25" t="s">
        <v>10</v>
      </c>
    </row>
    <row r="2" spans="1:15" ht="16.5" x14ac:dyDescent="0.3">
      <c r="A2" s="2">
        <v>43435</v>
      </c>
      <c r="B2" s="55">
        <f ca="1">C2+D2+E2</f>
        <v>0</v>
      </c>
      <c r="C2" s="27">
        <f ca="1">GetFileList("P:\TP et Raccodement\FICHES CREES RACCORDEMENT\1 - RACCOS A SAISIR DANS AX\01-12-2018\*LM RACCO*.pdf")</f>
        <v>0</v>
      </c>
      <c r="D2" s="27">
        <f ca="1">GetFileList("P:\TP et Raccodement\FICHES CREES RACCORDEMENT\1 - RACCOS A SAISIR DANS AX\01-12-2018\*LR RACCO*.pdf")</f>
        <v>0</v>
      </c>
      <c r="E2" s="27">
        <f ca="1">GetFileList("P:\TP et Raccodement\FICHES CREES RACCORDEMENT\1 - RACCOS A SAISIR DANS AX\01-12-2018\*CL RACCO*.pdf")</f>
        <v>0</v>
      </c>
      <c r="F2" s="13">
        <f ca="1">G2+H2+I2</f>
        <v>0</v>
      </c>
      <c r="G2" s="27">
        <f ca="1">GetFileList("P:\TP et Raccodement\FICHES CREES RACCORDEMENT\2 - SAV + COMPL + PASSAGE W XV A SAISIR DANS AX\01-12-2018\*LM PASS*.pdf")</f>
        <v>0</v>
      </c>
      <c r="H2" s="27">
        <f ca="1">GetFileList("P:\TP et Raccodement\FICHES CREES RACCORDEMENT\2 - SAV + COMPL + PASSAGE W XV A SAISIR DANS AX\01-12-2018\*LR PASS*.pdf")</f>
        <v>0</v>
      </c>
      <c r="I2" s="27">
        <f ca="1">GetFileList("P:\TP et Raccodement\FICHES CREES RACCORDEMENT\2 - SAV + COMPL + PASSAGE W XV A SAISIR DANS AX\01-12-2018\*CL PASS*.pdf")</f>
        <v>0</v>
      </c>
      <c r="J2" s="29">
        <f ca="1">GetFileList("P:\TP et Raccodement\FICHES CREES RACCORDEMENT\2 - SAV + COMPL + PASSAGE W XV A SAISIR DANS AX\01-12-2018\*SAV*.pdf")</f>
        <v>0</v>
      </c>
      <c r="K2" s="30">
        <f ca="1">GetFileList("P:\TP et Raccodement\FICHES CREES RACCORDEMENT\2 - SAV + COMPL + PASSAGE W XV A SAISIR DANS AX\01-12-2018\*COMPLEMENT*.pdf")</f>
        <v>0</v>
      </c>
      <c r="L2" s="31">
        <f ca="1">GetFileList("P:\TP et Raccodement\FICHES CREES RACCORDEMENT\2 - SAV + COMPL + PASSAGE W XV A SAISIR DANS AX\01-12-2018\*REPRISE*.pdf")</f>
        <v>0</v>
      </c>
      <c r="M2" s="32">
        <f ca="1">GetFileList("P:\TP et Raccodement\FICHES CREES RACCORDEMENT\2 - SAV + COMPL + PASSAGE W XV A SAISIR DANS AX\01-12-2018\*REMONTAGE*.pdf")</f>
        <v>0</v>
      </c>
      <c r="N2" s="33"/>
      <c r="O2" s="34">
        <f ca="1">B2+F2+J2+K2+L2+M2</f>
        <v>0</v>
      </c>
    </row>
    <row r="3" spans="1:15" ht="16.5" x14ac:dyDescent="0.3">
      <c r="A3" s="2">
        <v>43436</v>
      </c>
      <c r="B3" s="55">
        <f t="shared" ref="B3:B32" ca="1" si="0">C3+D3+E3</f>
        <v>0</v>
      </c>
      <c r="C3" s="27">
        <f ca="1">GetFileList("P:\TP et Raccodement\FICHES CREES RACCORDEMENT\1 - RACCOS A SAISIR DANS AX\02-12-2018\*LM RACCO*.pdf")</f>
        <v>0</v>
      </c>
      <c r="D3" s="27">
        <f ca="1">GetFileList("P:\TP et Raccodement\FICHES CREES RACCORDEMENT\1 - RACCOS A SAISIR DANS AX\02-12-2018\*LR RACCO*.pdf")</f>
        <v>0</v>
      </c>
      <c r="E3" s="27">
        <f ca="1">GetFileList("P:\TP et Raccodement\FICHES CREES RACCORDEMENT\1 - RACCOS A SAISIR DANS AX\02-12-2018\*CL RACCO*.pdf")</f>
        <v>0</v>
      </c>
      <c r="F3" s="13">
        <f t="shared" ref="F3:F32" ca="1" si="1">G3+H3+I3</f>
        <v>0</v>
      </c>
      <c r="G3" s="27">
        <f ca="1">GetFileList("P:\TP et Raccodement\FICHES CREES RACCORDEMENT\2 - SAV + COMPL + PASSAGE W XV A SAISIR DANS AX\02-12-2018\*LM PASS*.pdf")</f>
        <v>0</v>
      </c>
      <c r="H3" s="27">
        <f ca="1">GetFileList("P:\TP et Raccodement\FICHES CREES RACCORDEMENT\2 - SAV + COMPL + PASSAGE W XV A SAISIR DANS AX\02-12-2018\*LR PASS*.pdf")</f>
        <v>0</v>
      </c>
      <c r="I3" s="27">
        <f ca="1">GetFileList("P:\TP et Raccodement\FICHES CREES RACCORDEMENT\2 - SAV + COMPL + PASSAGE W XV A SAISIR DANS AX\02-12-2018\*CL PASS*.pdf")</f>
        <v>0</v>
      </c>
      <c r="J3" s="29">
        <f ca="1">GetFileList("P:\TP et Raccodement\FICHES CREES RACCORDEMENT\2 - SAV + COMPL + PASSAGE W XV A SAISIR DANS AX\02-12-2018\*SAV*.pdf")</f>
        <v>0</v>
      </c>
      <c r="K3" s="30">
        <f ca="1">GetFileList("P:\TP et Raccodement\FICHES CREES RACCORDEMENT\2 - SAV + COMPL + PASSAGE W XV A SAISIR DANS AX\02-12-2018\*COMPLEMENT*.pdf")</f>
        <v>0</v>
      </c>
      <c r="L3" s="31">
        <f ca="1">GetFileList("P:\TP et Raccodement\FICHES CREES RACCORDEMENT\2 - SAV + COMPL + PASSAGE W XV A SAISIR DANS AX\02-12-2018\*REPRISE*.pdf")</f>
        <v>0</v>
      </c>
      <c r="M3" s="32">
        <f ca="1">GetFileList("P:\TP et Raccodement\FICHES CREES RACCORDEMENT\2 - SAV + COMPL + PASSAGE W XV A SAISIR DANS AX\02-12-2018\*REMONTAGE*.pdf")</f>
        <v>0</v>
      </c>
      <c r="N3" s="33"/>
      <c r="O3" s="34">
        <f t="shared" ref="O3:O32" ca="1" si="2">B3+F3+J3+K3+L3+M3</f>
        <v>0</v>
      </c>
    </row>
    <row r="4" spans="1:15" ht="16.5" x14ac:dyDescent="0.3">
      <c r="A4" s="2">
        <v>43437</v>
      </c>
      <c r="B4" s="55">
        <f t="shared" ca="1" si="0"/>
        <v>0</v>
      </c>
      <c r="C4" s="27">
        <f ca="1">GetFileList("P:\TP et Raccodement\FICHES CREES RACCORDEMENT\1 - RACCOS A SAISIR DANS AX\03-12-2018\*LM RACCO*.pdf")</f>
        <v>0</v>
      </c>
      <c r="D4" s="27">
        <f ca="1">GetFileList("P:\TP et Raccodement\FICHES CREES RACCORDEMENT\1 - RACCOS A SAISIR DANS AX\03-12-2018\*LR RACCO*.pdf")</f>
        <v>0</v>
      </c>
      <c r="E4" s="27">
        <f ca="1">GetFileList("P:\TP et Raccodement\FICHES CREES RACCORDEMENT\1 - RACCOS A SAISIR DANS AX\03-12-2018\*CL RACCO*.pdf")</f>
        <v>0</v>
      </c>
      <c r="F4" s="13">
        <f t="shared" ca="1" si="1"/>
        <v>0</v>
      </c>
      <c r="G4" s="27">
        <f ca="1">GetFileList("P:\TP et Raccodement\FICHES CREES RACCORDEMENT\2 - SAV + COMPL + PASSAGE W XV A SAISIR DANS AX\03-12-2018\*LM PASS*.pdf")</f>
        <v>0</v>
      </c>
      <c r="H4" s="27">
        <f ca="1">GetFileList("P:\TP et Raccodement\FICHES CREES RACCORDEMENT\2 - SAV + COMPL + PASSAGE W XV A SAISIR DANS AX\03-12-2018\*LR PASS*.pdf")</f>
        <v>0</v>
      </c>
      <c r="I4" s="27">
        <f ca="1">GetFileList("P:\TP et Raccodement\FICHES CREES RACCORDEMENT\2 - SAV + COMPL + PASSAGE W XV A SAISIR DANS AX\03-12-2018\*CL PASS*.pdf")</f>
        <v>0</v>
      </c>
      <c r="J4" s="29">
        <f ca="1">GetFileList("P:\TP et Raccodement\FICHES CREES RACCORDEMENT\2 - SAV + COMPL + PASSAGE W XV A SAISIR DANS AX\03-12-2018\*SAV*.pdf")</f>
        <v>0</v>
      </c>
      <c r="K4" s="30">
        <f ca="1">GetFileList("P:\TP et Raccodement\FICHES CREES RACCORDEMENT\2 - SAV + COMPL + PASSAGE W XV A SAISIR DANS AX\03-12-2018\*COMPLEMENT*.pdf")</f>
        <v>0</v>
      </c>
      <c r="L4" s="31">
        <f ca="1">GetFileList("P:\TP et Raccodement\FICHES CREES RACCORDEMENT\2 - SAV + COMPL + PASSAGE W XV A SAISIR DANS AX\03-12-2018\*REPRISE*.pdf")</f>
        <v>0</v>
      </c>
      <c r="M4" s="32">
        <f ca="1">GetFileList("P:\TP et Raccodement\FICHES CREES RACCORDEMENT\2 - SAV + COMPL + PASSAGE W XV A SAISIR DANS AX\03-12-2018\*REMONTAGE*.pdf")</f>
        <v>0</v>
      </c>
      <c r="N4" s="33"/>
      <c r="O4" s="34">
        <f t="shared" ca="1" si="2"/>
        <v>0</v>
      </c>
    </row>
    <row r="5" spans="1:15" ht="16.5" x14ac:dyDescent="0.3">
      <c r="A5" s="2">
        <v>43438</v>
      </c>
      <c r="B5" s="55">
        <f t="shared" ca="1" si="0"/>
        <v>0</v>
      </c>
      <c r="C5" s="27">
        <f ca="1">GetFileList("P:\TP et Raccodement\FICHES CREES RACCORDEMENT\1 - RACCOS A SAISIR DANS AX\04-12-2018\*LM RACCO*.pdf")</f>
        <v>0</v>
      </c>
      <c r="D5" s="27">
        <f ca="1">GetFileList("P:\TP et Raccodement\FICHES CREES RACCORDEMENT\1 - RACCOS A SAISIR DANS AX\04-12-2018\*LR RACCO*.pdf")</f>
        <v>0</v>
      </c>
      <c r="E5" s="27">
        <f ca="1">GetFileList("P:\TP et Raccodement\FICHES CREES RACCORDEMENT\1 - RACCOS A SAISIR DANS AX\04-12-2018\*CL RACCO*.pdf")</f>
        <v>0</v>
      </c>
      <c r="F5" s="13">
        <f t="shared" ca="1" si="1"/>
        <v>0</v>
      </c>
      <c r="G5" s="27">
        <f ca="1">GetFileList("P:\TP et Raccodement\FICHES CREES RACCORDEMENT\2 - SAV + COMPL + PASSAGE W XV A SAISIR DANS AX\04-12-2018\*LM PASS*.pdf")</f>
        <v>0</v>
      </c>
      <c r="H5" s="27">
        <f ca="1">GetFileList("P:\TP et Raccodement\FICHES CREES RACCORDEMENT\2 - SAV + COMPL + PASSAGE W XV A SAISIR DANS AX\04-12-2018\*LR PASS*.pdf")</f>
        <v>0</v>
      </c>
      <c r="I5" s="27">
        <f ca="1">GetFileList("P:\TP et Raccodement\FICHES CREES RACCORDEMENT\2 - SAV + COMPL + PASSAGE W XV A SAISIR DANS AX\04-12-2018\*CL PASS*.pdf")</f>
        <v>0</v>
      </c>
      <c r="J5" s="29">
        <f ca="1">GetFileList("P:\TP et Raccodement\FICHES CREES RACCORDEMENT\2 - SAV + COMPL + PASSAGE W XV A SAISIR DANS AX\04-12-2018\*SAV*.pdf")</f>
        <v>0</v>
      </c>
      <c r="K5" s="30">
        <f ca="1">GetFileList("P:\TP et Raccodement\FICHES CREES RACCORDEMENT\2 - SAV + COMPL + PASSAGE W XV A SAISIR DANS AX\04-12-2018\*COMPLEMENT*.pdf")</f>
        <v>0</v>
      </c>
      <c r="L5" s="31">
        <f ca="1">GetFileList("P:\TP et Raccodement\FICHES CREES RACCORDEMENT\2 - SAV + COMPL + PASSAGE W XV A SAISIR DANS AX\04-12-2018\*REPRISE*.pdf")</f>
        <v>0</v>
      </c>
      <c r="M5" s="32">
        <f ca="1">GetFileList("P:\TP et Raccodement\FICHES CREES RACCORDEMENT\2 - SAV + COMPL + PASSAGE W XV A SAISIR DANS AX\04-12-2018\*REMONTAGE*.pdf")</f>
        <v>0</v>
      </c>
      <c r="N5" s="33"/>
      <c r="O5" s="34">
        <f t="shared" ca="1" si="2"/>
        <v>0</v>
      </c>
    </row>
    <row r="6" spans="1:15" ht="16.5" x14ac:dyDescent="0.3">
      <c r="A6" s="2">
        <v>43439</v>
      </c>
      <c r="B6" s="55">
        <f t="shared" ca="1" si="0"/>
        <v>0</v>
      </c>
      <c r="C6" s="27">
        <f ca="1">GetFileList("P:\TP et Raccodement\FICHES CREES RACCORDEMENT\1 - RACCOS A SAISIR DANS AX\05-12-2018\*LM RACCO*.pdf")</f>
        <v>0</v>
      </c>
      <c r="D6" s="27">
        <f ca="1">GetFileList("P:\TP et Raccodement\FICHES CREES RACCORDEMENT\1 - RACCOS A SAISIR DANS AX\05-12-2018\*LR RACCO*.pdf")</f>
        <v>0</v>
      </c>
      <c r="E6" s="27">
        <f ca="1">GetFileList("P:\TP et Raccodement\FICHES CREES RACCORDEMENT\1 - RACCOS A SAISIR DANS AX\05-12-2018\*CL RACCO*.pdf")</f>
        <v>0</v>
      </c>
      <c r="F6" s="13">
        <f t="shared" ca="1" si="1"/>
        <v>0</v>
      </c>
      <c r="G6" s="27">
        <f ca="1">GetFileList("P:\TP et Raccodement\FICHES CREES RACCORDEMENT\2 - SAV + COMPL + PASSAGE W XV A SAISIR DANS AX\05-12-2018\*LM PASS*.pdf")</f>
        <v>0</v>
      </c>
      <c r="H6" s="27">
        <f ca="1">GetFileList("P:\TP et Raccodement\FICHES CREES RACCORDEMENT\2 - SAV + COMPL + PASSAGE W XV A SAISIR DANS AX\05-12-2018\*LR PASS*.pdf")</f>
        <v>0</v>
      </c>
      <c r="I6" s="27">
        <f ca="1">GetFileList("P:\TP et Raccodement\FICHES CREES RACCORDEMENT\2 - SAV + COMPL + PASSAGE W XV A SAISIR DANS AX\05-12-2018\*CL PASS*.pdf")</f>
        <v>0</v>
      </c>
      <c r="J6" s="29">
        <f ca="1">GetFileList("P:\TP et Raccodement\FICHES CREES RACCORDEMENT\2 - SAV + COMPL + PASSAGE W XV A SAISIR DANS AX\05-12-2018\*SAV*.pdf")</f>
        <v>0</v>
      </c>
      <c r="K6" s="30">
        <f ca="1">GetFileList("P:\TP et Raccodement\FICHES CREES RACCORDEMENT\2 - SAV + COMPL + PASSAGE W XV A SAISIR DANS AX\05-12-2018\*COMPLEMENT*.pdf")</f>
        <v>0</v>
      </c>
      <c r="L6" s="31">
        <f ca="1">GetFileList("P:\TP et Raccodement\FICHES CREES RACCORDEMENT\2 - SAV + COMPL + PASSAGE W XV A SAISIR DANS AX\05-12-2018\*REPRISE*.pdf")</f>
        <v>0</v>
      </c>
      <c r="M6" s="32">
        <f ca="1">GetFileList("P:\TP et Raccodement\FICHES CREES RACCORDEMENT\2 - SAV + COMPL + PASSAGE W XV A SAISIR DANS AX\05-12-2018\*REMONTAGE*.pdf")</f>
        <v>0</v>
      </c>
      <c r="N6" s="33"/>
      <c r="O6" s="34">
        <f t="shared" ca="1" si="2"/>
        <v>0</v>
      </c>
    </row>
    <row r="7" spans="1:15" ht="16.5" x14ac:dyDescent="0.3">
      <c r="A7" s="2">
        <v>43440</v>
      </c>
      <c r="B7" s="55">
        <f t="shared" ca="1" si="0"/>
        <v>0</v>
      </c>
      <c r="C7" s="27">
        <f ca="1">GetFileList("P:\TP et Raccodement\FICHES CREES RACCORDEMENT\1 - RACCOS A SAISIR DANS AX\06-12-2018\*LM RACCO*.pdf")</f>
        <v>0</v>
      </c>
      <c r="D7" s="27">
        <f ca="1">GetFileList("P:\TP et Raccodement\FICHES CREES RACCORDEMENT\1 - RACCOS A SAISIR DANS AX\06-12-2018\*LR RACCO*.pdf")</f>
        <v>0</v>
      </c>
      <c r="E7" s="27">
        <f ca="1">GetFileList("P:\TP et Raccodement\FICHES CREES RACCORDEMENT\1 - RACCOS A SAISIR DANS AX\06-12-2018\*CL RACCO*.pdf")</f>
        <v>0</v>
      </c>
      <c r="F7" s="13">
        <f t="shared" ca="1" si="1"/>
        <v>0</v>
      </c>
      <c r="G7" s="27">
        <f ca="1">GetFileList("P:\TP et Raccodement\FICHES CREES RACCORDEMENT\2 - SAV + COMPL + PASSAGE W XV A SAISIR DANS AX\06-12-2018\*LM PASS*.pdf")</f>
        <v>0</v>
      </c>
      <c r="H7" s="27">
        <f ca="1">GetFileList("P:\TP et Raccodement\FICHES CREES RACCORDEMENT\2 - SAV + COMPL + PASSAGE W XV A SAISIR DANS AX\06-12-2018\*LR PASS*.pdf")</f>
        <v>0</v>
      </c>
      <c r="I7" s="27">
        <f ca="1">GetFileList("P:\TP et Raccodement\FICHES CREES RACCORDEMENT\2 - SAV + COMPL + PASSAGE W XV A SAISIR DANS AX\06-12-2018\*CL PASS*.pdf")</f>
        <v>0</v>
      </c>
      <c r="J7" s="29">
        <f ca="1">GetFileList("P:\TP et Raccodement\FICHES CREES RACCORDEMENT\2 - SAV + COMPL + PASSAGE W XV A SAISIR DANS AX\06-12-2018\*SAV*.pdf")</f>
        <v>0</v>
      </c>
      <c r="K7" s="30">
        <f ca="1">GetFileList("P:\TP et Raccodement\FICHES CREES RACCORDEMENT\2 - SAV + COMPL + PASSAGE W XV A SAISIR DANS AX\06-12-2018\*COMPLEMENT*.pdf")</f>
        <v>0</v>
      </c>
      <c r="L7" s="31">
        <f ca="1">GetFileList("P:\TP et Raccodement\FICHES CREES RACCORDEMENT\2 - SAV + COMPL + PASSAGE W XV A SAISIR DANS AX\06-12-2018\*REPRISE*.pdf")</f>
        <v>0</v>
      </c>
      <c r="M7" s="32">
        <f ca="1">GetFileList("P:\TP et Raccodement\FICHES CREES RACCORDEMENT\2 - SAV + COMPL + PASSAGE W XV A SAISIR DANS AX\06-12-2018\*REMONTAGE*.pdf")</f>
        <v>0</v>
      </c>
      <c r="N7" s="33"/>
      <c r="O7" s="34">
        <f t="shared" ca="1" si="2"/>
        <v>0</v>
      </c>
    </row>
    <row r="8" spans="1:15" ht="16.5" x14ac:dyDescent="0.3">
      <c r="A8" s="2">
        <v>43441</v>
      </c>
      <c r="B8" s="55">
        <f t="shared" ca="1" si="0"/>
        <v>0</v>
      </c>
      <c r="C8" s="27">
        <f ca="1">GetFileList("P:\TP et Raccodement\FICHES CREES RACCORDEMENT\1 - RACCOS A SAISIR DANS AX\07-12-2018\*LM RACCO*.pdf")</f>
        <v>0</v>
      </c>
      <c r="D8" s="27">
        <f ca="1">GetFileList("P:\TP et Raccodement\FICHES CREES RACCORDEMENT\1 - RACCOS A SAISIR DANS AX\07-12-2018\*LR RACCO*.pdf")</f>
        <v>0</v>
      </c>
      <c r="E8" s="27">
        <f ca="1">GetFileList("P:\TP et Raccodement\FICHES CREES RACCORDEMENT\1 - RACCOS A SAISIR DANS AX\07-12-2018\*CL RACCO*.pdf")</f>
        <v>0</v>
      </c>
      <c r="F8" s="13">
        <f t="shared" ca="1" si="1"/>
        <v>0</v>
      </c>
      <c r="G8" s="27">
        <f ca="1">GetFileList("P:\TP et Raccodement\FICHES CREES RACCORDEMENT\2 - SAV + COMPL + PASSAGE W XV A SAISIR DANS AX\07-12-2018\*LM PASS*.pdf")</f>
        <v>0</v>
      </c>
      <c r="H8" s="27">
        <f ca="1">GetFileList("P:\TP et Raccodement\FICHES CREES RACCORDEMENT\2 - SAV + COMPL + PASSAGE W XV A SAISIR DANS AX\07-12-2018\*LR PASS*.pdf")</f>
        <v>0</v>
      </c>
      <c r="I8" s="27">
        <f ca="1">GetFileList("P:\TP et Raccodement\FICHES CREES RACCORDEMENT\2 - SAV + COMPL + PASSAGE W XV A SAISIR DANS AX\07-12-2018\*CL PASS*.pdf")</f>
        <v>0</v>
      </c>
      <c r="J8" s="29">
        <f ca="1">GetFileList("P:\TP et Raccodement\FICHES CREES RACCORDEMENT\2 - SAV + COMPL + PASSAGE W XV A SAISIR DANS AX\07-12-2018\*SAV*.pdf")</f>
        <v>0</v>
      </c>
      <c r="K8" s="30">
        <f ca="1">GetFileList("P:\TP et Raccodement\FICHES CREES RACCORDEMENT\2 - SAV + COMPL + PASSAGE W XV A SAISIR DANS AX\07-12-2018\*COMPLEMENT*.pdf")</f>
        <v>0</v>
      </c>
      <c r="L8" s="31">
        <f ca="1">GetFileList("P:\TP et Raccodement\FICHES CREES RACCORDEMENT\2 - SAV + COMPL + PASSAGE W XV A SAISIR DANS AX\07-12-2018\*REPRISE*.pdf")</f>
        <v>0</v>
      </c>
      <c r="M8" s="32">
        <f ca="1">GetFileList("P:\TP et Raccodement\FICHES CREES RACCORDEMENT\2 - SAV + COMPL + PASSAGE W XV A SAISIR DANS AX\07-12-2018\*REMONTAGE*.pdf")</f>
        <v>0</v>
      </c>
      <c r="N8" s="33"/>
      <c r="O8" s="34">
        <f t="shared" ca="1" si="2"/>
        <v>0</v>
      </c>
    </row>
    <row r="9" spans="1:15" ht="16.5" x14ac:dyDescent="0.3">
      <c r="A9" s="2">
        <v>43442</v>
      </c>
      <c r="B9" s="55">
        <f t="shared" ca="1" si="0"/>
        <v>0</v>
      </c>
      <c r="C9" s="27">
        <f ca="1">GetFileList("P:\TP et Raccodement\FICHES CREES RACCORDEMENT\1 - RACCOS A SAISIR DANS AX\08-12-2018\*LM RACCO*.pdf")</f>
        <v>0</v>
      </c>
      <c r="D9" s="27">
        <f ca="1">GetFileList("P:\TP et Raccodement\FICHES CREES RACCORDEMENT\1 - RACCOS A SAISIR DANS AX\08-12-2018\*LR RACCO*.pdf")</f>
        <v>0</v>
      </c>
      <c r="E9" s="27">
        <f ca="1">GetFileList("P:\TP et Raccodement\FICHES CREES RACCORDEMENT\1 - RACCOS A SAISIR DANS AX\08-12-2018\*CL RACCO*.pdf")</f>
        <v>0</v>
      </c>
      <c r="F9" s="13">
        <f t="shared" ca="1" si="1"/>
        <v>0</v>
      </c>
      <c r="G9" s="27">
        <f ca="1">GetFileList("P:\TP et Raccodement\FICHES CREES RACCORDEMENT\2 - SAV + COMPL + PASSAGE W XV A SAISIR DANS AX\08-12-2018\*LM PASS*.pdf")</f>
        <v>0</v>
      </c>
      <c r="H9" s="27">
        <f ca="1">GetFileList("P:\TP et Raccodement\FICHES CREES RACCORDEMENT\2 - SAV + COMPL + PASSAGE W XV A SAISIR DANS AX\08-12-2018\*LR PASS*.pdf")</f>
        <v>0</v>
      </c>
      <c r="I9" s="27">
        <f ca="1">GetFileList("P:\TP et Raccodement\FICHES CREES RACCORDEMENT\2 - SAV + COMPL + PASSAGE W XV A SAISIR DANS AX\08-12-2018\*CL PASS*.pdf")</f>
        <v>0</v>
      </c>
      <c r="J9" s="29">
        <f ca="1">GetFileList("P:\TP et Raccodement\FICHES CREES RACCORDEMENT\2 - SAV + COMPL + PASSAGE W XV A SAISIR DANS AX\08-12-2018\*SAV*.pdf")</f>
        <v>0</v>
      </c>
      <c r="K9" s="30">
        <f ca="1">GetFileList("P:\TP et Raccodement\FICHES CREES RACCORDEMENT\2 - SAV + COMPL + PASSAGE W XV A SAISIR DANS AX\08-12-2018\*COMPLEMENT*.pdf")</f>
        <v>0</v>
      </c>
      <c r="L9" s="31">
        <f ca="1">GetFileList("P:\TP et Raccodement\FICHES CREES RACCORDEMENT\2 - SAV + COMPL + PASSAGE W XV A SAISIR DANS AX\08-12-2018\*REPRISE*.pdf")</f>
        <v>0</v>
      </c>
      <c r="M9" s="32">
        <f ca="1">GetFileList("P:\TP et Raccodement\FICHES CREES RACCORDEMENT\2 - SAV + COMPL + PASSAGE W XV A SAISIR DANS AX\08-12-2018\*REMONTAGE*.pdf")</f>
        <v>0</v>
      </c>
      <c r="N9" s="33"/>
      <c r="O9" s="34">
        <f t="shared" ca="1" si="2"/>
        <v>0</v>
      </c>
    </row>
    <row r="10" spans="1:15" ht="16.5" x14ac:dyDescent="0.3">
      <c r="A10" s="2">
        <v>43443</v>
      </c>
      <c r="B10" s="55">
        <f t="shared" ca="1" si="0"/>
        <v>0</v>
      </c>
      <c r="C10" s="27">
        <f ca="1">GetFileList("P:\TP et Raccodement\FICHES CREES RACCORDEMENT\1 - RACCOS A SAISIR DANS AX\09-12-2018\*LM RACCO*.pdf")</f>
        <v>0</v>
      </c>
      <c r="D10" s="27">
        <f ca="1">GetFileList("P:\TP et Raccodement\FICHES CREES RACCORDEMENT\1 - RACCOS A SAISIR DANS AX\09-12-2018\*LR RACCO*.pdf")</f>
        <v>0</v>
      </c>
      <c r="E10" s="27">
        <f ca="1">GetFileList("P:\TP et Raccodement\FICHES CREES RACCORDEMENT\1 - RACCOS A SAISIR DANS AX\09-12-2018\*CL RACCO*.pdf")</f>
        <v>0</v>
      </c>
      <c r="F10" s="13">
        <f t="shared" ca="1" si="1"/>
        <v>0</v>
      </c>
      <c r="G10" s="27">
        <f ca="1">GetFileList("P:\TP et Raccodement\FICHES CREES RACCORDEMENT\2 - SAV + COMPL + PASSAGE W XV A SAISIR DANS AX\09-12-2018\*LM PASS*.pdf")</f>
        <v>0</v>
      </c>
      <c r="H10" s="27">
        <f ca="1">GetFileList("P:\TP et Raccodement\FICHES CREES RACCORDEMENT\2 - SAV + COMPL + PASSAGE W XV A SAISIR DANS AX\09-12-2018\*LR PASS*.pdf")</f>
        <v>0</v>
      </c>
      <c r="I10" s="27">
        <f ca="1">GetFileList("P:\TP et Raccodement\FICHES CREES RACCORDEMENT\2 - SAV + COMPL + PASSAGE W XV A SAISIR DANS AX\09-12-2018\*CL PASS*.pdf")</f>
        <v>0</v>
      </c>
      <c r="J10" s="29">
        <f ca="1">GetFileList("P:\TP et Raccodement\FICHES CREES RACCORDEMENT\2 - SAV + COMPL + PASSAGE W XV A SAISIR DANS AX\09-12-2018\*SAV*.pdf")</f>
        <v>0</v>
      </c>
      <c r="K10" s="30">
        <f ca="1">GetFileList("P:\TP et Raccodement\FICHES CREES RACCORDEMENT\2 - SAV + COMPL + PASSAGE W XV A SAISIR DANS AX\09-12-2018\*COMPLEMENT*.pdf")</f>
        <v>0</v>
      </c>
      <c r="L10" s="31">
        <f ca="1">GetFileList("P:\TP et Raccodement\FICHES CREES RACCORDEMENT\2 - SAV + COMPL + PASSAGE W XV A SAISIR DANS AX\09-12-2018\*REPRISE*.pdf")</f>
        <v>0</v>
      </c>
      <c r="M10" s="32">
        <f ca="1">GetFileList("P:\TP et Raccodement\FICHES CREES RACCORDEMENT\2 - SAV + COMPL + PASSAGE W XV A SAISIR DANS AX\09-12-2018\*REMONTAGE*.pdf")</f>
        <v>0</v>
      </c>
      <c r="N10" s="33"/>
      <c r="O10" s="34">
        <f t="shared" ca="1" si="2"/>
        <v>0</v>
      </c>
    </row>
    <row r="11" spans="1:15" ht="16.5" x14ac:dyDescent="0.3">
      <c r="A11" s="2">
        <v>43444</v>
      </c>
      <c r="B11" s="55">
        <f t="shared" ca="1" si="0"/>
        <v>0</v>
      </c>
      <c r="C11" s="27">
        <f ca="1">GetFileList("P:\TP et Raccodement\FICHES CREES RACCORDEMENT\1 - RACCOS A SAISIR DANS AX\10-12-2018\*LM RACCO*.pdf")</f>
        <v>0</v>
      </c>
      <c r="D11" s="27">
        <f ca="1">GetFileList("P:\TP et Raccodement\FICHES CREES RACCORDEMENT\1 - RACCOS A SAISIR DANS AX\10-12-2018\*LR RACCO*.pdf")</f>
        <v>0</v>
      </c>
      <c r="E11" s="27">
        <f ca="1">GetFileList("P:\TP et Raccodement\FICHES CREES RACCORDEMENT\1 - RACCOS A SAISIR DANS AX\10-12-2018\*CL RACCO*.pdf")</f>
        <v>0</v>
      </c>
      <c r="F11" s="13">
        <f t="shared" ca="1" si="1"/>
        <v>0</v>
      </c>
      <c r="G11" s="27">
        <f ca="1">GetFileList("P:\TP et Raccodement\FICHES CREES RACCORDEMENT\2 - SAV + COMPL + PASSAGE W XV A SAISIR DANS AX\10-12-2018\*LM PASS*.pdf")</f>
        <v>0</v>
      </c>
      <c r="H11" s="27">
        <f ca="1">GetFileList("P:\TP et Raccodement\FICHES CREES RACCORDEMENT\2 - SAV + COMPL + PASSAGE W XV A SAISIR DANS AX\10-12-2018\*LR PASS*.pdf")</f>
        <v>0</v>
      </c>
      <c r="I11" s="27">
        <f ca="1">GetFileList("P:\TP et Raccodement\FICHES CREES RACCORDEMENT\2 - SAV + COMPL + PASSAGE W XV A SAISIR DANS AX\10-12-2018\*CL PASS*.pdf")</f>
        <v>0</v>
      </c>
      <c r="J11" s="29">
        <f ca="1">GetFileList("P:\TP et Raccodement\FICHES CREES RACCORDEMENT\2 - SAV + COMPL + PASSAGE W XV A SAISIR DANS AX\10-12-2018\*SAV*.pdf")</f>
        <v>0</v>
      </c>
      <c r="K11" s="30">
        <f ca="1">GetFileList("P:\TP et Raccodement\FICHES CREES RACCORDEMENT\2 - SAV + COMPL + PASSAGE W XV A SAISIR DANS AX\10-12-2018\*COMPLEMENT*.pdf")</f>
        <v>0</v>
      </c>
      <c r="L11" s="31">
        <f ca="1">GetFileList("P:\TP et Raccodement\FICHES CREES RACCORDEMENT\2 - SAV + COMPL + PASSAGE W XV A SAISIR DANS AX\10-12-2018\*REPRISE*.pdf")</f>
        <v>0</v>
      </c>
      <c r="M11" s="32">
        <f ca="1">GetFileList("P:\TP et Raccodement\FICHES CREES RACCORDEMENT\2 - SAV + COMPL + PASSAGE W XV A SAISIR DANS AX\10-12-2018\*REMONTAGE*.pdf")</f>
        <v>0</v>
      </c>
      <c r="N11" s="33"/>
      <c r="O11" s="34">
        <f t="shared" ca="1" si="2"/>
        <v>0</v>
      </c>
    </row>
    <row r="12" spans="1:15" ht="16.5" x14ac:dyDescent="0.3">
      <c r="A12" s="2">
        <v>43445</v>
      </c>
      <c r="B12" s="55">
        <f t="shared" ca="1" si="0"/>
        <v>0</v>
      </c>
      <c r="C12" s="27">
        <f ca="1">GetFileList("P:\TP et Raccodement\FICHES CREES RACCORDEMENT\1 - RACCOS A SAISIR DANS AX\11-12-2018\*LM RACCO*.pdf")</f>
        <v>0</v>
      </c>
      <c r="D12" s="27">
        <f ca="1">GetFileList("P:\TP et Raccodement\FICHES CREES RACCORDEMENT\1 - RACCOS A SAISIR DANS AX\11-12-2018\*LR RACCO*.pdf")</f>
        <v>0</v>
      </c>
      <c r="E12" s="27">
        <f ca="1">GetFileList("P:\TP et Raccodement\FICHES CREES RACCORDEMENT\1 - RACCOS A SAISIR DANS AX\11-12-2018\*CL RACCO*.pdf")</f>
        <v>0</v>
      </c>
      <c r="F12" s="13">
        <f t="shared" ca="1" si="1"/>
        <v>0</v>
      </c>
      <c r="G12" s="27">
        <f ca="1">GetFileList("P:\TP et Raccodement\FICHES CREES RACCORDEMENT\2 - SAV + COMPL + PASSAGE W XV A SAISIR DANS AX\11-12-2018\*LM PASS*.pdf")</f>
        <v>0</v>
      </c>
      <c r="H12" s="27">
        <f ca="1">GetFileList("P:\TP et Raccodement\FICHES CREES RACCORDEMENT\2 - SAV + COMPL + PASSAGE W XV A SAISIR DANS AX\11-12-2018\*LR PASS*.pdf")</f>
        <v>0</v>
      </c>
      <c r="I12" s="27">
        <f ca="1">GetFileList("P:\TP et Raccodement\FICHES CREES RACCORDEMENT\2 - SAV + COMPL + PASSAGE W XV A SAISIR DANS AX\11-12-2018\*CL PASS*.pdf")</f>
        <v>0</v>
      </c>
      <c r="J12" s="29">
        <f ca="1">GetFileList("P:\TP et Raccodement\FICHES CREES RACCORDEMENT\2 - SAV + COMPL + PASSAGE W XV A SAISIR DANS AX\11-12-2018\*SAV*.pdf")</f>
        <v>0</v>
      </c>
      <c r="K12" s="30">
        <f ca="1">GetFileList("P:\TP et Raccodement\FICHES CREES RACCORDEMENT\2 - SAV + COMPL + PASSAGE W XV A SAISIR DANS AX\11-12-2018\*COMPLEMENT*.pdf")</f>
        <v>0</v>
      </c>
      <c r="L12" s="31">
        <f ca="1">GetFileList("P:\TP et Raccodement\FICHES CREES RACCORDEMENT\2 - SAV + COMPL + PASSAGE W XV A SAISIR DANS AX\11-12-2018\*REPRISE*.pdf")</f>
        <v>0</v>
      </c>
      <c r="M12" s="32">
        <f ca="1">GetFileList("P:\TP et Raccodement\FICHES CREES RACCORDEMENT\2 - SAV + COMPL + PASSAGE W XV A SAISIR DANS AX\11-12-2018\*REMONTAGE*.pdf")</f>
        <v>0</v>
      </c>
      <c r="N12" s="33"/>
      <c r="O12" s="34">
        <f t="shared" ca="1" si="2"/>
        <v>0</v>
      </c>
    </row>
    <row r="13" spans="1:15" ht="16.5" x14ac:dyDescent="0.3">
      <c r="A13" s="2">
        <v>43446</v>
      </c>
      <c r="B13" s="55">
        <f t="shared" ca="1" si="0"/>
        <v>0</v>
      </c>
      <c r="C13" s="27">
        <f ca="1">GetFileList("P:\TP et Raccodement\FICHES CREES RACCORDEMENT\1 - RACCOS A SAISIR DANS AX\12-12-2018\*LM RACCO*.pdf")</f>
        <v>0</v>
      </c>
      <c r="D13" s="27">
        <f ca="1">GetFileList("P:\TP et Raccodement\FICHES CREES RACCORDEMENT\1 - RACCOS A SAISIR DANS AX\12-12-2018\*LR RACCO*.pdf")</f>
        <v>0</v>
      </c>
      <c r="E13" s="27">
        <f ca="1">GetFileList("P:\TP et Raccodement\FICHES CREES RACCORDEMENT\1 - RACCOS A SAISIR DANS AX\12-12-2018\*CL RACCO*.pdf")</f>
        <v>0</v>
      </c>
      <c r="F13" s="13">
        <f t="shared" ca="1" si="1"/>
        <v>0</v>
      </c>
      <c r="G13" s="27">
        <f ca="1">GetFileList("P:\TP et Raccodement\FICHES CREES RACCORDEMENT\2 - SAV + COMPL + PASSAGE W XV A SAISIR DANS AX\12-12-2018\*LM PASS*.pdf")</f>
        <v>0</v>
      </c>
      <c r="H13" s="27">
        <f ca="1">GetFileList("P:\TP et Raccodement\FICHES CREES RACCORDEMENT\2 - SAV + COMPL + PASSAGE W XV A SAISIR DANS AX\12-12-2018\*LR PASS*.pdf")</f>
        <v>0</v>
      </c>
      <c r="I13" s="27">
        <f ca="1">GetFileList("P:\TP et Raccodement\FICHES CREES RACCORDEMENT\2 - SAV + COMPL + PASSAGE W XV A SAISIR DANS AX\12-12-2018\*CL PASS*.pdf")</f>
        <v>0</v>
      </c>
      <c r="J13" s="29">
        <f ca="1">GetFileList("P:\TP et Raccodement\FICHES CREES RACCORDEMENT\2 - SAV + COMPL + PASSAGE W XV A SAISIR DANS AX\12-12-2018\*SAV*.pdf")</f>
        <v>0</v>
      </c>
      <c r="K13" s="30">
        <f ca="1">GetFileList("P:\TP et Raccodement\FICHES CREES RACCORDEMENT\2 - SAV + COMPL + PASSAGE W XV A SAISIR DANS AX\12-12-2018\*COMPLEMENT*.pdf")</f>
        <v>0</v>
      </c>
      <c r="L13" s="31">
        <f ca="1">GetFileList("P:\TP et Raccodement\FICHES CREES RACCORDEMENT\2 - SAV + COMPL + PASSAGE W XV A SAISIR DANS AX\12-12-2018\*REPRISE*.pdf")</f>
        <v>0</v>
      </c>
      <c r="M13" s="32">
        <f ca="1">GetFileList("P:\TP et Raccodement\FICHES CREES RACCORDEMENT\2 - SAV + COMPL + PASSAGE W XV A SAISIR DANS AX\12-12-2018\*REMONTAGE*.pdf")</f>
        <v>0</v>
      </c>
      <c r="N13" s="33"/>
      <c r="O13" s="34">
        <f t="shared" ca="1" si="2"/>
        <v>0</v>
      </c>
    </row>
    <row r="14" spans="1:15" ht="16.5" x14ac:dyDescent="0.3">
      <c r="A14" s="2">
        <v>43447</v>
      </c>
      <c r="B14" s="55">
        <f t="shared" ca="1" si="0"/>
        <v>0</v>
      </c>
      <c r="C14" s="27">
        <f ca="1">GetFileList("P:\TP et Raccodement\FICHES CREES RACCORDEMENT\1 - RACCOS A SAISIR DANS AX\13-12-2018\*LM RACCO*.pdf")</f>
        <v>0</v>
      </c>
      <c r="D14" s="27">
        <f ca="1">GetFileList("P:\TP et Raccodement\FICHES CREES RACCORDEMENT\1 - RACCOS A SAISIR DANS AX\13-12-2018\*LR RACCO*.pdf")</f>
        <v>0</v>
      </c>
      <c r="E14" s="27">
        <f ca="1">GetFileList("P:\TP et Raccodement\FICHES CREES RACCORDEMENT\1 - RACCOS A SAISIR DANS AX\13-12-2018\*CL RACCO*.pdf")</f>
        <v>0</v>
      </c>
      <c r="F14" s="13">
        <f t="shared" ca="1" si="1"/>
        <v>0</v>
      </c>
      <c r="G14" s="27">
        <f ca="1">GetFileList("P:\TP et Raccodement\FICHES CREES RACCORDEMENT\2 - SAV + COMPL + PASSAGE W XV A SAISIR DANS AX\13-12-2018\*LM PASS*.pdf")</f>
        <v>0</v>
      </c>
      <c r="H14" s="27">
        <f ca="1">GetFileList("P:\TP et Raccodement\FICHES CREES RACCORDEMENT\2 - SAV + COMPL + PASSAGE W XV A SAISIR DANS AX\13-12-2018\*LR PASS*.pdf")</f>
        <v>0</v>
      </c>
      <c r="I14" s="27">
        <f ca="1">GetFileList("P:\TP et Raccodement\FICHES CREES RACCORDEMENT\2 - SAV + COMPL + PASSAGE W XV A SAISIR DANS AX\13-12-2018\*CL PASS*.pdf")</f>
        <v>0</v>
      </c>
      <c r="J14" s="29">
        <f ca="1">GetFileList("P:\TP et Raccodement\FICHES CREES RACCORDEMENT\2 - SAV + COMPL + PASSAGE W XV A SAISIR DANS AX\13-12-2018\*SAV*.pdf")</f>
        <v>0</v>
      </c>
      <c r="K14" s="30">
        <f ca="1">GetFileList("P:\TP et Raccodement\FICHES CREES RACCORDEMENT\2 - SAV + COMPL + PASSAGE W XV A SAISIR DANS AX\13-12-2018\*COMPLEMENT*.pdf")</f>
        <v>0</v>
      </c>
      <c r="L14" s="31">
        <f ca="1">GetFileList("P:\TP et Raccodement\FICHES CREES RACCORDEMENT\2 - SAV + COMPL + PASSAGE W XV A SAISIR DANS AX\13-12-2018\*REPRISE*.pdf")</f>
        <v>0</v>
      </c>
      <c r="M14" s="32">
        <f ca="1">GetFileList("P:\TP et Raccodement\FICHES CREES RACCORDEMENT\2 - SAV + COMPL + PASSAGE W XV A SAISIR DANS AX\13-12-2018\*REMONTAGE*.pdf")</f>
        <v>0</v>
      </c>
      <c r="N14" s="33"/>
      <c r="O14" s="34">
        <f t="shared" ca="1" si="2"/>
        <v>0</v>
      </c>
    </row>
    <row r="15" spans="1:15" ht="16.5" x14ac:dyDescent="0.3">
      <c r="A15" s="2">
        <v>43448</v>
      </c>
      <c r="B15" s="55">
        <f t="shared" ca="1" si="0"/>
        <v>0</v>
      </c>
      <c r="C15" s="27">
        <f ca="1">GetFileList("P:\TP et Raccodement\FICHES CREES RACCORDEMENT\1 - RACCOS A SAISIR DANS AX\14-12-2018\*LM RACCO*.pdf")</f>
        <v>0</v>
      </c>
      <c r="D15" s="27">
        <f ca="1">GetFileList("P:\TP et Raccodement\FICHES CREES RACCORDEMENT\1 - RACCOS A SAISIR DANS AX\14-12-2018\*LR RACCO*.pdf")</f>
        <v>0</v>
      </c>
      <c r="E15" s="27">
        <f ca="1">GetFileList("P:\TP et Raccodement\FICHES CREES RACCORDEMENT\1 - RACCOS A SAISIR DANS AX\14-12-2018\*CL RACCO*.pdf")</f>
        <v>0</v>
      </c>
      <c r="F15" s="13">
        <f t="shared" ca="1" si="1"/>
        <v>0</v>
      </c>
      <c r="G15" s="27">
        <f ca="1">GetFileList("P:\TP et Raccodement\FICHES CREES RACCORDEMENT\2 - SAV + COMPL + PASSAGE W XV A SAISIR DANS AX\14-12-2018\*LM PASS*.pdf")</f>
        <v>0</v>
      </c>
      <c r="H15" s="27">
        <f ca="1">GetFileList("P:\TP et Raccodement\FICHES CREES RACCORDEMENT\2 - SAV + COMPL + PASSAGE W XV A SAISIR DANS AX\14-12-2018\*LR PASS*.pdf")</f>
        <v>0</v>
      </c>
      <c r="I15" s="27">
        <f ca="1">GetFileList("P:\TP et Raccodement\FICHES CREES RACCORDEMENT\2 - SAV + COMPL + PASSAGE W XV A SAISIR DANS AX\14-12-2018\*CL PASS*.pdf")</f>
        <v>0</v>
      </c>
      <c r="J15" s="29">
        <f ca="1">GetFileList("P:\TP et Raccodement\FICHES CREES RACCORDEMENT\2 - SAV + COMPL + PASSAGE W XV A SAISIR DANS AX\14-12-2018\*SAV*.pdf")</f>
        <v>0</v>
      </c>
      <c r="K15" s="30">
        <f ca="1">GetFileList("P:\TP et Raccodement\FICHES CREES RACCORDEMENT\2 - SAV + COMPL + PASSAGE W XV A SAISIR DANS AX\14-12-2018\*COMPLEMENT*.pdf")</f>
        <v>0</v>
      </c>
      <c r="L15" s="31">
        <f ca="1">GetFileList("P:\TP et Raccodement\FICHES CREES RACCORDEMENT\2 - SAV + COMPL + PASSAGE W XV A SAISIR DANS AX\14-12-2018\*REPRISE*.pdf")</f>
        <v>0</v>
      </c>
      <c r="M15" s="32">
        <f ca="1">GetFileList("P:\TP et Raccodement\FICHES CREES RACCORDEMENT\2 - SAV + COMPL + PASSAGE W XV A SAISIR DANS AX\14-12-2018\*REMONTAGE*.pdf")</f>
        <v>0</v>
      </c>
      <c r="N15" s="33"/>
      <c r="O15" s="34">
        <f t="shared" ca="1" si="2"/>
        <v>0</v>
      </c>
    </row>
    <row r="16" spans="1:15" ht="16.5" x14ac:dyDescent="0.3">
      <c r="A16" s="2">
        <v>43449</v>
      </c>
      <c r="B16" s="55">
        <f t="shared" ca="1" si="0"/>
        <v>0</v>
      </c>
      <c r="C16" s="27">
        <f ca="1">GetFileList("P:\TP et Raccodement\FICHES CREES RACCORDEMENT\1 - RACCOS A SAISIR DANS AX\15-12-2018\*LM RACCO*.pdf")</f>
        <v>0</v>
      </c>
      <c r="D16" s="27">
        <f ca="1">GetFileList("P:\TP et Raccodement\FICHES CREES RACCORDEMENT\1 - RACCOS A SAISIR DANS AX\15-12-2018\*LR RACCO*.pdf")</f>
        <v>0</v>
      </c>
      <c r="E16" s="27">
        <f ca="1">GetFileList("P:\TP et Raccodement\FICHES CREES RACCORDEMENT\1 - RACCOS A SAISIR DANS AX\15-12-2018\*CL RACCO*.pdf")</f>
        <v>0</v>
      </c>
      <c r="F16" s="13">
        <f t="shared" ca="1" si="1"/>
        <v>0</v>
      </c>
      <c r="G16" s="27">
        <f ca="1">GetFileList("P:\TP et Raccodement\FICHES CREES RACCORDEMENT\2 - SAV + COMPL + PASSAGE W XV A SAISIR DANS AX\15-12-2018\*LM PASS*.pdf")</f>
        <v>0</v>
      </c>
      <c r="H16" s="27">
        <f ca="1">GetFileList("P:\TP et Raccodement\FICHES CREES RACCORDEMENT\2 - SAV + COMPL + PASSAGE W XV A SAISIR DANS AX\15-12-2018\*LR PASS*.pdf")</f>
        <v>0</v>
      </c>
      <c r="I16" s="27">
        <f ca="1">GetFileList("P:\TP et Raccodement\FICHES CREES RACCORDEMENT\2 - SAV + COMPL + PASSAGE W XV A SAISIR DANS AX\15-12-2018\*CL PASS*.pdf")</f>
        <v>0</v>
      </c>
      <c r="J16" s="29">
        <f ca="1">GetFileList("P:\TP et Raccodement\FICHES CREES RACCORDEMENT\2 - SAV + COMPL + PASSAGE W XV A SAISIR DANS AX\15-12-2018\*SAV*.pdf")</f>
        <v>0</v>
      </c>
      <c r="K16" s="30">
        <f ca="1">GetFileList("P:\TP et Raccodement\FICHES CREES RACCORDEMENT\2 - SAV + COMPL + PASSAGE W XV A SAISIR DANS AX\15-12-2018\*COMPLEMENT*.pdf")</f>
        <v>0</v>
      </c>
      <c r="L16" s="31">
        <f ca="1">GetFileList("P:\TP et Raccodement\FICHES CREES RACCORDEMENT\2 - SAV + COMPL + PASSAGE W XV A SAISIR DANS AX\15-12-2018\*REPRISE*.pdf")</f>
        <v>0</v>
      </c>
      <c r="M16" s="32">
        <f ca="1">GetFileList("P:\TP et Raccodement\FICHES CREES RACCORDEMENT\2 - SAV + COMPL + PASSAGE W XV A SAISIR DANS AX\15-12-2018\*REMONTAGE*.pdf")</f>
        <v>0</v>
      </c>
      <c r="N16" s="33"/>
      <c r="O16" s="34">
        <f t="shared" ca="1" si="2"/>
        <v>0</v>
      </c>
    </row>
    <row r="17" spans="1:15" ht="16.5" x14ac:dyDescent="0.3">
      <c r="A17" s="2">
        <v>43450</v>
      </c>
      <c r="B17" s="55">
        <f t="shared" ca="1" si="0"/>
        <v>0</v>
      </c>
      <c r="C17" s="27">
        <f ca="1">GetFileList("P:\TP et Raccodement\FICHES CREES RACCORDEMENT\1 - RACCOS A SAISIR DANS AX\16-12-2018\*LM RACCO*.pdf")</f>
        <v>0</v>
      </c>
      <c r="D17" s="27">
        <f ca="1">GetFileList("P:\TP et Raccodement\FICHES CREES RACCORDEMENT\1 - RACCOS A SAISIR DANS AX\16-12-2018\*LR RACCO*.pdf")</f>
        <v>0</v>
      </c>
      <c r="E17" s="27">
        <f ca="1">GetFileList("P:\TP et Raccodement\FICHES CREES RACCORDEMENT\1 - RACCOS A SAISIR DANS AX\16-12-2018\*CL RACCO*.pdf")</f>
        <v>0</v>
      </c>
      <c r="F17" s="13">
        <f t="shared" ca="1" si="1"/>
        <v>0</v>
      </c>
      <c r="G17" s="27">
        <f ca="1">GetFileList("P:\TP et Raccodement\FICHES CREES RACCORDEMENT\2 - SAV + COMPL + PASSAGE W XV A SAISIR DANS AX\16-12-2018\*LM PASS*.pdf")</f>
        <v>0</v>
      </c>
      <c r="H17" s="27">
        <f ca="1">GetFileList("P:\TP et Raccodement\FICHES CREES RACCORDEMENT\2 - SAV + COMPL + PASSAGE W XV A SAISIR DANS AX\16-12-2018\*LR PASS*.pdf")</f>
        <v>0</v>
      </c>
      <c r="I17" s="27">
        <f ca="1">GetFileList("P:\TP et Raccodement\FICHES CREES RACCORDEMENT\2 - SAV + COMPL + PASSAGE W XV A SAISIR DANS AX\16-12-2018\*CL PASS*.pdf")</f>
        <v>0</v>
      </c>
      <c r="J17" s="29">
        <f ca="1">GetFileList("P:\TP et Raccodement\FICHES CREES RACCORDEMENT\2 - SAV + COMPL + PASSAGE W XV A SAISIR DANS AX\16-12-2018\*SAV*.pdf")</f>
        <v>0</v>
      </c>
      <c r="K17" s="30">
        <f ca="1">GetFileList("P:\TP et Raccodement\FICHES CREES RACCORDEMENT\2 - SAV + COMPL + PASSAGE W XV A SAISIR DANS AX\16-12-2018\*COMPLEMENT*.pdf")</f>
        <v>0</v>
      </c>
      <c r="L17" s="31">
        <f ca="1">GetFileList("P:\TP et Raccodement\FICHES CREES RACCORDEMENT\2 - SAV + COMPL + PASSAGE W XV A SAISIR DANS AX\16-12-2018\*REPRISE*.pdf")</f>
        <v>0</v>
      </c>
      <c r="M17" s="32">
        <f ca="1">GetFileList("P:\TP et Raccodement\FICHES CREES RACCORDEMENT\2 - SAV + COMPL + PASSAGE W XV A SAISIR DANS AX\16-12-2018\*REMONTAGE*.pdf")</f>
        <v>0</v>
      </c>
      <c r="N17" s="33"/>
      <c r="O17" s="34">
        <f t="shared" ca="1" si="2"/>
        <v>0</v>
      </c>
    </row>
    <row r="18" spans="1:15" ht="16.5" x14ac:dyDescent="0.3">
      <c r="A18" s="2">
        <v>43451</v>
      </c>
      <c r="B18" s="55">
        <f t="shared" ca="1" si="0"/>
        <v>0</v>
      </c>
      <c r="C18" s="27">
        <f ca="1">GetFileList("P:\TP et Raccodement\FICHES CREES RACCORDEMENT\1 - RACCOS A SAISIR DANS AX\17-12-2018\*LM RACCO*.pdf")</f>
        <v>0</v>
      </c>
      <c r="D18" s="27">
        <f ca="1">GetFileList("P:\TP et Raccodement\FICHES CREES RACCORDEMENT\1 - RACCOS A SAISIR DANS AX\17-12-2018\*LR RACCO*.pdf")</f>
        <v>0</v>
      </c>
      <c r="E18" s="27">
        <f ca="1">GetFileList("P:\TP et Raccodement\FICHES CREES RACCORDEMENT\1 - RACCOS A SAISIR DANS AX\17-12-2018\*CL RACCO*.pdf")</f>
        <v>0</v>
      </c>
      <c r="F18" s="13">
        <f t="shared" ca="1" si="1"/>
        <v>0</v>
      </c>
      <c r="G18" s="27">
        <f ca="1">GetFileList("P:\TP et Raccodement\FICHES CREES RACCORDEMENT\2 - SAV + COMPL + PASSAGE W XV A SAISIR DANS AX\17-12-2018\*LM PASS*.pdf")</f>
        <v>0</v>
      </c>
      <c r="H18" s="27">
        <f ca="1">GetFileList("P:\TP et Raccodement\FICHES CREES RACCORDEMENT\2 - SAV + COMPL + PASSAGE W XV A SAISIR DANS AX\17-12-2018\*LR PASS*.pdf")</f>
        <v>0</v>
      </c>
      <c r="I18" s="27">
        <f ca="1">GetFileList("P:\TP et Raccodement\FICHES CREES RACCORDEMENT\2 - SAV + COMPL + PASSAGE W XV A SAISIR DANS AX\17-12-2018\*CL PASS*.pdf")</f>
        <v>0</v>
      </c>
      <c r="J18" s="29">
        <f ca="1">GetFileList("P:\TP et Raccodement\FICHES CREES RACCORDEMENT\2 - SAV + COMPL + PASSAGE W XV A SAISIR DANS AX\17-12-2018\*SAV*.pdf")</f>
        <v>0</v>
      </c>
      <c r="K18" s="30">
        <f ca="1">GetFileList("P:\TP et Raccodement\FICHES CREES RACCORDEMENT\2 - SAV + COMPL + PASSAGE W XV A SAISIR DANS AX\17-12-2018\*COMPLEMENT*.pdf")</f>
        <v>0</v>
      </c>
      <c r="L18" s="31">
        <f ca="1">GetFileList("P:\TP et Raccodement\FICHES CREES RACCORDEMENT\2 - SAV + COMPL + PASSAGE W XV A SAISIR DANS AX\17-12-2018\*REPRISE*.pdf")</f>
        <v>0</v>
      </c>
      <c r="M18" s="32">
        <f ca="1">GetFileList("P:\TP et Raccodement\FICHES CREES RACCORDEMENT\2 - SAV + COMPL + PASSAGE W XV A SAISIR DANS AX\17-12-2018\*REMONTAGE*.pdf")</f>
        <v>0</v>
      </c>
      <c r="N18" s="33"/>
      <c r="O18" s="34">
        <f t="shared" ca="1" si="2"/>
        <v>0</v>
      </c>
    </row>
    <row r="19" spans="1:15" ht="16.5" x14ac:dyDescent="0.3">
      <c r="A19" s="2">
        <v>43452</v>
      </c>
      <c r="B19" s="55">
        <f t="shared" ca="1" si="0"/>
        <v>0</v>
      </c>
      <c r="C19" s="27">
        <f ca="1">GetFileList("P:\TP et Raccodement\FICHES CREES RACCORDEMENT\1 - RACCOS A SAISIR DANS AX\18-12-2018\*LM RACCO*.pdf")</f>
        <v>0</v>
      </c>
      <c r="D19" s="27">
        <f ca="1">GetFileList("P:\TP et Raccodement\FICHES CREES RACCORDEMENT\1 - RACCOS A SAISIR DANS AX\18-12-2018\*LR RACCO*.pdf")</f>
        <v>0</v>
      </c>
      <c r="E19" s="27">
        <f ca="1">GetFileList("P:\TP et Raccodement\FICHES CREES RACCORDEMENT\1 - RACCOS A SAISIR DANS AX\18-12-2018\*CL RACCO*.pdf")</f>
        <v>0</v>
      </c>
      <c r="F19" s="13">
        <f t="shared" ca="1" si="1"/>
        <v>0</v>
      </c>
      <c r="G19" s="27">
        <f ca="1">GetFileList("P:\TP et Raccodement\FICHES CREES RACCORDEMENT\2 - SAV + COMPL + PASSAGE W XV A SAISIR DANS AX\18-12-2018\*LM PASS*.pdf")</f>
        <v>0</v>
      </c>
      <c r="H19" s="27">
        <f ca="1">GetFileList("P:\TP et Raccodement\FICHES CREES RACCORDEMENT\2 - SAV + COMPL + PASSAGE W XV A SAISIR DANS AX\18-12-2018\*LR PASS*.pdf")</f>
        <v>0</v>
      </c>
      <c r="I19" s="27">
        <f ca="1">GetFileList("P:\TP et Raccodement\FICHES CREES RACCORDEMENT\2 - SAV + COMPL + PASSAGE W XV A SAISIR DANS AX\18-12-2018\*CL PASS*.pdf")</f>
        <v>0</v>
      </c>
      <c r="J19" s="29">
        <f ca="1">GetFileList("P:\TP et Raccodement\FICHES CREES RACCORDEMENT\2 - SAV + COMPL + PASSAGE W XV A SAISIR DANS AX\18-12-2018\*SAV*.pdf")</f>
        <v>0</v>
      </c>
      <c r="K19" s="30">
        <f ca="1">GetFileList("P:\TP et Raccodement\FICHES CREES RACCORDEMENT\2 - SAV + COMPL + PASSAGE W XV A SAISIR DANS AX\18-12-2018\*COMPLEMENT*.pdf")</f>
        <v>0</v>
      </c>
      <c r="L19" s="31">
        <f ca="1">GetFileList("P:\TP et Raccodement\FICHES CREES RACCORDEMENT\2 - SAV + COMPL + PASSAGE W XV A SAISIR DANS AX\18-12-2018\*REPRISE*.pdf")</f>
        <v>0</v>
      </c>
      <c r="M19" s="32">
        <f ca="1">GetFileList("P:\TP et Raccodement\FICHES CREES RACCORDEMENT\2 - SAV + COMPL + PASSAGE W XV A SAISIR DANS AX\18-12-2018\*REMONTAGE*.pdf")</f>
        <v>0</v>
      </c>
      <c r="N19" s="33"/>
      <c r="O19" s="34">
        <f t="shared" ca="1" si="2"/>
        <v>0</v>
      </c>
    </row>
    <row r="20" spans="1:15" ht="16.5" x14ac:dyDescent="0.3">
      <c r="A20" s="2">
        <v>43453</v>
      </c>
      <c r="B20" s="55">
        <f t="shared" ca="1" si="0"/>
        <v>0</v>
      </c>
      <c r="C20" s="27">
        <f ca="1">GetFileList("P:\TP et Raccodement\FICHES CREES RACCORDEMENT\1 - RACCOS A SAISIR DANS AX\19-12-2018\*LM RACCO*.pdf")</f>
        <v>0</v>
      </c>
      <c r="D20" s="27">
        <f ca="1">GetFileList("P:\TP et Raccodement\FICHES CREES RACCORDEMENT\1 - RACCOS A SAISIR DANS AX\19-12-2018\*LR RACCO*.pdf")</f>
        <v>0</v>
      </c>
      <c r="E20" s="27">
        <f ca="1">GetFileList("P:\TP et Raccodement\FICHES CREES RACCORDEMENT\1 - RACCOS A SAISIR DANS AX\19-12-2018\*CL RACCO*.pdf")</f>
        <v>0</v>
      </c>
      <c r="F20" s="13">
        <f t="shared" ca="1" si="1"/>
        <v>0</v>
      </c>
      <c r="G20" s="27">
        <f ca="1">GetFileList("P:\TP et Raccodement\FICHES CREES RACCORDEMENT\2 - SAV + COMPL + PASSAGE W XV A SAISIR DANS AX\19-12-2018\*LM PASS*.pdf")</f>
        <v>0</v>
      </c>
      <c r="H20" s="27">
        <f ca="1">GetFileList("P:\TP et Raccodement\FICHES CREES RACCORDEMENT\2 - SAV + COMPL + PASSAGE W XV A SAISIR DANS AX\19-12-2018\*LR PASS*.pdf")</f>
        <v>0</v>
      </c>
      <c r="I20" s="27">
        <f ca="1">GetFileList("P:\TP et Raccodement\FICHES CREES RACCORDEMENT\2 - SAV + COMPL + PASSAGE W XV A SAISIR DANS AX\19-12-2018\*CL PASS*.pdf")</f>
        <v>0</v>
      </c>
      <c r="J20" s="29">
        <f ca="1">GetFileList("P:\TP et Raccodement\FICHES CREES RACCORDEMENT\2 - SAV + COMPL + PASSAGE W XV A SAISIR DANS AX\19-12-2018\*SAV*.pdf")</f>
        <v>0</v>
      </c>
      <c r="K20" s="30">
        <f ca="1">GetFileList("P:\TP et Raccodement\FICHES CREES RACCORDEMENT\2 - SAV + COMPL + PASSAGE W XV A SAISIR DANS AX\19-12-2018\*COMPLEMENT*.pdf")</f>
        <v>0</v>
      </c>
      <c r="L20" s="31">
        <f ca="1">GetFileList("P:\TP et Raccodement\FICHES CREES RACCORDEMENT\2 - SAV + COMPL + PASSAGE W XV A SAISIR DANS AX\19-12-2018\*REPRISE*.pdf")</f>
        <v>0</v>
      </c>
      <c r="M20" s="32">
        <f ca="1">GetFileList("P:\TP et Raccodement\FICHES CREES RACCORDEMENT\2 - SAV + COMPL + PASSAGE W XV A SAISIR DANS AX\19-12-2018\*REMONTAGE*.pdf")</f>
        <v>0</v>
      </c>
      <c r="N20" s="33"/>
      <c r="O20" s="34">
        <f t="shared" ca="1" si="2"/>
        <v>0</v>
      </c>
    </row>
    <row r="21" spans="1:15" ht="16.5" x14ac:dyDescent="0.3">
      <c r="A21" s="2">
        <v>43454</v>
      </c>
      <c r="B21" s="55">
        <f t="shared" ca="1" si="0"/>
        <v>0</v>
      </c>
      <c r="C21" s="27">
        <f ca="1">GetFileList("P:\TP et Raccodement\FICHES CREES RACCORDEMENT\1 - RACCOS A SAISIR DANS AX\20-12-2018\*LM RACCO*.pdf")</f>
        <v>0</v>
      </c>
      <c r="D21" s="27">
        <f ca="1">GetFileList("P:\TP et Raccodement\FICHES CREES RACCORDEMENT\1 - RACCOS A SAISIR DANS AX\20-12-2018\*LR RACCO*.pdf")</f>
        <v>0</v>
      </c>
      <c r="E21" s="27">
        <f ca="1">GetFileList("P:\TP et Raccodement\FICHES CREES RACCORDEMENT\1 - RACCOS A SAISIR DANS AX\20-12-2018\*CL RACCO*.pdf")</f>
        <v>0</v>
      </c>
      <c r="F21" s="13">
        <f t="shared" ca="1" si="1"/>
        <v>0</v>
      </c>
      <c r="G21" s="27">
        <f ca="1">GetFileList("P:\TP et Raccodement\FICHES CREES RACCORDEMENT\2 - SAV + COMPL + PASSAGE W XV A SAISIR DANS AX\20-12-2018\*LM PASS*.pdf")</f>
        <v>0</v>
      </c>
      <c r="H21" s="27">
        <f ca="1">GetFileList("P:\TP et Raccodement\FICHES CREES RACCORDEMENT\2 - SAV + COMPL + PASSAGE W XV A SAISIR DANS AX\20-12-2018\*LR PASS*.pdf")</f>
        <v>0</v>
      </c>
      <c r="I21" s="27">
        <f ca="1">GetFileList("P:\TP et Raccodement\FICHES CREES RACCORDEMENT\2 - SAV + COMPL + PASSAGE W XV A SAISIR DANS AX\20-12-2018\*CL PASS*.pdf")</f>
        <v>0</v>
      </c>
      <c r="J21" s="29">
        <f ca="1">GetFileList("P:\TP et Raccodement\FICHES CREES RACCORDEMENT\2 - SAV + COMPL + PASSAGE W XV A SAISIR DANS AX\20-12-2018\*SAV*.pdf")</f>
        <v>0</v>
      </c>
      <c r="K21" s="30">
        <f ca="1">GetFileList("P:\TP et Raccodement\FICHES CREES RACCORDEMENT\2 - SAV + COMPL + PASSAGE W XV A SAISIR DANS AX\20-12-2018\*COMPLEMENT*.pdf")</f>
        <v>0</v>
      </c>
      <c r="L21" s="31">
        <f ca="1">GetFileList("P:\TP et Raccodement\FICHES CREES RACCORDEMENT\2 - SAV + COMPL + PASSAGE W XV A SAISIR DANS AX\20-12-2018\*REPRISE*.pdf")</f>
        <v>0</v>
      </c>
      <c r="M21" s="32">
        <f ca="1">GetFileList("P:\TP et Raccodement\FICHES CREES RACCORDEMENT\2 - SAV + COMPL + PASSAGE W XV A SAISIR DANS AX\20-12-2018\*REMONTAGE*.pdf")</f>
        <v>0</v>
      </c>
      <c r="N21" s="33"/>
      <c r="O21" s="34">
        <f t="shared" ca="1" si="2"/>
        <v>0</v>
      </c>
    </row>
    <row r="22" spans="1:15" ht="16.5" x14ac:dyDescent="0.3">
      <c r="A22" s="2">
        <v>43455</v>
      </c>
      <c r="B22" s="55">
        <f t="shared" ca="1" si="0"/>
        <v>0</v>
      </c>
      <c r="C22" s="27">
        <f ca="1">GetFileList("P:\TP et Raccodement\FICHES CREES RACCORDEMENT\1 - RACCOS A SAISIR DANS AX\21-12-2018\*LM RACCO*.pdf")</f>
        <v>0</v>
      </c>
      <c r="D22" s="27">
        <f ca="1">GetFileList("P:\TP et Raccodement\FICHES CREES RACCORDEMENT\1 - RACCOS A SAISIR DANS AX\21-12-2018\*LR RACCO*.pdf")</f>
        <v>0</v>
      </c>
      <c r="E22" s="27">
        <f ca="1">GetFileList("P:\TP et Raccodement\FICHES CREES RACCORDEMENT\1 - RACCOS A SAISIR DANS AX\21-12-2018\*CL RACCO*.pdf")</f>
        <v>0</v>
      </c>
      <c r="F22" s="13">
        <f t="shared" ca="1" si="1"/>
        <v>0</v>
      </c>
      <c r="G22" s="27">
        <f ca="1">GetFileList("P:\TP et Raccodement\FICHES CREES RACCORDEMENT\2 - SAV + COMPL + PASSAGE W XV A SAISIR DANS AX\21-12-2018\*LM PASS*.pdf")</f>
        <v>0</v>
      </c>
      <c r="H22" s="27">
        <f ca="1">GetFileList("P:\TP et Raccodement\FICHES CREES RACCORDEMENT\2 - SAV + COMPL + PASSAGE W XV A SAISIR DANS AX\21-12-2018\*LR PASS*.pdf")</f>
        <v>0</v>
      </c>
      <c r="I22" s="27">
        <f ca="1">GetFileList("P:\TP et Raccodement\FICHES CREES RACCORDEMENT\2 - SAV + COMPL + PASSAGE W XV A SAISIR DANS AX\21-12-2018\*CL PASS*.pdf")</f>
        <v>0</v>
      </c>
      <c r="J22" s="29">
        <f ca="1">GetFileList("P:\TP et Raccodement\FICHES CREES RACCORDEMENT\2 - SAV + COMPL + PASSAGE W XV A SAISIR DANS AX\21-12-2018\*SAV*.pdf")</f>
        <v>0</v>
      </c>
      <c r="K22" s="30">
        <f ca="1">GetFileList("P:\TP et Raccodement\FICHES CREES RACCORDEMENT\2 - SAV + COMPL + PASSAGE W XV A SAISIR DANS AX\21-12-2018\*COMPLEMENT*.pdf")</f>
        <v>0</v>
      </c>
      <c r="L22" s="31">
        <f ca="1">GetFileList("P:\TP et Raccodement\FICHES CREES RACCORDEMENT\2 - SAV + COMPL + PASSAGE W XV A SAISIR DANS AX\21-12-2018\*REPRISE*.pdf")</f>
        <v>0</v>
      </c>
      <c r="M22" s="32">
        <f ca="1">GetFileList("P:\TP et Raccodement\FICHES CREES RACCORDEMENT\2 - SAV + COMPL + PASSAGE W XV A SAISIR DANS AX\21-12-2018\*REMONTAGE*.pdf")</f>
        <v>0</v>
      </c>
      <c r="N22" s="33"/>
      <c r="O22" s="34">
        <f t="shared" ca="1" si="2"/>
        <v>0</v>
      </c>
    </row>
    <row r="23" spans="1:15" ht="16.5" x14ac:dyDescent="0.3">
      <c r="A23" s="2">
        <v>43456</v>
      </c>
      <c r="B23" s="55">
        <f t="shared" ca="1" si="0"/>
        <v>0</v>
      </c>
      <c r="C23" s="27">
        <f ca="1">GetFileList("P:\TP et Raccodement\FICHES CREES RACCORDEMENT\1 - RACCOS A SAISIR DANS AX\22-12-2018\*LM RACCO*.pdf")</f>
        <v>0</v>
      </c>
      <c r="D23" s="27">
        <f ca="1">GetFileList("P:\TP et Raccodement\FICHES CREES RACCORDEMENT\1 - RACCOS A SAISIR DANS AX\22-12-2018\*LR RACCO*.pdf")</f>
        <v>0</v>
      </c>
      <c r="E23" s="27">
        <f ca="1">GetFileList("P:\TP et Raccodement\FICHES CREES RACCORDEMENT\1 - RACCOS A SAISIR DANS AX\22-12-2018\*CL RACCO*.pdf")</f>
        <v>0</v>
      </c>
      <c r="F23" s="13">
        <f t="shared" ca="1" si="1"/>
        <v>0</v>
      </c>
      <c r="G23" s="27">
        <f ca="1">GetFileList("P:\TP et Raccodement\FICHES CREES RACCORDEMENT\2 - SAV + COMPL + PASSAGE W XV A SAISIR DANS AX\22-12-2018\*LM PASS*.pdf")</f>
        <v>0</v>
      </c>
      <c r="H23" s="27">
        <f ca="1">GetFileList("P:\TP et Raccodement\FICHES CREES RACCORDEMENT\2 - SAV + COMPL + PASSAGE W XV A SAISIR DANS AX\22-12-2018\*LR PASS*.pdf")</f>
        <v>0</v>
      </c>
      <c r="I23" s="27">
        <f ca="1">GetFileList("P:\TP et Raccodement\FICHES CREES RACCORDEMENT\2 - SAV + COMPL + PASSAGE W XV A SAISIR DANS AX\22-12-2018\*CL PASS*.pdf")</f>
        <v>0</v>
      </c>
      <c r="J23" s="29">
        <f ca="1">GetFileList("P:\TP et Raccodement\FICHES CREES RACCORDEMENT\2 - SAV + COMPL + PASSAGE W XV A SAISIR DANS AX\22-12-2018\*SAV*.pdf")</f>
        <v>0</v>
      </c>
      <c r="K23" s="30">
        <f ca="1">GetFileList("P:\TP et Raccodement\FICHES CREES RACCORDEMENT\2 - SAV + COMPL + PASSAGE W XV A SAISIR DANS AX\22-12-2018\*COMPLEMENT*.pdf")</f>
        <v>0</v>
      </c>
      <c r="L23" s="31">
        <f ca="1">GetFileList("P:\TP et Raccodement\FICHES CREES RACCORDEMENT\2 - SAV + COMPL + PASSAGE W XV A SAISIR DANS AX\22-12-2018\*REPRISE*.pdf")</f>
        <v>0</v>
      </c>
      <c r="M23" s="32">
        <f ca="1">GetFileList("P:\TP et Raccodement\FICHES CREES RACCORDEMENT\2 - SAV + COMPL + PASSAGE W XV A SAISIR DANS AX\22-12-2018\*REMONTAGE*.pdf")</f>
        <v>0</v>
      </c>
      <c r="N23" s="33"/>
      <c r="O23" s="34">
        <f t="shared" ca="1" si="2"/>
        <v>0</v>
      </c>
    </row>
    <row r="24" spans="1:15" ht="16.5" x14ac:dyDescent="0.3">
      <c r="A24" s="2">
        <v>43457</v>
      </c>
      <c r="B24" s="55">
        <f t="shared" ca="1" si="0"/>
        <v>0</v>
      </c>
      <c r="C24" s="27">
        <f ca="1">GetFileList("P:\TP et Raccodement\FICHES CREES RACCORDEMENT\1 - RACCOS A SAISIR DANS AX\23-12-2018\*LM RACCO*.pdf")</f>
        <v>0</v>
      </c>
      <c r="D24" s="27">
        <f ca="1">GetFileList("P:\TP et Raccodement\FICHES CREES RACCORDEMENT\1 - RACCOS A SAISIR DANS AX\23-12-2018\*LR RACCO*.pdf")</f>
        <v>0</v>
      </c>
      <c r="E24" s="27">
        <f ca="1">GetFileList("P:\TP et Raccodement\FICHES CREES RACCORDEMENT\1 - RACCOS A SAISIR DANS AX\23-12-2018\*CL RACCO*.pdf")</f>
        <v>0</v>
      </c>
      <c r="F24" s="13">
        <f t="shared" ca="1" si="1"/>
        <v>0</v>
      </c>
      <c r="G24" s="27">
        <f ca="1">GetFileList("P:\TP et Raccodement\FICHES CREES RACCORDEMENT\2 - SAV + COMPL + PASSAGE W XV A SAISIR DANS AX\23-12-2018\*LM PASS*.pdf")</f>
        <v>0</v>
      </c>
      <c r="H24" s="27">
        <f ca="1">GetFileList("P:\TP et Raccodement\FICHES CREES RACCORDEMENT\2 - SAV + COMPL + PASSAGE W XV A SAISIR DANS AX\23-12-2018\*LR PASS*.pdf")</f>
        <v>0</v>
      </c>
      <c r="I24" s="27">
        <f ca="1">GetFileList("P:\TP et Raccodement\FICHES CREES RACCORDEMENT\2 - SAV + COMPL + PASSAGE W XV A SAISIR DANS AX\23-12-2018\*CL PASS*.pdf")</f>
        <v>0</v>
      </c>
      <c r="J24" s="29">
        <f ca="1">GetFileList("P:\TP et Raccodement\FICHES CREES RACCORDEMENT\2 - SAV + COMPL + PASSAGE W XV A SAISIR DANS AX\23-12-2018\*SAV*.pdf")</f>
        <v>0</v>
      </c>
      <c r="K24" s="30">
        <f ca="1">GetFileList("P:\TP et Raccodement\FICHES CREES RACCORDEMENT\2 - SAV + COMPL + PASSAGE W XV A SAISIR DANS AX\23-12-2018\*COMPLEMENT*.pdf")</f>
        <v>0</v>
      </c>
      <c r="L24" s="31">
        <f ca="1">GetFileList("P:\TP et Raccodement\FICHES CREES RACCORDEMENT\2 - SAV + COMPL + PASSAGE W XV A SAISIR DANS AX\23-12-2018\*REPRISE*.pdf")</f>
        <v>0</v>
      </c>
      <c r="M24" s="32">
        <f ca="1">GetFileList("P:\TP et Raccodement\FICHES CREES RACCORDEMENT\2 - SAV + COMPL + PASSAGE W XV A SAISIR DANS AX\23-12-2018\*REMONTAGE*.pdf")</f>
        <v>0</v>
      </c>
      <c r="N24" s="33"/>
      <c r="O24" s="34">
        <f t="shared" ca="1" si="2"/>
        <v>0</v>
      </c>
    </row>
    <row r="25" spans="1:15" ht="16.5" x14ac:dyDescent="0.3">
      <c r="A25" s="2">
        <v>43458</v>
      </c>
      <c r="B25" s="55">
        <f t="shared" ca="1" si="0"/>
        <v>0</v>
      </c>
      <c r="C25" s="27">
        <f ca="1">GetFileList("P:\TP et Raccodement\FICHES CREES RACCORDEMENT\1 - RACCOS A SAISIR DANS AX\24-12-2018\*LM RACCO*.pdf")</f>
        <v>0</v>
      </c>
      <c r="D25" s="27">
        <f ca="1">GetFileList("P:\TP et Raccodement\FICHES CREES RACCORDEMENT\1 - RACCOS A SAISIR DANS AX\24-12-2018\*LR RACCO*.pdf")</f>
        <v>0</v>
      </c>
      <c r="E25" s="27">
        <f ca="1">GetFileList("P:\TP et Raccodement\FICHES CREES RACCORDEMENT\1 - RACCOS A SAISIR DANS AX\24-12-2018\*CL RACCO*.pdf")</f>
        <v>0</v>
      </c>
      <c r="F25" s="13">
        <f t="shared" ca="1" si="1"/>
        <v>0</v>
      </c>
      <c r="G25" s="27">
        <f ca="1">GetFileList("P:\TP et Raccodement\FICHES CREES RACCORDEMENT\2 - SAV + COMPL + PASSAGE W XV A SAISIR DANS AX\24-12-2018\*LM PASS*.pdf")</f>
        <v>0</v>
      </c>
      <c r="H25" s="27">
        <f ca="1">GetFileList("P:\TP et Raccodement\FICHES CREES RACCORDEMENT\2 - SAV + COMPL + PASSAGE W XV A SAISIR DANS AX\24-12-2018\*LR PASS*.pdf")</f>
        <v>0</v>
      </c>
      <c r="I25" s="27">
        <f ca="1">GetFileList("P:\TP et Raccodement\FICHES CREES RACCORDEMENT\2 - SAV + COMPL + PASSAGE W XV A SAISIR DANS AX\24-12-2018\*CL PASS*.pdf")</f>
        <v>0</v>
      </c>
      <c r="J25" s="29">
        <f ca="1">GetFileList("P:\TP et Raccodement\FICHES CREES RACCORDEMENT\2 - SAV + COMPL + PASSAGE W XV A SAISIR DANS AX\24-12-2018\*SAV*.pdf")</f>
        <v>0</v>
      </c>
      <c r="K25" s="30">
        <f ca="1">GetFileList("P:\TP et Raccodement\FICHES CREES RACCORDEMENT\2 - SAV + COMPL + PASSAGE W XV A SAISIR DANS AX\24-12-2018\*COMPLEMENT*.pdf")</f>
        <v>0</v>
      </c>
      <c r="L25" s="31">
        <f ca="1">GetFileList("P:\TP et Raccodement\FICHES CREES RACCORDEMENT\2 - SAV + COMPL + PASSAGE W XV A SAISIR DANS AX\24-12-2018\*REPRISE*.pdf")</f>
        <v>0</v>
      </c>
      <c r="M25" s="32">
        <f ca="1">GetFileList("P:\TP et Raccodement\FICHES CREES RACCORDEMENT\2 - SAV + COMPL + PASSAGE W XV A SAISIR DANS AX\24-12-2018\*REMONTAGE*.pdf")</f>
        <v>0</v>
      </c>
      <c r="N25" s="33"/>
      <c r="O25" s="34">
        <f t="shared" ca="1" si="2"/>
        <v>0</v>
      </c>
    </row>
    <row r="26" spans="1:15" ht="16.5" x14ac:dyDescent="0.3">
      <c r="A26" s="2">
        <v>43459</v>
      </c>
      <c r="B26" s="55">
        <f t="shared" ca="1" si="0"/>
        <v>0</v>
      </c>
      <c r="C26" s="27">
        <f ca="1">GetFileList("P:\TP et Raccodement\FICHES CREES RACCORDEMENT\1 - RACCOS A SAISIR DANS AX\25-12-2018\*LM RACCO*.pdf")</f>
        <v>0</v>
      </c>
      <c r="D26" s="27">
        <f ca="1">GetFileList("P:\TP et Raccodement\FICHES CREES RACCORDEMENT\1 - RACCOS A SAISIR DANS AX\25-12-2018\*LR RACCO*.pdf")</f>
        <v>0</v>
      </c>
      <c r="E26" s="27">
        <f ca="1">GetFileList("P:\TP et Raccodement\FICHES CREES RACCORDEMENT\1 - RACCOS A SAISIR DANS AX\25-12-2018\*CL RACCO*.pdf")</f>
        <v>0</v>
      </c>
      <c r="F26" s="13">
        <f t="shared" ca="1" si="1"/>
        <v>0</v>
      </c>
      <c r="G26" s="27">
        <f ca="1">GetFileList("P:\TP et Raccodement\FICHES CREES RACCORDEMENT\2 - SAV + COMPL + PASSAGE W XV A SAISIR DANS AX\25-12-2018\*LM PASS*.pdf")</f>
        <v>0</v>
      </c>
      <c r="H26" s="27">
        <f ca="1">GetFileList("P:\TP et Raccodement\FICHES CREES RACCORDEMENT\2 - SAV + COMPL + PASSAGE W XV A SAISIR DANS AX\25-12-2018\*LR PASS*.pdf")</f>
        <v>0</v>
      </c>
      <c r="I26" s="27">
        <f ca="1">GetFileList("P:\TP et Raccodement\FICHES CREES RACCORDEMENT\2 - SAV + COMPL + PASSAGE W XV A SAISIR DANS AX\25-12-2018\*CL PASS*.pdf")</f>
        <v>0</v>
      </c>
      <c r="J26" s="29">
        <f ca="1">GetFileList("P:\TP et Raccodement\FICHES CREES RACCORDEMENT\2 - SAV + COMPL + PASSAGE W XV A SAISIR DANS AX\25-12-2018\*SAV*.pdf")</f>
        <v>0</v>
      </c>
      <c r="K26" s="30">
        <f ca="1">GetFileList("P:\TP et Raccodement\FICHES CREES RACCORDEMENT\2 - SAV + COMPL + PASSAGE W XV A SAISIR DANS AX\25-12-2018\*COMPLEMENT*.pdf")</f>
        <v>0</v>
      </c>
      <c r="L26" s="31">
        <f ca="1">GetFileList("P:\TP et Raccodement\FICHES CREES RACCORDEMENT\2 - SAV + COMPL + PASSAGE W XV A SAISIR DANS AX\25-12-2018\*REPRISE*.pdf")</f>
        <v>0</v>
      </c>
      <c r="M26" s="32">
        <f ca="1">GetFileList("P:\TP et Raccodement\FICHES CREES RACCORDEMENT\2 - SAV + COMPL + PASSAGE W XV A SAISIR DANS AX\25-12-2018\*REMONTAGE*.pdf")</f>
        <v>0</v>
      </c>
      <c r="N26" s="33"/>
      <c r="O26" s="34">
        <f t="shared" ca="1" si="2"/>
        <v>0</v>
      </c>
    </row>
    <row r="27" spans="1:15" ht="16.5" x14ac:dyDescent="0.3">
      <c r="A27" s="2">
        <v>43460</v>
      </c>
      <c r="B27" s="55">
        <f t="shared" ca="1" si="0"/>
        <v>0</v>
      </c>
      <c r="C27" s="27">
        <f ca="1">GetFileList("P:\TP et Raccodement\FICHES CREES RACCORDEMENT\1 - RACCOS A SAISIR DANS AX\26-12-2018\*LM RACCO*.pdf")</f>
        <v>0</v>
      </c>
      <c r="D27" s="27">
        <f ca="1">GetFileList("P:\TP et Raccodement\FICHES CREES RACCORDEMENT\1 - RACCOS A SAISIR DANS AX\26-12-2018\*LR RACCO*.pdf")</f>
        <v>0</v>
      </c>
      <c r="E27" s="27">
        <f ca="1">GetFileList("P:\TP et Raccodement\FICHES CREES RACCORDEMENT\1 - RACCOS A SAISIR DANS AX\26-12-2018\*CL RACCO*.pdf")</f>
        <v>0</v>
      </c>
      <c r="F27" s="13">
        <f t="shared" ca="1" si="1"/>
        <v>0</v>
      </c>
      <c r="G27" s="27">
        <f ca="1">GetFileList("P:\TP et Raccodement\FICHES CREES RACCORDEMENT\2 - SAV + COMPL + PASSAGE W XV A SAISIR DANS AX\26-12-2018\*LM PASS*.pdf")</f>
        <v>0</v>
      </c>
      <c r="H27" s="27">
        <f ca="1">GetFileList("P:\TP et Raccodement\FICHES CREES RACCORDEMENT\2 - SAV + COMPL + PASSAGE W XV A SAISIR DANS AX\26-12-2018\*LR PASS*.pdf")</f>
        <v>0</v>
      </c>
      <c r="I27" s="27">
        <f ca="1">GetFileList("P:\TP et Raccodement\FICHES CREES RACCORDEMENT\2 - SAV + COMPL + PASSAGE W XV A SAISIR DANS AX\26-12-2018\*CL PASS*.pdf")</f>
        <v>0</v>
      </c>
      <c r="J27" s="29">
        <f ca="1">GetFileList("P:\TP et Raccodement\FICHES CREES RACCORDEMENT\2 - SAV + COMPL + PASSAGE W XV A SAISIR DANS AX\26-12-2018\*SAV*.pdf")</f>
        <v>0</v>
      </c>
      <c r="K27" s="30">
        <f ca="1">GetFileList("P:\TP et Raccodement\FICHES CREES RACCORDEMENT\2 - SAV + COMPL + PASSAGE W XV A SAISIR DANS AX\26-12-2018\*COMPLEMENT*.pdf")</f>
        <v>0</v>
      </c>
      <c r="L27" s="31">
        <f ca="1">GetFileList("P:\TP et Raccodement\FICHES CREES RACCORDEMENT\2 - SAV + COMPL + PASSAGE W XV A SAISIR DANS AX\26-12-2018\*REPRISE*.pdf")</f>
        <v>0</v>
      </c>
      <c r="M27" s="32">
        <f ca="1">GetFileList("P:\TP et Raccodement\FICHES CREES RACCORDEMENT\2 - SAV + COMPL + PASSAGE W XV A SAISIR DANS AX\26-12-2018\*REMONTAGE*.pdf")</f>
        <v>0</v>
      </c>
      <c r="N27" s="33"/>
      <c r="O27" s="34">
        <f t="shared" ca="1" si="2"/>
        <v>0</v>
      </c>
    </row>
    <row r="28" spans="1:15" ht="16.5" x14ac:dyDescent="0.3">
      <c r="A28" s="2">
        <v>43461</v>
      </c>
      <c r="B28" s="55">
        <f t="shared" ca="1" si="0"/>
        <v>0</v>
      </c>
      <c r="C28" s="27">
        <f ca="1">GetFileList("P:\TP et Raccodement\FICHES CREES RACCORDEMENT\1 - RACCOS A SAISIR DANS AX\27-12-2018\*LM RACCO*.pdf")</f>
        <v>0</v>
      </c>
      <c r="D28" s="27">
        <f ca="1">GetFileList("P:\TP et Raccodement\FICHES CREES RACCORDEMENT\1 - RACCOS A SAISIR DANS AX\27-12-2018\*LR RACCO*.pdf")</f>
        <v>0</v>
      </c>
      <c r="E28" s="27">
        <f ca="1">GetFileList("P:\TP et Raccodement\FICHES CREES RACCORDEMENT\1 - RACCOS A SAISIR DANS AX\27-12-2018\*CL RACCO*.pdf")</f>
        <v>0</v>
      </c>
      <c r="F28" s="13">
        <f t="shared" ca="1" si="1"/>
        <v>0</v>
      </c>
      <c r="G28" s="27">
        <f ca="1">GetFileList("P:\TP et Raccodement\FICHES CREES RACCORDEMENT\2 - SAV + COMPL + PASSAGE W XV A SAISIR DANS AX\27-12-2018\*LM PASS*.pdf")</f>
        <v>0</v>
      </c>
      <c r="H28" s="27">
        <f ca="1">GetFileList("P:\TP et Raccodement\FICHES CREES RACCORDEMENT\2 - SAV + COMPL + PASSAGE W XV A SAISIR DANS AX\27-12-2018\*LR PASS*.pdf")</f>
        <v>0</v>
      </c>
      <c r="I28" s="27">
        <f ca="1">GetFileList("P:\TP et Raccodement\FICHES CREES RACCORDEMENT\2 - SAV + COMPL + PASSAGE W XV A SAISIR DANS AX\27-12-2018\*CL PASS*.pdf")</f>
        <v>0</v>
      </c>
      <c r="J28" s="29">
        <f ca="1">GetFileList("P:\TP et Raccodement\FICHES CREES RACCORDEMENT\2 - SAV + COMPL + PASSAGE W XV A SAISIR DANS AX\27-12-2018\*SAV*.pdf")</f>
        <v>0</v>
      </c>
      <c r="K28" s="30">
        <f ca="1">GetFileList("P:\TP et Raccodement\FICHES CREES RACCORDEMENT\2 - SAV + COMPL + PASSAGE W XV A SAISIR DANS AX\27-12-2018\*COMPLEMENT*.pdf")</f>
        <v>0</v>
      </c>
      <c r="L28" s="31">
        <f ca="1">GetFileList("P:\TP et Raccodement\FICHES CREES RACCORDEMENT\2 - SAV + COMPL + PASSAGE W XV A SAISIR DANS AX\27-12-2018\*REPRISE*.pdf")</f>
        <v>0</v>
      </c>
      <c r="M28" s="32">
        <f ca="1">GetFileList("P:\TP et Raccodement\FICHES CREES RACCORDEMENT\2 - SAV + COMPL + PASSAGE W XV A SAISIR DANS AX\27-12-2018\*REMONTAGE*.pdf")</f>
        <v>0</v>
      </c>
      <c r="N28" s="33"/>
      <c r="O28" s="34">
        <f t="shared" ca="1" si="2"/>
        <v>0</v>
      </c>
    </row>
    <row r="29" spans="1:15" ht="16.5" x14ac:dyDescent="0.3">
      <c r="A29" s="2">
        <v>43462</v>
      </c>
      <c r="B29" s="55">
        <f t="shared" ca="1" si="0"/>
        <v>0</v>
      </c>
      <c r="C29" s="27">
        <f ca="1">GetFileList("P:\TP et Raccodement\FICHES CREES RACCORDEMENT\1 - RACCOS A SAISIR DANS AX\28-12-2018\*LM RACCO*.pdf")</f>
        <v>0</v>
      </c>
      <c r="D29" s="27">
        <f ca="1">GetFileList("P:\TP et Raccodement\FICHES CREES RACCORDEMENT\1 - RACCOS A SAISIR DANS AX\28-12-2018\*LR RACCO*.pdf")</f>
        <v>0</v>
      </c>
      <c r="E29" s="27">
        <f ca="1">GetFileList("P:\TP et Raccodement\FICHES CREES RACCORDEMENT\1 - RACCOS A SAISIR DANS AX\28-12-2018\*CL RACCO*.pdf")</f>
        <v>0</v>
      </c>
      <c r="F29" s="13">
        <f t="shared" ca="1" si="1"/>
        <v>0</v>
      </c>
      <c r="G29" s="27">
        <f ca="1">GetFileList("P:\TP et Raccodement\FICHES CREES RACCORDEMENT\2 - SAV + COMPL + PASSAGE W XV A SAISIR DANS AX\28-12-2018\*LM PASS*.pdf")</f>
        <v>0</v>
      </c>
      <c r="H29" s="27">
        <f ca="1">GetFileList("P:\TP et Raccodement\FICHES CREES RACCORDEMENT\2 - SAV + COMPL + PASSAGE W XV A SAISIR DANS AX\28-12-2018\*LR PASS*.pdf")</f>
        <v>0</v>
      </c>
      <c r="I29" s="27">
        <f ca="1">GetFileList("P:\TP et Raccodement\FICHES CREES RACCORDEMENT\2 - SAV + COMPL + PASSAGE W XV A SAISIR DANS AX\28-12-2018\*CL PASS*.pdf")</f>
        <v>0</v>
      </c>
      <c r="J29" s="29">
        <f ca="1">GetFileList("P:\TP et Raccodement\FICHES CREES RACCORDEMENT\2 - SAV + COMPL + PASSAGE W XV A SAISIR DANS AX\28-12-2018\*SAV*.pdf")</f>
        <v>0</v>
      </c>
      <c r="K29" s="30">
        <f ca="1">GetFileList("P:\TP et Raccodement\FICHES CREES RACCORDEMENT\2 - SAV + COMPL + PASSAGE W XV A SAISIR DANS AX\28-12-2018\*COMPLEMENT*.pdf")</f>
        <v>0</v>
      </c>
      <c r="L29" s="31">
        <f ca="1">GetFileList("P:\TP et Raccodement\FICHES CREES RACCORDEMENT\2 - SAV + COMPL + PASSAGE W XV A SAISIR DANS AX\28-12-2018\*REPRISE*.pdf")</f>
        <v>0</v>
      </c>
      <c r="M29" s="32">
        <f ca="1">GetFileList("P:\TP et Raccodement\FICHES CREES RACCORDEMENT\2 - SAV + COMPL + PASSAGE W XV A SAISIR DANS AX\28-12-2018\*REMONTAGE*.pdf")</f>
        <v>0</v>
      </c>
      <c r="N29" s="33"/>
      <c r="O29" s="34">
        <f t="shared" ca="1" si="2"/>
        <v>0</v>
      </c>
    </row>
    <row r="30" spans="1:15" ht="16.5" x14ac:dyDescent="0.3">
      <c r="A30" s="2">
        <v>43463</v>
      </c>
      <c r="B30" s="55">
        <f t="shared" ca="1" si="0"/>
        <v>0</v>
      </c>
      <c r="C30" s="27">
        <f ca="1">GetFileList("P:\TP et Raccodement\FICHES CREES RACCORDEMENT\1 - RACCOS A SAISIR DANS AX\29-12-2018\*LM RACCO*.pdf")</f>
        <v>0</v>
      </c>
      <c r="D30" s="27">
        <f ca="1">GetFileList("P:\TP et Raccodement\FICHES CREES RACCORDEMENT\1 - RACCOS A SAISIR DANS AX\29-12-2018\*LR RACCO*.pdf")</f>
        <v>0</v>
      </c>
      <c r="E30" s="27">
        <f ca="1">GetFileList("P:\TP et Raccodement\FICHES CREES RACCORDEMENT\1 - RACCOS A SAISIR DANS AX\29-12-2018\*CL RACCO*.pdf")</f>
        <v>0</v>
      </c>
      <c r="F30" s="13">
        <f t="shared" ca="1" si="1"/>
        <v>0</v>
      </c>
      <c r="G30" s="27">
        <f ca="1">GetFileList("P:\TP et Raccodement\FICHES CREES RACCORDEMENT\2 - SAV + COMPL + PASSAGE W XV A SAISIR DANS AX\29-12-2018\*LM PASS*.pdf")</f>
        <v>0</v>
      </c>
      <c r="H30" s="27">
        <f ca="1">GetFileList("P:\TP et Raccodement\FICHES CREES RACCORDEMENT\2 - SAV + COMPL + PASSAGE W XV A SAISIR DANS AX\29-12-2018\*LR PASS*.pdf")</f>
        <v>0</v>
      </c>
      <c r="I30" s="27">
        <f ca="1">GetFileList("P:\TP et Raccodement\FICHES CREES RACCORDEMENT\2 - SAV + COMPL + PASSAGE W XV A SAISIR DANS AX\29-12-2018\*CL PASS*.pdf")</f>
        <v>0</v>
      </c>
      <c r="J30" s="29">
        <f ca="1">GetFileList("P:\TP et Raccodement\FICHES CREES RACCORDEMENT\2 - SAV + COMPL + PASSAGE W XV A SAISIR DANS AX\29-12-2018\*SAV*.pdf")</f>
        <v>0</v>
      </c>
      <c r="K30" s="30">
        <f ca="1">GetFileList("P:\TP et Raccodement\FICHES CREES RACCORDEMENT\2 - SAV + COMPL + PASSAGE W XV A SAISIR DANS AX\29-12-2018\*COMPLEMENT*.pdf")</f>
        <v>0</v>
      </c>
      <c r="L30" s="31">
        <f ca="1">GetFileList("P:\TP et Raccodement\FICHES CREES RACCORDEMENT\2 - SAV + COMPL + PASSAGE W XV A SAISIR DANS AX\29-12-2018\*REPRISE*.pdf")</f>
        <v>0</v>
      </c>
      <c r="M30" s="32">
        <f ca="1">GetFileList("P:\TP et Raccodement\FICHES CREES RACCORDEMENT\2 - SAV + COMPL + PASSAGE W XV A SAISIR DANS AX\29-12-2018\*REMONTAGE*.pdf")</f>
        <v>0</v>
      </c>
      <c r="N30" s="33"/>
      <c r="O30" s="34">
        <f t="shared" ca="1" si="2"/>
        <v>0</v>
      </c>
    </row>
    <row r="31" spans="1:15" ht="16.5" x14ac:dyDescent="0.3">
      <c r="A31" s="2">
        <v>43464</v>
      </c>
      <c r="B31" s="55">
        <f t="shared" ca="1" si="0"/>
        <v>0</v>
      </c>
      <c r="C31" s="27">
        <f ca="1">GetFileList("P:\TP et Raccodement\FICHES CREES RACCORDEMENT\1 - RACCOS A SAISIR DANS AX\30-12-2018\*LM RACCO*.pdf")</f>
        <v>0</v>
      </c>
      <c r="D31" s="27">
        <f ca="1">GetFileList("P:\TP et Raccodement\FICHES CREES RACCORDEMENT\1 - RACCOS A SAISIR DANS AX\30-12-2018\*LR RACCO*.pdf")</f>
        <v>0</v>
      </c>
      <c r="E31" s="27">
        <f ca="1">GetFileList("P:\TP et Raccodement\FICHES CREES RACCORDEMENT\1 - RACCOS A SAISIR DANS AX\30-12-2018\*CL RACCO*.pdf")</f>
        <v>0</v>
      </c>
      <c r="F31" s="13">
        <f t="shared" ca="1" si="1"/>
        <v>0</v>
      </c>
      <c r="G31" s="27">
        <f ca="1">GetFileList("P:\TP et Raccodement\FICHES CREES RACCORDEMENT\2 - SAV + COMPL + PASSAGE W XV A SAISIR DANS AX\30-12-2018\*LM PASS*.pdf")</f>
        <v>0</v>
      </c>
      <c r="H31" s="27">
        <f ca="1">GetFileList("P:\TP et Raccodement\FICHES CREES RACCORDEMENT\2 - SAV + COMPL + PASSAGE W XV A SAISIR DANS AX\30-12-2018\*LR PASS*.pdf")</f>
        <v>0</v>
      </c>
      <c r="I31" s="27">
        <f ca="1">GetFileList("P:\TP et Raccodement\FICHES CREES RACCORDEMENT\2 - SAV + COMPL + PASSAGE W XV A SAISIR DANS AX\30-12-2018\*CL PASS*.pdf")</f>
        <v>0</v>
      </c>
      <c r="J31" s="29">
        <f ca="1">GetFileList("P:\TP et Raccodement\FICHES CREES RACCORDEMENT\2 - SAV + COMPL + PASSAGE W XV A SAISIR DANS AX\30-12-2018\*SAV*.pdf")</f>
        <v>0</v>
      </c>
      <c r="K31" s="30">
        <f ca="1">GetFileList("P:\TP et Raccodement\FICHES CREES RACCORDEMENT\2 - SAV + COMPL + PASSAGE W XV A SAISIR DANS AX\30-12-2018\*COMPLEMENT*.pdf")</f>
        <v>0</v>
      </c>
      <c r="L31" s="31">
        <f ca="1">GetFileList("P:\TP et Raccodement\FICHES CREES RACCORDEMENT\2 - SAV + COMPL + PASSAGE W XV A SAISIR DANS AX\30-12-2018\*REPRISE*.pdf")</f>
        <v>0</v>
      </c>
      <c r="M31" s="32">
        <f ca="1">GetFileList("P:\TP et Raccodement\FICHES CREES RACCORDEMENT\2 - SAV + COMPL + PASSAGE W XV A SAISIR DANS AX\30-12-2018\*REMONTAGE*.pdf")</f>
        <v>0</v>
      </c>
      <c r="N31" s="33"/>
      <c r="O31" s="34">
        <f t="shared" ca="1" si="2"/>
        <v>0</v>
      </c>
    </row>
    <row r="32" spans="1:15" ht="17.25" thickBot="1" x14ac:dyDescent="0.35">
      <c r="A32" s="2">
        <v>43465</v>
      </c>
      <c r="B32" s="56">
        <f t="shared" ca="1" si="0"/>
        <v>0</v>
      </c>
      <c r="C32" s="27">
        <f ca="1">GetFileList("P:\TP et Raccodement\FICHES CREES RACCORDEMENT\1 - RACCOS A SAISIR DANS AX\31-12-2018\*LM RACCO*.pdf")</f>
        <v>0</v>
      </c>
      <c r="D32" s="27">
        <f ca="1">GetFileList("P:\TP et Raccodement\FICHES CREES RACCORDEMENT\1 - RACCOS A SAISIR DANS AX\31-12-2018\*LR RACCO*.pdf")</f>
        <v>0</v>
      </c>
      <c r="E32" s="27">
        <f ca="1">GetFileList("P:\TP et Raccodement\FICHES CREES RACCORDEMENT\1 - RACCOS A SAISIR DANS AX\31-12-2018\*CL RACCO*.pdf")</f>
        <v>0</v>
      </c>
      <c r="F32" s="38">
        <f t="shared" ca="1" si="1"/>
        <v>0</v>
      </c>
      <c r="G32" s="27">
        <f ca="1">GetFileList("P:\TP et Raccodement\FICHES CREES RACCORDEMENT\2 - SAV + COMPL + PASSAGE W XV A SAISIR DANS AX\31-12-2018\*LM PASS*.pdf")</f>
        <v>0</v>
      </c>
      <c r="H32" s="27">
        <f ca="1">GetFileList("P:\TP et Raccodement\FICHES CREES RACCORDEMENT\2 - SAV + COMPL + PASSAGE W XV A SAISIR DANS AX\31-12-2018\*LR PASS*.pdf")</f>
        <v>0</v>
      </c>
      <c r="I32" s="27">
        <f ca="1">GetFileList("P:\TP et Raccodement\FICHES CREES RACCORDEMENT\2 - SAV + COMPL + PASSAGE W XV A SAISIR DANS AX\31-12-2018\*CL PASS*.pdf")</f>
        <v>0</v>
      </c>
      <c r="J32" s="29">
        <f ca="1">GetFileList("P:\TP et Raccodement\FICHES CREES RACCORDEMENT\2 - SAV + COMPL + PASSAGE W XV A SAISIR DANS AX\31-12-2018\*SAV*.pdf")</f>
        <v>0</v>
      </c>
      <c r="K32" s="30">
        <f ca="1">GetFileList("P:\TP et Raccodement\FICHES CREES RACCORDEMENT\2 - SAV + COMPL + PASSAGE W XV A SAISIR DANS AX\31-12-2018\*COMPLEMENT*.pdf")</f>
        <v>0</v>
      </c>
      <c r="L32" s="31">
        <f ca="1">GetFileList("P:\TP et Raccodement\FICHES CREES RACCORDEMENT\2 - SAV + COMPL + PASSAGE W XV A SAISIR DANS AX\31-12-2018\*REPRISE*.pdf")</f>
        <v>0</v>
      </c>
      <c r="M32" s="32">
        <f ca="1">GetFileList("P:\TP et Raccodement\FICHES CREES RACCORDEMENT\2 - SAV + COMPL + PASSAGE W XV A SAISIR DANS AX\31-12-2018\*REMONTAGE*.pdf")</f>
        <v>0</v>
      </c>
      <c r="N32" s="33"/>
      <c r="O32" s="39">
        <f t="shared" ca="1" si="2"/>
        <v>0</v>
      </c>
    </row>
    <row r="33" spans="1:15" ht="17.25" thickBot="1" x14ac:dyDescent="0.35">
      <c r="A33" s="26" t="s">
        <v>10</v>
      </c>
      <c r="B33" s="57">
        <f ca="1">SUM(B2:B32)</f>
        <v>0</v>
      </c>
      <c r="C33" s="17">
        <f t="shared" ref="C33:D33" ca="1" si="3">SUM(C2:C32)</f>
        <v>0</v>
      </c>
      <c r="D33" s="17">
        <f t="shared" ca="1" si="3"/>
        <v>0</v>
      </c>
      <c r="E33" s="17">
        <f ca="1">SUM(E2:E32)</f>
        <v>0</v>
      </c>
      <c r="F33" s="18">
        <f ca="1">SUM(F2:F32)</f>
        <v>0</v>
      </c>
      <c r="G33" s="18">
        <f t="shared" ref="G33:I33" ca="1" si="4">SUM(G2:G32)</f>
        <v>0</v>
      </c>
      <c r="H33" s="18">
        <f t="shared" ca="1" si="4"/>
        <v>0</v>
      </c>
      <c r="I33" s="18">
        <f t="shared" ca="1" si="4"/>
        <v>0</v>
      </c>
      <c r="J33" s="11">
        <f ca="1">SUM(J2:J32)</f>
        <v>0</v>
      </c>
      <c r="K33" s="11">
        <f t="shared" ref="K33:M33" ca="1" si="5">SUM(K2:K32)</f>
        <v>0</v>
      </c>
      <c r="L33" s="11">
        <f t="shared" ca="1" si="5"/>
        <v>0</v>
      </c>
      <c r="M33" s="11">
        <f t="shared" ca="1" si="5"/>
        <v>0</v>
      </c>
      <c r="N33" s="33"/>
      <c r="O33" s="40">
        <f ca="1">SUM(O2:O32)</f>
        <v>0</v>
      </c>
    </row>
  </sheetData>
  <conditionalFormatting sqref="B2:B32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{6C1B08A1-AFFE-485D-92F1-CF12E4E77F73}</x14:id>
        </ext>
      </extLst>
    </cfRule>
  </conditionalFormatting>
  <conditionalFormatting sqref="B4:B8 B11:B15 B18:B22 B25 B27:B29 B32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C1B08A1-AFFE-485D-92F1-CF12E4E77F7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B2:B32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tabColor rgb="FF00B0F0"/>
  </sheetPr>
  <dimension ref="A1:M31"/>
  <sheetViews>
    <sheetView showGridLines="0" showRowColHeaders="0" zoomScaleNormal="100" workbookViewId="0">
      <pane ySplit="1" topLeftCell="A2" activePane="bottomLeft" state="frozen"/>
      <selection pane="bottomLeft" activeCell="P26" sqref="P26"/>
    </sheetView>
  </sheetViews>
  <sheetFormatPr baseColWidth="10" defaultColWidth="9.140625" defaultRowHeight="15" x14ac:dyDescent="0.25"/>
  <cols>
    <col min="1" max="1" width="16.42578125" customWidth="1"/>
    <col min="2" max="2" width="14.28515625" customWidth="1"/>
    <col min="6" max="6" width="10.42578125" customWidth="1"/>
    <col min="11" max="11" width="9.140625" style="1"/>
  </cols>
  <sheetData>
    <row r="1" spans="1:13" ht="41.25" customHeight="1" x14ac:dyDescent="0.25">
      <c r="A1" s="21" t="s">
        <v>12</v>
      </c>
      <c r="B1" s="22" t="s">
        <v>0</v>
      </c>
      <c r="C1" s="23" t="s">
        <v>1</v>
      </c>
      <c r="D1" s="23" t="s">
        <v>2</v>
      </c>
      <c r="E1" s="23" t="s">
        <v>3</v>
      </c>
      <c r="F1" s="22" t="s">
        <v>4</v>
      </c>
      <c r="G1" s="23" t="s">
        <v>5</v>
      </c>
      <c r="H1" s="23" t="s">
        <v>2</v>
      </c>
      <c r="I1" s="23" t="s">
        <v>3</v>
      </c>
      <c r="J1" s="24"/>
      <c r="K1" s="25" t="s">
        <v>10</v>
      </c>
      <c r="L1" s="6" t="s">
        <v>26</v>
      </c>
      <c r="M1" s="53" t="s">
        <v>40</v>
      </c>
    </row>
    <row r="2" spans="1:13" ht="16.5" x14ac:dyDescent="0.3">
      <c r="A2" s="5" t="s">
        <v>28</v>
      </c>
      <c r="B2" s="52">
        <f>'Janvier 2018'!B33</f>
        <v>1070</v>
      </c>
      <c r="C2" s="11">
        <f>'Janvier 2018'!C33</f>
        <v>442</v>
      </c>
      <c r="D2" s="11">
        <f>'Janvier 2018'!D33</f>
        <v>354</v>
      </c>
      <c r="E2" s="11">
        <f>'Janvier 2018'!E33</f>
        <v>274</v>
      </c>
      <c r="F2" s="13">
        <f>'Janvier 2018'!F33</f>
        <v>227</v>
      </c>
      <c r="G2" s="11">
        <f>'Janvier 2018'!G33</f>
        <v>136</v>
      </c>
      <c r="H2" s="11">
        <f>'Janvier 2018'!H33</f>
        <v>89</v>
      </c>
      <c r="I2" s="11">
        <f>'Janvier 2018'!I33</f>
        <v>2</v>
      </c>
      <c r="J2" s="14"/>
      <c r="K2" s="15">
        <f t="shared" ref="K2:K13" si="0">B2+F2</f>
        <v>1297</v>
      </c>
      <c r="L2" s="16">
        <f>AVERAGEIF('Janvier 2018'!B2:B32,"&gt;13")</f>
        <v>47.727272727272727</v>
      </c>
      <c r="M2" s="51">
        <f>(B2-'Année 2017'!B2)</f>
        <v>265</v>
      </c>
    </row>
    <row r="3" spans="1:13" ht="16.5" x14ac:dyDescent="0.3">
      <c r="A3" s="5" t="s">
        <v>29</v>
      </c>
      <c r="B3" s="52">
        <f>'Février 2018'!B30</f>
        <v>999</v>
      </c>
      <c r="C3" s="11">
        <f>'Février 2018'!C30</f>
        <v>406</v>
      </c>
      <c r="D3" s="11">
        <f>'Février 2018'!D30</f>
        <v>346</v>
      </c>
      <c r="E3" s="11">
        <f>'Février 2018'!E30</f>
        <v>247</v>
      </c>
      <c r="F3" s="13">
        <f>'Février 2018'!F30</f>
        <v>173</v>
      </c>
      <c r="G3" s="11">
        <f>'Février 2018'!G30</f>
        <v>97</v>
      </c>
      <c r="H3" s="11">
        <f>'Février 2018'!H30</f>
        <v>71</v>
      </c>
      <c r="I3" s="11">
        <f>'Février 2018'!I30</f>
        <v>5</v>
      </c>
      <c r="J3" s="14"/>
      <c r="K3" s="15">
        <f t="shared" si="0"/>
        <v>1172</v>
      </c>
      <c r="L3" s="16">
        <f>AVERAGEIF('Février 2018'!B2:B29,"&gt;13")</f>
        <v>48.85</v>
      </c>
      <c r="M3" s="51">
        <f>(B3-'Année 2017'!B3)</f>
        <v>240</v>
      </c>
    </row>
    <row r="4" spans="1:13" ht="16.5" x14ac:dyDescent="0.3">
      <c r="A4" s="5" t="s">
        <v>30</v>
      </c>
      <c r="B4" s="52">
        <f>'Mars 2018'!B33</f>
        <v>1150</v>
      </c>
      <c r="C4" s="11">
        <f>'Mars 2018'!C33</f>
        <v>532</v>
      </c>
      <c r="D4" s="11">
        <f>'Mars 2018'!D33</f>
        <v>364</v>
      </c>
      <c r="E4" s="11">
        <f>'Mars 2018'!E33</f>
        <v>254</v>
      </c>
      <c r="F4" s="13">
        <f>'Mars 2018'!F33</f>
        <v>205</v>
      </c>
      <c r="G4" s="11">
        <f>'Mars 2018'!G33</f>
        <v>124</v>
      </c>
      <c r="H4" s="11">
        <f>'Mars 2018'!H33</f>
        <v>80</v>
      </c>
      <c r="I4" s="11">
        <f>'Mars 2018'!I33</f>
        <v>1</v>
      </c>
      <c r="J4" s="14"/>
      <c r="K4" s="15">
        <f t="shared" si="0"/>
        <v>1355</v>
      </c>
      <c r="L4" s="16">
        <f>AVERAGEIF('Mars 2018'!B2:B32,"&gt;13")</f>
        <v>51.136363636363633</v>
      </c>
      <c r="M4" s="51">
        <f>(B4-'Année 2017'!B4)</f>
        <v>158</v>
      </c>
    </row>
    <row r="5" spans="1:13" ht="16.5" x14ac:dyDescent="0.3">
      <c r="A5" s="5" t="s">
        <v>31</v>
      </c>
      <c r="B5" s="52">
        <f>'Avril 2018'!B32</f>
        <v>1113</v>
      </c>
      <c r="C5" s="11">
        <f>'Avril 2018'!C32</f>
        <v>455</v>
      </c>
      <c r="D5" s="11">
        <f>'Avril 2018'!D32</f>
        <v>409</v>
      </c>
      <c r="E5" s="11">
        <f>'Avril 2018'!E32</f>
        <v>249</v>
      </c>
      <c r="F5" s="13">
        <f>'Avril 2018'!F32</f>
        <v>211</v>
      </c>
      <c r="G5" s="11">
        <f>'Avril 2018'!G32</f>
        <v>111</v>
      </c>
      <c r="H5" s="11">
        <f>'Avril 2018'!H32</f>
        <v>97</v>
      </c>
      <c r="I5" s="11">
        <f>'Avril 2018'!I32</f>
        <v>3</v>
      </c>
      <c r="J5" s="14"/>
      <c r="K5" s="15">
        <f t="shared" si="0"/>
        <v>1324</v>
      </c>
      <c r="L5" s="16">
        <f>AVERAGEIF('Avril 2018'!B2:B31,"&gt;13")</f>
        <v>54.45</v>
      </c>
      <c r="M5" s="51">
        <f>(B5-'Année 2017'!B5)</f>
        <v>213</v>
      </c>
    </row>
    <row r="6" spans="1:13" ht="16.5" x14ac:dyDescent="0.3">
      <c r="A6" s="5" t="s">
        <v>32</v>
      </c>
      <c r="B6" s="52">
        <f ca="1">'Mai 2018'!B33</f>
        <v>1049</v>
      </c>
      <c r="C6" s="11">
        <f ca="1">'Mai 2018'!C33</f>
        <v>447</v>
      </c>
      <c r="D6" s="11">
        <f>'Mai 2018'!D33</f>
        <v>372</v>
      </c>
      <c r="E6" s="11">
        <f>'Mai 2018'!E33</f>
        <v>230</v>
      </c>
      <c r="F6" s="13">
        <f>'Mai 2018'!F33</f>
        <v>130</v>
      </c>
      <c r="G6" s="11">
        <f>'Mai 2018'!G33</f>
        <v>63</v>
      </c>
      <c r="H6" s="11">
        <f>'Mai 2018'!H33</f>
        <v>67</v>
      </c>
      <c r="I6" s="11">
        <f>'Mai 2018'!I33</f>
        <v>0</v>
      </c>
      <c r="J6" s="14"/>
      <c r="K6" s="15">
        <f t="shared" ca="1" si="0"/>
        <v>1179</v>
      </c>
      <c r="L6" s="16">
        <f ca="1">AVERAGEIF('Mai 2018'!B2:B32,"&gt;13")</f>
        <v>54.157894736842103</v>
      </c>
      <c r="M6" s="51">
        <f ca="1">(B6-'Année 2017'!B6)</f>
        <v>124</v>
      </c>
    </row>
    <row r="7" spans="1:13" ht="16.5" x14ac:dyDescent="0.3">
      <c r="A7" s="5" t="s">
        <v>33</v>
      </c>
      <c r="B7" s="52">
        <f>'Juin 2018'!B32</f>
        <v>1295</v>
      </c>
      <c r="C7" s="11">
        <f>'Juin 2018'!C32</f>
        <v>504</v>
      </c>
      <c r="D7" s="11">
        <f>'Juin 2018'!D32</f>
        <v>505</v>
      </c>
      <c r="E7" s="11">
        <f>'Juin 2018'!E32</f>
        <v>286</v>
      </c>
      <c r="F7" s="13">
        <f>'Juin 2018'!F32</f>
        <v>165</v>
      </c>
      <c r="G7" s="11">
        <f>'Juin 2018'!G32</f>
        <v>92</v>
      </c>
      <c r="H7" s="11">
        <f>'Juin 2018'!H32</f>
        <v>70</v>
      </c>
      <c r="I7" s="11">
        <f>'Juin 2018'!I32</f>
        <v>3</v>
      </c>
      <c r="J7" s="14"/>
      <c r="K7" s="15">
        <f t="shared" si="0"/>
        <v>1460</v>
      </c>
      <c r="L7" s="16">
        <f>AVERAGEIF('Juin 2018'!B2:B31,"&gt;13")</f>
        <v>60.095238095238095</v>
      </c>
      <c r="M7" s="51">
        <f>(B7-'Année 2017'!B7)</f>
        <v>84</v>
      </c>
    </row>
    <row r="8" spans="1:13" ht="16.5" x14ac:dyDescent="0.3">
      <c r="A8" s="5" t="s">
        <v>34</v>
      </c>
      <c r="B8" s="52">
        <f ca="1">'Juillet 2018'!B33</f>
        <v>1418</v>
      </c>
      <c r="C8" s="11">
        <f ca="1">'Juillet 2018'!C33</f>
        <v>603</v>
      </c>
      <c r="D8" s="11">
        <f ca="1">'Juillet 2018'!D33</f>
        <v>507</v>
      </c>
      <c r="E8" s="11">
        <f ca="1">'Juillet 2018'!E33</f>
        <v>308</v>
      </c>
      <c r="F8" s="13">
        <f ca="1">'Juillet 2018'!F33</f>
        <v>176</v>
      </c>
      <c r="G8" s="11">
        <f ca="1">'Juillet 2018'!G33</f>
        <v>83</v>
      </c>
      <c r="H8" s="11">
        <f ca="1">'Juillet 2018'!H33</f>
        <v>91</v>
      </c>
      <c r="I8" s="11">
        <f ca="1">'Juillet 2018'!I33</f>
        <v>2</v>
      </c>
      <c r="J8" s="14"/>
      <c r="K8" s="15">
        <f t="shared" ca="1" si="0"/>
        <v>1594</v>
      </c>
      <c r="L8" s="16">
        <f ca="1">AVERAGEIF('Juillet 2018'!B2:B32,"&gt;13")</f>
        <v>63.68181818181818</v>
      </c>
      <c r="M8" s="51">
        <f ca="1">(B8-'Année 2017'!B8)</f>
        <v>167</v>
      </c>
    </row>
    <row r="9" spans="1:13" ht="16.5" x14ac:dyDescent="0.3">
      <c r="A9" s="5" t="s">
        <v>35</v>
      </c>
      <c r="B9" s="52">
        <f ca="1">'Aout 2018'!B33</f>
        <v>839</v>
      </c>
      <c r="C9" s="11">
        <f ca="1">'Aout 2018'!C33</f>
        <v>331</v>
      </c>
      <c r="D9" s="11">
        <f ca="1">'Aout 2018'!D33</f>
        <v>312</v>
      </c>
      <c r="E9" s="11">
        <f ca="1">'Aout 2018'!E33</f>
        <v>196</v>
      </c>
      <c r="F9" s="13">
        <f ca="1">'Aout 2018'!F33</f>
        <v>169</v>
      </c>
      <c r="G9" s="11">
        <f ca="1">'Aout 2018'!G33</f>
        <v>95</v>
      </c>
      <c r="H9" s="11">
        <f ca="1">'Aout 2018'!H33</f>
        <v>72</v>
      </c>
      <c r="I9" s="11">
        <f ca="1">'Aout 2018'!I33</f>
        <v>2</v>
      </c>
      <c r="J9" s="14"/>
      <c r="K9" s="15">
        <f t="shared" ca="1" si="0"/>
        <v>1008</v>
      </c>
      <c r="L9" s="16">
        <f ca="1">AVERAGEIF('Aout 2018'!B2:B32,"&gt;13")</f>
        <v>37.81818181818182</v>
      </c>
      <c r="M9" s="51">
        <f ca="1">(B9-'Année 2017'!B9)</f>
        <v>-201</v>
      </c>
    </row>
    <row r="10" spans="1:13" ht="16.5" x14ac:dyDescent="0.3">
      <c r="A10" s="5" t="s">
        <v>36</v>
      </c>
      <c r="B10" s="52">
        <f ca="1">'Septembre 2018'!B32</f>
        <v>821</v>
      </c>
      <c r="C10" s="11">
        <f ca="1">'Septembre 2018'!C32</f>
        <v>310</v>
      </c>
      <c r="D10" s="11">
        <f ca="1">'Septembre 2018'!D32</f>
        <v>303</v>
      </c>
      <c r="E10" s="11">
        <f ca="1">'Septembre 2018'!E32</f>
        <v>208</v>
      </c>
      <c r="F10" s="13">
        <f ca="1">'Septembre 2018'!F32</f>
        <v>167</v>
      </c>
      <c r="G10" s="11">
        <f ca="1">'Septembre 2018'!G32</f>
        <v>92</v>
      </c>
      <c r="H10" s="11">
        <f ca="1">'Septembre 2018'!H32</f>
        <v>72</v>
      </c>
      <c r="I10" s="11">
        <f ca="1">'Septembre 2018'!I32</f>
        <v>3</v>
      </c>
      <c r="J10" s="14"/>
      <c r="K10" s="15">
        <f t="shared" ca="1" si="0"/>
        <v>988</v>
      </c>
      <c r="L10" s="16">
        <f ca="1">AVERAGEIF('Septembre 2018'!B2:B31,"&gt;13")</f>
        <v>40.549999999999997</v>
      </c>
      <c r="M10" s="51">
        <f ca="1">(B10-'Année 2017'!B10)</f>
        <v>-94</v>
      </c>
    </row>
    <row r="11" spans="1:13" ht="16.5" x14ac:dyDescent="0.3">
      <c r="A11" s="5" t="s">
        <v>37</v>
      </c>
      <c r="B11" s="52">
        <f ca="1">'Octobre 2018'!B33</f>
        <v>1050</v>
      </c>
      <c r="C11" s="11">
        <f ca="1">'Octobre 2018'!C33</f>
        <v>447</v>
      </c>
      <c r="D11" s="11">
        <f ca="1">'Octobre 2018'!D33</f>
        <v>354</v>
      </c>
      <c r="E11" s="11">
        <f ca="1">'Octobre 2018'!E33</f>
        <v>249</v>
      </c>
      <c r="F11" s="13">
        <f ca="1">'Octobre 2018'!F33</f>
        <v>257</v>
      </c>
      <c r="G11" s="11">
        <f ca="1">'Octobre 2018'!G33</f>
        <v>149</v>
      </c>
      <c r="H11" s="11">
        <f ca="1">'Octobre 2018'!H33</f>
        <v>104</v>
      </c>
      <c r="I11" s="11">
        <f ca="1">'Octobre 2018'!I33</f>
        <v>4</v>
      </c>
      <c r="J11" s="14"/>
      <c r="K11" s="15">
        <f t="shared" ca="1" si="0"/>
        <v>1307</v>
      </c>
      <c r="L11" s="16">
        <f ca="1">AVERAGEIF('Octobre 2018'!B2:B32,"&gt;13")</f>
        <v>44.826086956521742</v>
      </c>
      <c r="M11" s="51">
        <f ca="1">(B11-'Année 2017'!B11)</f>
        <v>27</v>
      </c>
    </row>
    <row r="12" spans="1:13" ht="16.5" x14ac:dyDescent="0.3">
      <c r="A12" s="5" t="s">
        <v>38</v>
      </c>
      <c r="B12" s="52">
        <f ca="1">'Novembre 2018'!B32</f>
        <v>817</v>
      </c>
      <c r="C12" s="11">
        <f ca="1">'Novembre 2018'!C32</f>
        <v>324</v>
      </c>
      <c r="D12" s="11">
        <f ca="1">'Novembre 2018'!D32</f>
        <v>282</v>
      </c>
      <c r="E12" s="11">
        <f ca="1">'Novembre 2018'!E32</f>
        <v>211</v>
      </c>
      <c r="F12" s="13">
        <f ca="1">'Novembre 2018'!F32</f>
        <v>225</v>
      </c>
      <c r="G12" s="11">
        <f ca="1">'Novembre 2018'!G32</f>
        <v>112</v>
      </c>
      <c r="H12" s="11">
        <f ca="1">'Novembre 2018'!H32</f>
        <v>106</v>
      </c>
      <c r="I12" s="11">
        <f ca="1">'Novembre 2018'!I32</f>
        <v>7</v>
      </c>
      <c r="J12" s="14"/>
      <c r="K12" s="15">
        <f t="shared" ca="1" si="0"/>
        <v>1042</v>
      </c>
      <c r="L12" s="16">
        <f ca="1">AVERAGEIF('Novembre 2018'!B2:B31,"&gt;13")</f>
        <v>42.263157894736842</v>
      </c>
      <c r="M12" s="51">
        <f ca="1">(B12-'Année 2017'!B12)</f>
        <v>-154</v>
      </c>
    </row>
    <row r="13" spans="1:13" ht="17.25" thickBot="1" x14ac:dyDescent="0.35">
      <c r="A13" s="5" t="s">
        <v>39</v>
      </c>
      <c r="B13" s="52">
        <f ca="1">'Décembre 2018'!B33</f>
        <v>0</v>
      </c>
      <c r="C13" s="11">
        <f ca="1">'Décembre 2018'!C33</f>
        <v>0</v>
      </c>
      <c r="D13" s="11">
        <f ca="1">'Décembre 2018'!D33</f>
        <v>0</v>
      </c>
      <c r="E13" s="11">
        <f ca="1">'Décembre 2018'!E33</f>
        <v>0</v>
      </c>
      <c r="F13" s="13">
        <f ca="1">'Décembre 2018'!F33</f>
        <v>0</v>
      </c>
      <c r="G13" s="11">
        <f ca="1">'Décembre 2018'!G33</f>
        <v>0</v>
      </c>
      <c r="H13" s="11">
        <f ca="1">'Décembre 2018'!H33</f>
        <v>0</v>
      </c>
      <c r="I13" s="11">
        <f ca="1">'Décembre 2018'!I33</f>
        <v>0</v>
      </c>
      <c r="J13" s="14"/>
      <c r="K13" s="15">
        <f t="shared" ca="1" si="0"/>
        <v>0</v>
      </c>
      <c r="L13" s="16" t="e">
        <f ca="1">AVERAGEIF('Décembre 2018'!B2:B32,"&gt;13")</f>
        <v>#DIV/0!</v>
      </c>
      <c r="M13" s="51">
        <f ca="1">(B13-'Année 2017'!B13)</f>
        <v>-1107</v>
      </c>
    </row>
    <row r="14" spans="1:13" ht="17.25" thickBot="1" x14ac:dyDescent="0.35">
      <c r="A14" s="26" t="s">
        <v>25</v>
      </c>
      <c r="B14" s="17">
        <f t="shared" ref="B14:I14" ca="1" si="1">B2+B3+B4+B5+B6+B7+B8+B9+B10+B11+B12+B13</f>
        <v>11621</v>
      </c>
      <c r="C14" s="17">
        <f t="shared" ca="1" si="1"/>
        <v>4801</v>
      </c>
      <c r="D14" s="17">
        <f t="shared" ca="1" si="1"/>
        <v>4108</v>
      </c>
      <c r="E14" s="17">
        <f t="shared" ca="1" si="1"/>
        <v>2712</v>
      </c>
      <c r="F14" s="18">
        <f t="shared" ca="1" si="1"/>
        <v>2105</v>
      </c>
      <c r="G14" s="18">
        <f t="shared" ca="1" si="1"/>
        <v>1154</v>
      </c>
      <c r="H14" s="18">
        <f t="shared" ca="1" si="1"/>
        <v>919</v>
      </c>
      <c r="I14" s="18">
        <f t="shared" ca="1" si="1"/>
        <v>32</v>
      </c>
      <c r="J14" s="14"/>
      <c r="K14" s="19">
        <f ca="1">K2+K3+K4+K5+K6+K7+K8+K9+K10+K11+K12+K13</f>
        <v>13726</v>
      </c>
      <c r="L14" s="20">
        <f ca="1">AVERAGEIF(L2:L13,"&lt;&gt;#DIV/0!")</f>
        <v>49.596001276997747</v>
      </c>
      <c r="M14" s="51">
        <f ca="1">(B14-'Année 2017'!B14)</f>
        <v>-278</v>
      </c>
    </row>
    <row r="31" spans="1:12" x14ac:dyDescent="0.25">
      <c r="A31" s="138"/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</row>
  </sheetData>
  <mergeCells count="1">
    <mergeCell ref="A31:L31"/>
  </mergeCells>
  <conditionalFormatting sqref="L2:L13">
    <cfRule type="containsErrors" dxfId="17" priority="9">
      <formula>ISERROR(L2)</formula>
    </cfRule>
  </conditionalFormatting>
  <conditionalFormatting sqref="M2:M14">
    <cfRule type="cellIs" dxfId="16" priority="3" operator="lessThan">
      <formula>0</formula>
    </cfRule>
    <cfRule type="cellIs" dxfId="15" priority="4" operator="greaterThan">
      <formula>0</formula>
    </cfRule>
  </conditionalFormatting>
  <conditionalFormatting sqref="B2:B13">
    <cfRule type="iconSet" priority="1">
      <iconSet iconSet="3Symbols2">
        <cfvo type="percent" val="0"/>
        <cfvo type="percent" val="33"/>
        <cfvo type="percent" val="67"/>
      </iconSet>
    </cfRule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{3525DF58-5408-45A2-BA18-88AB891AF6F9}</x14:id>
        </ext>
      </extLst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deprotection">
                <anchor moveWithCells="1">
                  <from>
                    <xdr:col>13</xdr:col>
                    <xdr:colOff>47625</xdr:colOff>
                    <xdr:row>0</xdr:row>
                    <xdr:rowOff>38100</xdr:rowOff>
                  </from>
                  <to>
                    <xdr:col>15</xdr:col>
                    <xdr:colOff>152400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5" name="Button 2">
              <controlPr defaultSize="0" print="0" autoFill="0" autoPict="0" macro="[0]!protection">
                <anchor moveWithCells="1">
                  <from>
                    <xdr:col>13</xdr:col>
                    <xdr:colOff>57150</xdr:colOff>
                    <xdr:row>0</xdr:row>
                    <xdr:rowOff>276225</xdr:rowOff>
                  </from>
                  <to>
                    <xdr:col>15</xdr:col>
                    <xdr:colOff>152400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525DF58-5408-45A2-BA18-88AB891AF6F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B2:B13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7030A0"/>
  </sheetPr>
  <dimension ref="A1:P33"/>
  <sheetViews>
    <sheetView showGridLines="0" showRowColHeaders="0" zoomScaleNormal="100" workbookViewId="0">
      <pane ySplit="1" topLeftCell="A2" activePane="bottomLeft" state="frozen"/>
      <selection pane="bottomLeft" activeCell="M33" sqref="M33"/>
    </sheetView>
  </sheetViews>
  <sheetFormatPr baseColWidth="10" defaultColWidth="9.140625" defaultRowHeight="15" x14ac:dyDescent="0.25"/>
  <cols>
    <col min="1" max="1" width="12.140625" customWidth="1"/>
    <col min="2" max="2" width="14.85546875" bestFit="1" customWidth="1"/>
    <col min="6" max="6" width="13.42578125" customWidth="1"/>
    <col min="13" max="13" width="12.28515625" bestFit="1" customWidth="1"/>
    <col min="14" max="14" width="0.85546875" customWidth="1"/>
    <col min="15" max="15" width="9.140625" style="1"/>
    <col min="16" max="16" width="10.7109375" bestFit="1" customWidth="1"/>
  </cols>
  <sheetData>
    <row r="1" spans="1:16" ht="31.5" customHeight="1" x14ac:dyDescent="0.25">
      <c r="A1" s="58" t="s">
        <v>11</v>
      </c>
      <c r="B1" s="66" t="s">
        <v>41</v>
      </c>
      <c r="C1" s="64" t="s">
        <v>1</v>
      </c>
      <c r="D1" s="64" t="s">
        <v>2</v>
      </c>
      <c r="E1" s="65" t="s">
        <v>3</v>
      </c>
      <c r="F1" s="71" t="s">
        <v>42</v>
      </c>
      <c r="G1" s="84" t="s">
        <v>5</v>
      </c>
      <c r="H1" s="84" t="s">
        <v>2</v>
      </c>
      <c r="I1" s="85" t="s">
        <v>3</v>
      </c>
      <c r="J1" s="63" t="s">
        <v>43</v>
      </c>
      <c r="K1" s="64" t="s">
        <v>44</v>
      </c>
      <c r="L1" s="64" t="s">
        <v>45</v>
      </c>
      <c r="M1" s="65" t="s">
        <v>46</v>
      </c>
      <c r="N1" s="60"/>
      <c r="O1" s="71" t="s">
        <v>10</v>
      </c>
    </row>
    <row r="2" spans="1:16" ht="16.5" x14ac:dyDescent="0.3">
      <c r="A2" s="88">
        <v>43466</v>
      </c>
      <c r="B2" s="89">
        <f ca="1">C2+D2+E2</f>
        <v>0</v>
      </c>
      <c r="C2" s="90">
        <f ca="1">GetFileList("P:\TP et Raccodement\FICHES CREES RACCORDEMENT\1 - RACCOS A SAISIR DANS AX\01-01-2019\*LM RACCO*.pdf")</f>
        <v>0</v>
      </c>
      <c r="D2" s="90">
        <f ca="1">GetFileList("P:\TP et Raccodement\FICHES CREES RACCORDEMENT\1 - RACCOS A SAISIR DANS AX\01-01-2019\*LR RACCO*.pdf")</f>
        <v>0</v>
      </c>
      <c r="E2" s="90">
        <f ca="1">GetFileList("P:\TP et Raccodement\FICHES CREES RACCORDEMENT\1 - RACCOS A SAISIR DANS AX\01-01-2019\*CL RACCO*.pdf")</f>
        <v>0</v>
      </c>
      <c r="F2" s="92">
        <f ca="1">G2+H2+I2</f>
        <v>0</v>
      </c>
      <c r="G2" s="90">
        <f ca="1">GetFileList("P:\TP et Raccodement\FICHES CREES RACCORDEMENT\2 - SAV + COMPL + PASSAGE W XV A SAISIR DANS AX\01-01-2019\*LM PASS*.pdf")</f>
        <v>0</v>
      </c>
      <c r="H2" s="90">
        <f ca="1">GetFileList("P:\TP et Raccodement\FICHES CREES RACCORDEMENT\2 - SAV + COMPL + PASSAGE W XV A SAISIR DANS AX\01-01-2019\*LR PASS*.pdf")</f>
        <v>0</v>
      </c>
      <c r="I2" s="91">
        <f ca="1">GetFileList("P:\TP et Raccodement\FICHES CREES RACCORDEMENT\2 - SAV + COMPL + PASSAGE W XV A SAISIR DANS AX\01-01-2019\*CL PASS*.pdf")</f>
        <v>0</v>
      </c>
      <c r="J2" s="105">
        <f ca="1">GetFileList("P:\TP et Raccodement\FICHES CREES RACCORDEMENT\2 - SAV + COMPL + PASSAGE W XV A SAISIR DANS AX\01-01-2019\*SAV*.pdf")</f>
        <v>0</v>
      </c>
      <c r="K2" s="94">
        <f ca="1">GetFileList("P:\TP et Raccodement\FICHES CREES RACCORDEMENT\2 - SAV + COMPL + PASSAGE W XV A SAISIR DANS AX\01-01-2019\*COMPLEMENT*.pdf")</f>
        <v>0</v>
      </c>
      <c r="L2" s="94">
        <f ca="1">GetFileList("P:\TP et Raccodement\FICHES CREES RACCORDEMENT\2 - SAV + COMPL + PASSAGE W XV A SAISIR DANS AX\01-01-2019\*REPRISE*.pdf")</f>
        <v>0</v>
      </c>
      <c r="M2" s="94">
        <f ca="1">GetFileList("P:\TP et Raccodement\FICHES CREES RACCORDEMENT\2 - SAV + COMPL + PASSAGE W XV A SAISIR DANS AX\01-01-2019\*REMONTAGE*.pdf")</f>
        <v>0</v>
      </c>
      <c r="N2" s="61"/>
      <c r="O2" s="73">
        <f ca="1">B2+F2+J2+K2+L2+M2</f>
        <v>0</v>
      </c>
      <c r="P2" s="54"/>
    </row>
    <row r="3" spans="1:16" ht="16.5" x14ac:dyDescent="0.3">
      <c r="A3" s="59">
        <v>43467</v>
      </c>
      <c r="B3" s="74">
        <f t="shared" ref="B3:B32" ca="1" si="0">C3+D3+E3</f>
        <v>0</v>
      </c>
      <c r="C3" s="67">
        <f ca="1">GetFileList("P:\TP et Raccodement\FICHES CREES RACCORDEMENT\1 - RACCOS A SAISIR DANS AX\02-01-2019\*LM RACCO*.pdf")</f>
        <v>0</v>
      </c>
      <c r="D3" s="67">
        <f ca="1">GetFileList("P:\TP et Raccodement\FICHES CREES RACCORDEMENT\1 - RACCOS A SAISIR DANS AX\02-01-2019\*LR RACCO*.pdf")</f>
        <v>0</v>
      </c>
      <c r="E3" s="67">
        <f ca="1">GetFileList("P:\TP et Raccodement\FICHES CREES RACCORDEMENT\1 - RACCOS A SAISIR DANS AX\02-01-2019\*CL RACCO*.pdf")</f>
        <v>0</v>
      </c>
      <c r="F3" s="75">
        <f ca="1">G3+H3+I3</f>
        <v>0</v>
      </c>
      <c r="G3" s="67">
        <f ca="1">GetFileList("P:\TP et Raccodement\FICHES CREES RACCORDEMENT\2 - SAV + COMPL + PASSAGE W XV A SAISIR DANS AX\02-01-2019\*LM PASS*.pdf")</f>
        <v>0</v>
      </c>
      <c r="H3" s="67">
        <f ca="1">GetFileList("P:\TP et Raccodement\FICHES CREES RACCORDEMENT\2 - SAV + COMPL + PASSAGE W XV A SAISIR DANS AX\02-01-2019\*LR PASS*.pdf")</f>
        <v>0</v>
      </c>
      <c r="I3" s="68">
        <f ca="1">GetFileList("P:\TP et Raccodement\FICHES CREES RACCORDEMENT\2 - SAV + COMPL + PASSAGE W XV A SAISIR DANS AX\02-01-2019\*CL PASS*.pdf")</f>
        <v>0</v>
      </c>
      <c r="J3" s="106">
        <f ca="1">GetFileList("P:\TP et Raccodement\FICHES CREES RACCORDEMENT\2 - SAV + COMPL + PASSAGE W XV A SAISIR DANS AX\02-01-2019\*SAV*.pdf")</f>
        <v>0</v>
      </c>
      <c r="K3" s="77">
        <f ca="1">GetFileList("P:\TP et Raccodement\FICHES CREES RACCORDEMENT\2 - SAV + COMPL + PASSAGE W XV A SAISIR DANS AX\02-01-2019\*COMPLEMENT*.pdf")</f>
        <v>0</v>
      </c>
      <c r="L3" s="77">
        <f ca="1">GetFileList("P:\TP et Raccodement\FICHES CREES RACCORDEMENT\2 - SAV + COMPL + PASSAGE W XV A SAISIR DANS AX\02-01-2019\*REPRISE*.pdf")</f>
        <v>0</v>
      </c>
      <c r="M3" s="77">
        <f ca="1">GetFileList("P:\TP et Raccodement\FICHES CREES RACCORDEMENT\2 - SAV + COMPL + PASSAGE W XV A SAISIR DANS AX\02-01-2019\*REMONTAGE*.pdf")</f>
        <v>0</v>
      </c>
      <c r="N3" s="61"/>
      <c r="O3" s="73">
        <f t="shared" ref="O3:O32" ca="1" si="1">B3+F3+J3+K3+L3+M3</f>
        <v>0</v>
      </c>
    </row>
    <row r="4" spans="1:16" ht="16.5" x14ac:dyDescent="0.3">
      <c r="A4" s="59">
        <v>43468</v>
      </c>
      <c r="B4" s="74">
        <f t="shared" ca="1" si="0"/>
        <v>0</v>
      </c>
      <c r="C4" s="67">
        <f ca="1">GetFileList("P:\TP et Raccodement\FICHES CREES RACCORDEMENT\1 - RACCOS A SAISIR DANS AX\03-01-2019\*LM RACCO*.pdf")</f>
        <v>0</v>
      </c>
      <c r="D4" s="67">
        <f ca="1">GetFileList("P:\TP et Raccodement\FICHES CREES RACCORDEMENT\1 - RACCOS A SAISIR DANS AX\03-01-2019\*LR RACCO*.pdf")</f>
        <v>0</v>
      </c>
      <c r="E4" s="67">
        <f ca="1">GetFileList("P:\TP et Raccodement\FICHES CREES RACCORDEMENT\1 - RACCOS A SAISIR DANS AX\03-01-2019\*CL RACCO*.pdf")</f>
        <v>0</v>
      </c>
      <c r="F4" s="75">
        <f t="shared" ref="F4:F32" ca="1" si="2">G4+H4+I4</f>
        <v>0</v>
      </c>
      <c r="G4" s="67">
        <f ca="1">GetFileList("P:\TP et Raccodement\FICHES CREES RACCORDEMENT\2 - SAV + COMPL + PASSAGE W XV A SAISIR DANS AX\03-01-2019\*LM PASS*.pdf")</f>
        <v>0</v>
      </c>
      <c r="H4" s="67">
        <f ca="1">GetFileList("P:\TP et Raccodement\FICHES CREES RACCORDEMENT\2 - SAV + COMPL + PASSAGE W XV A SAISIR DANS AX\03-01-2019\*LR PASS*.pdf")</f>
        <v>0</v>
      </c>
      <c r="I4" s="68">
        <f ca="1">GetFileList("P:\TP et Raccodement\FICHES CREES RACCORDEMENT\2 - SAV + COMPL + PASSAGE W XV A SAISIR DANS AX\03-01-2019\*CL PASS*.pdf")</f>
        <v>0</v>
      </c>
      <c r="J4" s="106">
        <f ca="1">GetFileList("P:\TP et Raccodement\FICHES CREES RACCORDEMENT\2 - SAV + COMPL + PASSAGE W XV A SAISIR DANS AX\03-01-2019\*SAV*.pdf")</f>
        <v>0</v>
      </c>
      <c r="K4" s="77">
        <f ca="1">GetFileList("P:\TP et Raccodement\FICHES CREES RACCORDEMENT\2 - SAV + COMPL + PASSAGE W XV A SAISIR DANS AX\03-01-2019\*COMPLEMENT*.pdf")</f>
        <v>0</v>
      </c>
      <c r="L4" s="77">
        <f ca="1">GetFileList("P:\TP et Raccodement\FICHES CREES RACCORDEMENT\2 - SAV + COMPL + PASSAGE W XV A SAISIR DANS AX\03-01-2019\*REPRISE*.pdf")</f>
        <v>0</v>
      </c>
      <c r="M4" s="77">
        <f ca="1">GetFileList("P:\TP et Raccodement\FICHES CREES RACCORDEMENT\2 - SAV + COMPL + PASSAGE W XV A SAISIR DANS AX\03-01-2019\*REMONTAGE*.pdf")</f>
        <v>0</v>
      </c>
      <c r="N4" s="61"/>
      <c r="O4" s="73">
        <f t="shared" ca="1" si="1"/>
        <v>0</v>
      </c>
    </row>
    <row r="5" spans="1:16" ht="16.5" x14ac:dyDescent="0.3">
      <c r="A5" s="59">
        <v>43469</v>
      </c>
      <c r="B5" s="74">
        <f t="shared" ca="1" si="0"/>
        <v>0</v>
      </c>
      <c r="C5" s="67">
        <f ca="1">GetFileList("P:\TP et Raccodement\FICHES CREES RACCORDEMENT\1 - RACCOS A SAISIR DANS AX\04-01-2019\*LM RACCO*.pdf")</f>
        <v>0</v>
      </c>
      <c r="D5" s="67">
        <f ca="1">GetFileList("P:\TP et Raccodement\FICHES CREES RACCORDEMENT\1 - RACCOS A SAISIR DANS AX\04-01-2019\*LR RACCO*.pdf")</f>
        <v>0</v>
      </c>
      <c r="E5" s="67">
        <f ca="1">GetFileList("P:\TP et Raccodement\FICHES CREES RACCORDEMENT\1 - RACCOS A SAISIR DANS AX\04-01-2019\*CL RACCO*.pdf")</f>
        <v>0</v>
      </c>
      <c r="F5" s="75">
        <f t="shared" ca="1" si="2"/>
        <v>0</v>
      </c>
      <c r="G5" s="67">
        <f ca="1">GetFileList("P:\TP et Raccodement\FICHES CREES RACCORDEMENT\2 - SAV + COMPL + PASSAGE W XV A SAISIR DANS AX\04-01-2019\*LM PASS*.pdf")</f>
        <v>0</v>
      </c>
      <c r="H5" s="67">
        <f ca="1">GetFileList("P:\TP et Raccodement\FICHES CREES RACCORDEMENT\2 - SAV + COMPL + PASSAGE W XV A SAISIR DANS AX\04-01-2019\*LR PASS*.pdf")</f>
        <v>0</v>
      </c>
      <c r="I5" s="68">
        <f ca="1">GetFileList("P:\TP et Raccodement\FICHES CREES RACCORDEMENT\2 - SAV + COMPL + PASSAGE W XV A SAISIR DANS AX\04-01-2019\*CL PASS*.pdf")</f>
        <v>0</v>
      </c>
      <c r="J5" s="106">
        <f ca="1">GetFileList("P:\TP et Raccodement\FICHES CREES RACCORDEMENT\2 - SAV + COMPL + PASSAGE W XV A SAISIR DANS AX\04-01-2019\*SAV*.pdf")</f>
        <v>0</v>
      </c>
      <c r="K5" s="77">
        <f ca="1">GetFileList("P:\TP et Raccodement\FICHES CREES RACCORDEMENT\2 - SAV + COMPL + PASSAGE W XV A SAISIR DANS AX\04-01-2019\*COMPLEMENT*.pdf")</f>
        <v>0</v>
      </c>
      <c r="L5" s="77">
        <f ca="1">GetFileList("P:\TP et Raccodement\FICHES CREES RACCORDEMENT\2 - SAV + COMPL + PASSAGE W XV A SAISIR DANS AX\04-01-2019\*REPRISE*.pdf")</f>
        <v>0</v>
      </c>
      <c r="M5" s="77">
        <f ca="1">GetFileList("P:\TP et Raccodement\FICHES CREES RACCORDEMENT\2 - SAV + COMPL + PASSAGE W XV A SAISIR DANS AX\04-01-2019\*REMONTAGE*.pdf")</f>
        <v>0</v>
      </c>
      <c r="N5" s="61"/>
      <c r="O5" s="73">
        <f t="shared" ca="1" si="1"/>
        <v>0</v>
      </c>
    </row>
    <row r="6" spans="1:16" ht="16.5" x14ac:dyDescent="0.3">
      <c r="A6" s="59">
        <v>43470</v>
      </c>
      <c r="B6" s="74">
        <f t="shared" ca="1" si="0"/>
        <v>0</v>
      </c>
      <c r="C6" s="67">
        <f ca="1">GetFileList("P:\TP et Raccodement\FICHES CREES RACCORDEMENT\1 - RACCOS A SAISIR DANS AX\05-01-2019\*LM RACCO*.pdf")</f>
        <v>0</v>
      </c>
      <c r="D6" s="67">
        <f ca="1">GetFileList("P:\TP et Raccodement\FICHES CREES RACCORDEMENT\1 - RACCOS A SAISIR DANS AX\05-01-2019\*LR RACCO*.pdf")</f>
        <v>0</v>
      </c>
      <c r="E6" s="67">
        <f ca="1">GetFileList("P:\TP et Raccodement\FICHES CREES RACCORDEMENT\1 - RACCOS A SAISIR DANS AX\05-01-2019\*CL RACCO*.pdf")</f>
        <v>0</v>
      </c>
      <c r="F6" s="75">
        <f t="shared" ca="1" si="2"/>
        <v>0</v>
      </c>
      <c r="G6" s="67">
        <f ca="1">GetFileList("P:\TP et Raccodement\FICHES CREES RACCORDEMENT\2 - SAV + COMPL + PASSAGE W XV A SAISIR DANS AX\05-01-2019\*LM PASS*.pdf")</f>
        <v>0</v>
      </c>
      <c r="H6" s="67">
        <f ca="1">GetFileList("P:\TP et Raccodement\FICHES CREES RACCORDEMENT\2 - SAV + COMPL + PASSAGE W XV A SAISIR DANS AX\05-01-2019\*LR PASS*.pdf")</f>
        <v>0</v>
      </c>
      <c r="I6" s="68">
        <f ca="1">GetFileList("P:\TP et Raccodement\FICHES CREES RACCORDEMENT\2 - SAV + COMPL + PASSAGE W XV A SAISIR DANS AX\05-01-2019\*CL PASS*.pdf")</f>
        <v>0</v>
      </c>
      <c r="J6" s="106">
        <f ca="1">GetFileList("P:\TP et Raccodement\FICHES CREES RACCORDEMENT\2 - SAV + COMPL + PASSAGE W XV A SAISIR DANS AX\05-01-2019\*SAV*.pdf")</f>
        <v>0</v>
      </c>
      <c r="K6" s="77">
        <f ca="1">GetFileList("P:\TP et Raccodement\FICHES CREES RACCORDEMENT\2 - SAV + COMPL + PASSAGE W XV A SAISIR DANS AX\05-01-2019\*COMPLEMENT*.pdf")</f>
        <v>0</v>
      </c>
      <c r="L6" s="77">
        <f ca="1">GetFileList("P:\TP et Raccodement\FICHES CREES RACCORDEMENT\2 - SAV + COMPL + PASSAGE W XV A SAISIR DANS AX\05-01-2019\*REPRISE*.pdf")</f>
        <v>0</v>
      </c>
      <c r="M6" s="77">
        <f ca="1">GetFileList("P:\TP et Raccodement\FICHES CREES RACCORDEMENT\2 - SAV + COMPL + PASSAGE W XV A SAISIR DANS AX\05-01-2019\*REMONTAGE*.pdf")</f>
        <v>0</v>
      </c>
      <c r="N6" s="61"/>
      <c r="O6" s="73">
        <f t="shared" ca="1" si="1"/>
        <v>0</v>
      </c>
    </row>
    <row r="7" spans="1:16" ht="16.5" x14ac:dyDescent="0.3">
      <c r="A7" s="88">
        <v>43471</v>
      </c>
      <c r="B7" s="89">
        <f t="shared" ca="1" si="0"/>
        <v>0</v>
      </c>
      <c r="C7" s="90">
        <f ca="1">GetFileList("P:\TP et Raccodement\FICHES CREES RACCORDEMENT\1 - RACCOS A SAISIR DANS AX\06-01-2019\*LM RACCO*.pdf")</f>
        <v>0</v>
      </c>
      <c r="D7" s="90">
        <f ca="1">GetFileList("P:\TP et Raccodement\FICHES CREES RACCORDEMENT\1 - RACCOS A SAISIR DANS AX\06-01-2019\*LR RACCO*.pdf")</f>
        <v>0</v>
      </c>
      <c r="E7" s="90">
        <f ca="1">GetFileList("P:\TP et Raccodement\FICHES CREES RACCORDEMENT\1 - RACCOS A SAISIR DANS AX\06-01-2019\*CL RACCO*.pdf")</f>
        <v>0</v>
      </c>
      <c r="F7" s="92">
        <f t="shared" ca="1" si="2"/>
        <v>0</v>
      </c>
      <c r="G7" s="90">
        <f ca="1">GetFileList("P:\TP et Raccodement\FICHES CREES RACCORDEMENT\2 - SAV + COMPL + PASSAGE W XV A SAISIR DANS AX\06-01-2019\*LM PASS*.pdf")</f>
        <v>0</v>
      </c>
      <c r="H7" s="90">
        <f ca="1">GetFileList("P:\TP et Raccodement\FICHES CREES RACCORDEMENT\2 - SAV + COMPL + PASSAGE W XV A SAISIR DANS AX\06-01-2019\*LR PASS*.pdf")</f>
        <v>0</v>
      </c>
      <c r="I7" s="91">
        <f ca="1">GetFileList("P:\TP et Raccodement\FICHES CREES RACCORDEMENT\2 - SAV + COMPL + PASSAGE W XV A SAISIR DANS AX\06-01-2019\*CL PASS*.pdf")</f>
        <v>0</v>
      </c>
      <c r="J7" s="105">
        <f ca="1">GetFileList("P:\TP et Raccodement\FICHES CREES RACCORDEMENT\2 - SAV + COMPL + PASSAGE W XV A SAISIR DANS AX\06-01-2019\*SAV*.pdf")</f>
        <v>0</v>
      </c>
      <c r="K7" s="94">
        <f ca="1">GetFileList("P:\TP et Raccodement\FICHES CREES RACCORDEMENT\2 - SAV + COMPL + PASSAGE W XV A SAISIR DANS AX\06-01-2019\*COMPLEMENT*.pdf")</f>
        <v>0</v>
      </c>
      <c r="L7" s="94">
        <f ca="1">GetFileList("P:\TP et Raccodement\FICHES CREES RACCORDEMENT\2 - SAV + COMPL + PASSAGE W XV A SAISIR DANS AX\06-01-2019\*REPRISE*.pdf")</f>
        <v>0</v>
      </c>
      <c r="M7" s="94">
        <f ca="1">GetFileList("P:\TP et Raccodement\FICHES CREES RACCORDEMENT\2 - SAV + COMPL + PASSAGE W XV A SAISIR DANS AX\06-01-2019\*REMONTAGE*.pdf")</f>
        <v>0</v>
      </c>
      <c r="N7" s="61"/>
      <c r="O7" s="73">
        <f t="shared" ca="1" si="1"/>
        <v>0</v>
      </c>
    </row>
    <row r="8" spans="1:16" ht="16.5" x14ac:dyDescent="0.3">
      <c r="A8" s="59">
        <v>43472</v>
      </c>
      <c r="B8" s="74">
        <f t="shared" ca="1" si="0"/>
        <v>0</v>
      </c>
      <c r="C8" s="67">
        <f ca="1">GetFileList("P:\TP et Raccodement\FICHES CREES RACCORDEMENT\1 - RACCOS A SAISIR DANS AX\07-01-2019\*LM RACCO*.pdf")</f>
        <v>0</v>
      </c>
      <c r="D8" s="67">
        <f ca="1">GetFileList("P:\TP et Raccodement\FICHES CREES RACCORDEMENT\1 - RACCOS A SAISIR DANS AX\07-01-2019\*LR RACCO*.pdf")</f>
        <v>0</v>
      </c>
      <c r="E8" s="67">
        <f ca="1">GetFileList("P:\TP et Raccodement\FICHES CREES RACCORDEMENT\1 - RACCOS A SAISIR DANS AX\07-01-2019\*CL RACCO*.pdf")</f>
        <v>0</v>
      </c>
      <c r="F8" s="75">
        <f t="shared" ca="1" si="2"/>
        <v>0</v>
      </c>
      <c r="G8" s="67">
        <f ca="1">GetFileList("P:\TP et Raccodement\FICHES CREES RACCORDEMENT\2 - SAV + COMPL + PASSAGE W XV A SAISIR DANS AX\07-01-2019\*LM PASS*.pdf")</f>
        <v>0</v>
      </c>
      <c r="H8" s="67">
        <f ca="1">GetFileList("P:\TP et Raccodement\FICHES CREES RACCORDEMENT\2 - SAV + COMPL + PASSAGE W XV A SAISIR DANS AX\07-01-2019\*LR PASS*.pdf")</f>
        <v>0</v>
      </c>
      <c r="I8" s="68">
        <f ca="1">GetFileList("P:\TP et Raccodement\FICHES CREES RACCORDEMENT\2 - SAV + COMPL + PASSAGE W XV A SAISIR DANS AX\07-01-2019\*CL PASS*.pdf")</f>
        <v>0</v>
      </c>
      <c r="J8" s="106">
        <f ca="1">GetFileList("P:\TP et Raccodement\FICHES CREES RACCORDEMENT\2 - SAV + COMPL + PASSAGE W XV A SAISIR DANS AX\07-01-2019\*SAV*.pdf")</f>
        <v>0</v>
      </c>
      <c r="K8" s="77">
        <f ca="1">GetFileList("P:\TP et Raccodement\FICHES CREES RACCORDEMENT\2 - SAV + COMPL + PASSAGE W XV A SAISIR DANS AX\07-01-2019\*COMPLEMENT*.pdf")</f>
        <v>0</v>
      </c>
      <c r="L8" s="77">
        <f ca="1">GetFileList("P:\TP et Raccodement\FICHES CREES RACCORDEMENT\2 - SAV + COMPL + PASSAGE W XV A SAISIR DANS AX\07-01-2019\*REPRISE*.pdf")</f>
        <v>0</v>
      </c>
      <c r="M8" s="77">
        <f ca="1">GetFileList("P:\TP et Raccodement\FICHES CREES RACCORDEMENT\2 - SAV + COMPL + PASSAGE W XV A SAISIR DANS AX\07-01-2019\*REMONTAGE*.pdf")</f>
        <v>0</v>
      </c>
      <c r="N8" s="61"/>
      <c r="O8" s="73">
        <f t="shared" ca="1" si="1"/>
        <v>0</v>
      </c>
    </row>
    <row r="9" spans="1:16" ht="16.5" x14ac:dyDescent="0.3">
      <c r="A9" s="59">
        <v>43473</v>
      </c>
      <c r="B9" s="74">
        <f t="shared" ca="1" si="0"/>
        <v>0</v>
      </c>
      <c r="C9" s="67">
        <f ca="1">GetFileList("P:\TP et Raccodement\FICHES CREES RACCORDEMENT\1 - RACCOS A SAISIR DANS AX\08-01-2019\*LM RACCO*.pdf")</f>
        <v>0</v>
      </c>
      <c r="D9" s="67">
        <f ca="1">GetFileList("P:\TP et Raccodement\FICHES CREES RACCORDEMENT\1 - RACCOS A SAISIR DANS AX\08-01-2019\*LR RACCO*.pdf")</f>
        <v>0</v>
      </c>
      <c r="E9" s="67">
        <f ca="1">GetFileList("P:\TP et Raccodement\FICHES CREES RACCORDEMENT\1 - RACCOS A SAISIR DANS AX\08-01-2019\*CL RACCO*.pdf")</f>
        <v>0</v>
      </c>
      <c r="F9" s="75">
        <f t="shared" ca="1" si="2"/>
        <v>0</v>
      </c>
      <c r="G9" s="67">
        <f ca="1">GetFileList("P:\TP et Raccodement\FICHES CREES RACCORDEMENT\2 - SAV + COMPL + PASSAGE W XV A SAISIR DANS AX\08-01-2019\*LM PASS*.pdf")</f>
        <v>0</v>
      </c>
      <c r="H9" s="67">
        <f ca="1">GetFileList("P:\TP et Raccodement\FICHES CREES RACCORDEMENT\2 - SAV + COMPL + PASSAGE W XV A SAISIR DANS AX\08-01-2019\*LR PASS*.pdf")</f>
        <v>0</v>
      </c>
      <c r="I9" s="68">
        <f ca="1">GetFileList("P:\TP et Raccodement\FICHES CREES RACCORDEMENT\2 - SAV + COMPL + PASSAGE W XV A SAISIR DANS AX\08-01-2019\*CL PASS*.pdf")</f>
        <v>0</v>
      </c>
      <c r="J9" s="106">
        <f ca="1">GetFileList("P:\TP et Raccodement\FICHES CREES RACCORDEMENT\2 - SAV + COMPL + PASSAGE W XV A SAISIR DANS AX\08-01-2019\*SAV*.pdf")</f>
        <v>0</v>
      </c>
      <c r="K9" s="77">
        <f ca="1">GetFileList("P:\TP et Raccodement\FICHES CREES RACCORDEMENT\2 - SAV + COMPL + PASSAGE W XV A SAISIR DANS AX\08-01-2019\*COMPLEMENT*.pdf")</f>
        <v>0</v>
      </c>
      <c r="L9" s="77">
        <f ca="1">GetFileList("P:\TP et Raccodement\FICHES CREES RACCORDEMENT\2 - SAV + COMPL + PASSAGE W XV A SAISIR DANS AX\08-01-2019\*REPRISE*.pdf")</f>
        <v>0</v>
      </c>
      <c r="M9" s="77">
        <f ca="1">GetFileList("P:\TP et Raccodement\FICHES CREES RACCORDEMENT\2 - SAV + COMPL + PASSAGE W XV A SAISIR DANS AX\08-01-2019\*REMONTAGE*.pdf")</f>
        <v>0</v>
      </c>
      <c r="N9" s="61"/>
      <c r="O9" s="73">
        <f t="shared" ca="1" si="1"/>
        <v>0</v>
      </c>
    </row>
    <row r="10" spans="1:16" ht="16.5" x14ac:dyDescent="0.3">
      <c r="A10" s="59">
        <v>43474</v>
      </c>
      <c r="B10" s="74">
        <f t="shared" ca="1" si="0"/>
        <v>0</v>
      </c>
      <c r="C10" s="67">
        <f ca="1">GetFileList("P:\TP et Raccodement\FICHES CREES RACCORDEMENT\1 - RACCOS A SAISIR DANS AX\09-01-2019\*LM RACCO*.pdf")</f>
        <v>0</v>
      </c>
      <c r="D10" s="67">
        <f ca="1">GetFileList("P:\TP et Raccodement\FICHES CREES RACCORDEMENT\1 - RACCOS A SAISIR DANS AX\09-01-2019\*LR RACCO*.pdf")</f>
        <v>0</v>
      </c>
      <c r="E10" s="67">
        <f ca="1">GetFileList("P:\TP et Raccodement\FICHES CREES RACCORDEMENT\1 - RACCOS A SAISIR DANS AX\09-01-2019\*CL RACCO*.pdf")</f>
        <v>0</v>
      </c>
      <c r="F10" s="75">
        <f t="shared" ca="1" si="2"/>
        <v>0</v>
      </c>
      <c r="G10" s="67">
        <f ca="1">GetFileList("P:\TP et Raccodement\FICHES CREES RACCORDEMENT\2 - SAV + COMPL + PASSAGE W XV A SAISIR DANS AX\09-01-2019\*LM PASS*.pdf")</f>
        <v>0</v>
      </c>
      <c r="H10" s="67">
        <f ca="1">GetFileList("P:\TP et Raccodement\FICHES CREES RACCORDEMENT\2 - SAV + COMPL + PASSAGE W XV A SAISIR DANS AX\09-01-2019\*LR PASS*.pdf")</f>
        <v>0</v>
      </c>
      <c r="I10" s="68">
        <f ca="1">GetFileList("P:\TP et Raccodement\FICHES CREES RACCORDEMENT\2 - SAV + COMPL + PASSAGE W XV A SAISIR DANS AX\09-01-2019\*CL PASS*.pdf")</f>
        <v>0</v>
      </c>
      <c r="J10" s="106">
        <f ca="1">GetFileList("P:\TP et Raccodement\FICHES CREES RACCORDEMENT\2 - SAV + COMPL + PASSAGE W XV A SAISIR DANS AX\09-01-2019\*SAV*.pdf")</f>
        <v>0</v>
      </c>
      <c r="K10" s="77">
        <f ca="1">GetFileList("P:\TP et Raccodement\FICHES CREES RACCORDEMENT\2 - SAV + COMPL + PASSAGE W XV A SAISIR DANS AX\09-01-2019\*COMPLEMENT*.pdf")</f>
        <v>0</v>
      </c>
      <c r="L10" s="77">
        <f ca="1">GetFileList("P:\TP et Raccodement\FICHES CREES RACCORDEMENT\2 - SAV + COMPL + PASSAGE W XV A SAISIR DANS AX\09-01-2019\*REPRISE*.pdf")</f>
        <v>0</v>
      </c>
      <c r="M10" s="77">
        <f ca="1">GetFileList("P:\TP et Raccodement\FICHES CREES RACCORDEMENT\2 - SAV + COMPL + PASSAGE W XV A SAISIR DANS AX\09-01-2019\*REMONTAGE*.pdf")</f>
        <v>0</v>
      </c>
      <c r="N10" s="61"/>
      <c r="O10" s="73">
        <f t="shared" ca="1" si="1"/>
        <v>0</v>
      </c>
    </row>
    <row r="11" spans="1:16" ht="16.5" x14ac:dyDescent="0.3">
      <c r="A11" s="59">
        <v>43475</v>
      </c>
      <c r="B11" s="74">
        <f t="shared" ca="1" si="0"/>
        <v>0</v>
      </c>
      <c r="C11" s="67">
        <f ca="1">GetFileList("P:\TP et Raccodement\FICHES CREES RACCORDEMENT\1 - RACCOS A SAISIR DANS AX\10-01-2019\*LM RACCO*.pdf")</f>
        <v>0</v>
      </c>
      <c r="D11" s="67">
        <f ca="1">GetFileList("P:\TP et Raccodement\FICHES CREES RACCORDEMENT\1 - RACCOS A SAISIR DANS AX\10-01-2019\*LR RACCO*.pdf")</f>
        <v>0</v>
      </c>
      <c r="E11" s="67">
        <f ca="1">GetFileList("P:\TP et Raccodement\FICHES CREES RACCORDEMENT\1 - RACCOS A SAISIR DANS AX\10-01-2019\*CL RACCO*.pdf")</f>
        <v>0</v>
      </c>
      <c r="F11" s="75">
        <f t="shared" ca="1" si="2"/>
        <v>0</v>
      </c>
      <c r="G11" s="67">
        <f ca="1">GetFileList("P:\TP et Raccodement\FICHES CREES RACCORDEMENT\2 - SAV + COMPL + PASSAGE W XV A SAISIR DANS AX\10-01-2019\*LM PASS*.pdf")</f>
        <v>0</v>
      </c>
      <c r="H11" s="67">
        <f ca="1">GetFileList("P:\TP et Raccodement\FICHES CREES RACCORDEMENT\2 - SAV + COMPL + PASSAGE W XV A SAISIR DANS AX\10-01-2019\*LR PASS*.pdf")</f>
        <v>0</v>
      </c>
      <c r="I11" s="68">
        <f ca="1">GetFileList("P:\TP et Raccodement\FICHES CREES RACCORDEMENT\2 - SAV + COMPL + PASSAGE W XV A SAISIR DANS AX\10-01-2019\*CL PASS*.pdf")</f>
        <v>0</v>
      </c>
      <c r="J11" s="106">
        <f ca="1">GetFileList("P:\TP et Raccodement\FICHES CREES RACCORDEMENT\2 - SAV + COMPL + PASSAGE W XV A SAISIR DANS AX\10-01-2019\*SAV*.pdf")</f>
        <v>0</v>
      </c>
      <c r="K11" s="77">
        <f ca="1">GetFileList("P:\TP et Raccodement\FICHES CREES RACCORDEMENT\2 - SAV + COMPL + PASSAGE W XV A SAISIR DANS AX\10-01-2019\*COMPLEMENT*.pdf")</f>
        <v>0</v>
      </c>
      <c r="L11" s="77">
        <f ca="1">GetFileList("P:\TP et Raccodement\FICHES CREES RACCORDEMENT\2 - SAV + COMPL + PASSAGE W XV A SAISIR DANS AX\10-01-2019\*REPRISE*.pdf")</f>
        <v>0</v>
      </c>
      <c r="M11" s="77">
        <f ca="1">GetFileList("P:\TP et Raccodement\FICHES CREES RACCORDEMENT\2 - SAV + COMPL + PASSAGE W XV A SAISIR DANS AX\10-01-2019\*REMONTAGE*.pdf")</f>
        <v>0</v>
      </c>
      <c r="N11" s="61"/>
      <c r="O11" s="73">
        <f t="shared" ca="1" si="1"/>
        <v>0</v>
      </c>
    </row>
    <row r="12" spans="1:16" ht="16.5" x14ac:dyDescent="0.3">
      <c r="A12" s="59">
        <v>43476</v>
      </c>
      <c r="B12" s="74">
        <f t="shared" ca="1" si="0"/>
        <v>0</v>
      </c>
      <c r="C12" s="67">
        <f ca="1">GetFileList("P:\TP et Raccodement\FICHES CREES RACCORDEMENT\1 - RACCOS A SAISIR DANS AX\11-01-2019\*LM RACCO*.pdf")</f>
        <v>0</v>
      </c>
      <c r="D12" s="67">
        <f ca="1">GetFileList("P:\TP et Raccodement\FICHES CREES RACCORDEMENT\1 - RACCOS A SAISIR DANS AX\11-01-2019\*LR RACCO*.pdf")</f>
        <v>0</v>
      </c>
      <c r="E12" s="67">
        <f ca="1">GetFileList("P:\TP et Raccodement\FICHES CREES RACCORDEMENT\1 - RACCOS A SAISIR DANS AX\11-01-2019\*CL RACCO*.pdf")</f>
        <v>0</v>
      </c>
      <c r="F12" s="75">
        <f t="shared" ca="1" si="2"/>
        <v>0</v>
      </c>
      <c r="G12" s="67">
        <f ca="1">GetFileList("P:\TP et Raccodement\FICHES CREES RACCORDEMENT\2 - SAV + COMPL + PASSAGE W XV A SAISIR DANS AX\11-01-2019\*LM PASS*.pdf")</f>
        <v>0</v>
      </c>
      <c r="H12" s="67">
        <f ca="1">GetFileList("P:\TP et Raccodement\FICHES CREES RACCORDEMENT\2 - SAV + COMPL + PASSAGE W XV A SAISIR DANS AX\11-01-2019\*LR PASS*.pdf")</f>
        <v>0</v>
      </c>
      <c r="I12" s="68">
        <f ca="1">GetFileList("P:\TP et Raccodement\FICHES CREES RACCORDEMENT\2 - SAV + COMPL + PASSAGE W XV A SAISIR DANS AX\11-01-2019\*CL PASS*.pdf")</f>
        <v>0</v>
      </c>
      <c r="J12" s="106">
        <f ca="1">GetFileList("P:\TP et Raccodement\FICHES CREES RACCORDEMENT\2 - SAV + COMPL + PASSAGE W XV A SAISIR DANS AX\11-01-2019\*SAV*.pdf")</f>
        <v>0</v>
      </c>
      <c r="K12" s="77">
        <f ca="1">GetFileList("P:\TP et Raccodement\FICHES CREES RACCORDEMENT\2 - SAV + COMPL + PASSAGE W XV A SAISIR DANS AX\11-01-2019\*COMPLEMENT*.pdf")</f>
        <v>0</v>
      </c>
      <c r="L12" s="77">
        <f ca="1">GetFileList("P:\TP et Raccodement\FICHES CREES RACCORDEMENT\2 - SAV + COMPL + PASSAGE W XV A SAISIR DANS AX\11-01-2019\*REPRISE*.pdf")</f>
        <v>0</v>
      </c>
      <c r="M12" s="77">
        <f ca="1">GetFileList("P:\TP et Raccodement\FICHES CREES RACCORDEMENT\2 - SAV + COMPL + PASSAGE W XV A SAISIR DANS AX\11-01-2019\*REMONTAGE*.pdf")</f>
        <v>0</v>
      </c>
      <c r="N12" s="61"/>
      <c r="O12" s="73">
        <f t="shared" ca="1" si="1"/>
        <v>0</v>
      </c>
    </row>
    <row r="13" spans="1:16" ht="16.5" x14ac:dyDescent="0.3">
      <c r="A13" s="59">
        <v>43477</v>
      </c>
      <c r="B13" s="74">
        <f t="shared" ca="1" si="0"/>
        <v>0</v>
      </c>
      <c r="C13" s="67">
        <f ca="1">GetFileList("P:\TP et Raccodement\FICHES CREES RACCORDEMENT\1 - RACCOS A SAISIR DANS AX\12-01-2019\*LM RACCO*.pdf")</f>
        <v>0</v>
      </c>
      <c r="D13" s="67">
        <f ca="1">GetFileList("P:\TP et Raccodement\FICHES CREES RACCORDEMENT\1 - RACCOS A SAISIR DANS AX\12-01-2019\*LR RACCO*.pdf")</f>
        <v>0</v>
      </c>
      <c r="E13" s="67">
        <f ca="1">GetFileList("P:\TP et Raccodement\FICHES CREES RACCORDEMENT\1 - RACCOS A SAISIR DANS AX\12-01-2019\*CL RACCO*.pdf")</f>
        <v>0</v>
      </c>
      <c r="F13" s="75">
        <f t="shared" ca="1" si="2"/>
        <v>0</v>
      </c>
      <c r="G13" s="67">
        <f ca="1">GetFileList("P:\TP et Raccodement\FICHES CREES RACCORDEMENT\2 - SAV + COMPL + PASSAGE W XV A SAISIR DANS AX\12-01-2019\*LM PASS*.pdf")</f>
        <v>0</v>
      </c>
      <c r="H13" s="67">
        <f ca="1">GetFileList("P:\TP et Raccodement\FICHES CREES RACCORDEMENT\2 - SAV + COMPL + PASSAGE W XV A SAISIR DANS AX\12-01-2019\*LR PASS*.pdf")</f>
        <v>0</v>
      </c>
      <c r="I13" s="68">
        <f ca="1">GetFileList("P:\TP et Raccodement\FICHES CREES RACCORDEMENT\2 - SAV + COMPL + PASSAGE W XV A SAISIR DANS AX\12-01-2019\*CL PASS*.pdf")</f>
        <v>0</v>
      </c>
      <c r="J13" s="106">
        <f ca="1">GetFileList("P:\TP et Raccodement\FICHES CREES RACCORDEMENT\2 - SAV + COMPL + PASSAGE W XV A SAISIR DANS AX\12-01-2019\*SAV*.pdf")</f>
        <v>0</v>
      </c>
      <c r="K13" s="77">
        <f ca="1">GetFileList("P:\TP et Raccodement\FICHES CREES RACCORDEMENT\2 - SAV + COMPL + PASSAGE W XV A SAISIR DANS AX\12-01-2019\*COMPLEMENT*.pdf")</f>
        <v>0</v>
      </c>
      <c r="L13" s="77">
        <f ca="1">GetFileList("P:\TP et Raccodement\FICHES CREES RACCORDEMENT\2 - SAV + COMPL + PASSAGE W XV A SAISIR DANS AX\12-01-2019\*REPRISE*.pdf")</f>
        <v>0</v>
      </c>
      <c r="M13" s="77">
        <f ca="1">GetFileList("P:\TP et Raccodement\FICHES CREES RACCORDEMENT\2 - SAV + COMPL + PASSAGE W XV A SAISIR DANS AX\12-01-2019\*REMONTAGE*.pdf")</f>
        <v>0</v>
      </c>
      <c r="N13" s="61"/>
      <c r="O13" s="73">
        <f t="shared" ca="1" si="1"/>
        <v>0</v>
      </c>
    </row>
    <row r="14" spans="1:16" ht="16.5" x14ac:dyDescent="0.3">
      <c r="A14" s="88">
        <v>43478</v>
      </c>
      <c r="B14" s="89">
        <f t="shared" ca="1" si="0"/>
        <v>0</v>
      </c>
      <c r="C14" s="90">
        <f ca="1">GetFileList("P:\TP et Raccodement\FICHES CREES RACCORDEMENT\1 - RACCOS A SAISIR DANS AX\13-01-2019\*LM RACCO*.pdf")</f>
        <v>0</v>
      </c>
      <c r="D14" s="90">
        <f ca="1">GetFileList("P:\TP et Raccodement\FICHES CREES RACCORDEMENT\1 - RACCOS A SAISIR DANS AX\13-01-2019\*LR RACCO*.pdf")</f>
        <v>0</v>
      </c>
      <c r="E14" s="90">
        <f ca="1">GetFileList("P:\TP et Raccodement\FICHES CREES RACCORDEMENT\1 - RACCOS A SAISIR DANS AX\13-01-2019\*CL RACCO*.pdf")</f>
        <v>0</v>
      </c>
      <c r="F14" s="92">
        <f t="shared" ca="1" si="2"/>
        <v>0</v>
      </c>
      <c r="G14" s="90">
        <f ca="1">GetFileList("P:\TP et Raccodement\FICHES CREES RACCORDEMENT\2 - SAV + COMPL + PASSAGE W XV A SAISIR DANS AX\13-01-2019\*LM PASS*.pdf")</f>
        <v>0</v>
      </c>
      <c r="H14" s="90">
        <f ca="1">GetFileList("P:\TP et Raccodement\FICHES CREES RACCORDEMENT\2 - SAV + COMPL + PASSAGE W XV A SAISIR DANS AX\13-01-2019\*LR PASS*.pdf")</f>
        <v>0</v>
      </c>
      <c r="I14" s="91">
        <f ca="1">GetFileList("P:\TP et Raccodement\FICHES CREES RACCORDEMENT\2 - SAV + COMPL + PASSAGE W XV A SAISIR DANS AX\13-01-2019\*CL PASS*.pdf")</f>
        <v>0</v>
      </c>
      <c r="J14" s="105">
        <f ca="1">GetFileList("P:\TP et Raccodement\FICHES CREES RACCORDEMENT\2 - SAV + COMPL + PASSAGE W XV A SAISIR DANS AX\13-01-2019\*SAV*.pdf")</f>
        <v>0</v>
      </c>
      <c r="K14" s="94">
        <f ca="1">GetFileList("P:\TP et Raccodement\FICHES CREES RACCORDEMENT\2 - SAV + COMPL + PASSAGE W XV A SAISIR DANS AX\13-01-2019\*COMPLEMENT*.pdf")</f>
        <v>0</v>
      </c>
      <c r="L14" s="94">
        <f ca="1">GetFileList("P:\TP et Raccodement\FICHES CREES RACCORDEMENT\2 - SAV + COMPL + PASSAGE W XV A SAISIR DANS AX\13-01-2019\*REPRISE*.pdf")</f>
        <v>0</v>
      </c>
      <c r="M14" s="94">
        <f ca="1">GetFileList("P:\TP et Raccodement\FICHES CREES RACCORDEMENT\2 - SAV + COMPL + PASSAGE W XV A SAISIR DANS AX\13-01-2019\*REMONTAGE*.pdf")</f>
        <v>0</v>
      </c>
      <c r="N14" s="61"/>
      <c r="O14" s="73">
        <f t="shared" ca="1" si="1"/>
        <v>0</v>
      </c>
    </row>
    <row r="15" spans="1:16" ht="16.5" x14ac:dyDescent="0.3">
      <c r="A15" s="59">
        <v>43479</v>
      </c>
      <c r="B15" s="74">
        <f t="shared" ca="1" si="0"/>
        <v>0</v>
      </c>
      <c r="C15" s="67">
        <f ca="1">GetFileList("P:\TP et Raccodement\FICHES CREES RACCORDEMENT\1 - RACCOS A SAISIR DANS AX\14-01-2019\*LM RACCO*.pdf")</f>
        <v>0</v>
      </c>
      <c r="D15" s="67">
        <f ca="1">GetFileList("P:\TP et Raccodement\FICHES CREES RACCORDEMENT\1 - RACCOS A SAISIR DANS AX\14-01-2019\*LR RACCO*.pdf")</f>
        <v>0</v>
      </c>
      <c r="E15" s="67">
        <f ca="1">GetFileList("P:\TP et Raccodement\FICHES CREES RACCORDEMENT\1 - RACCOS A SAISIR DANS AX\14-01-2019\*CL RACCO*.pdf")</f>
        <v>0</v>
      </c>
      <c r="F15" s="75">
        <f t="shared" ca="1" si="2"/>
        <v>0</v>
      </c>
      <c r="G15" s="67">
        <f ca="1">GetFileList("P:\TP et Raccodement\FICHES CREES RACCORDEMENT\2 - SAV + COMPL + PASSAGE W XV A SAISIR DANS AX\14-01-2019\*LM PASS*.pdf")</f>
        <v>0</v>
      </c>
      <c r="H15" s="67">
        <f ca="1">GetFileList("P:\TP et Raccodement\FICHES CREES RACCORDEMENT\2 - SAV + COMPL + PASSAGE W XV A SAISIR DANS AX\14-01-2019\*LR PASS*.pdf")</f>
        <v>0</v>
      </c>
      <c r="I15" s="68">
        <f ca="1">GetFileList("P:\TP et Raccodement\FICHES CREES RACCORDEMENT\2 - SAV + COMPL + PASSAGE W XV A SAISIR DANS AX\14-01-2019\*CL PASS*.pdf")</f>
        <v>0</v>
      </c>
      <c r="J15" s="106">
        <f ca="1">GetFileList("P:\TP et Raccodement\FICHES CREES RACCORDEMENT\2 - SAV + COMPL + PASSAGE W XV A SAISIR DANS AX\14-01-2019\*SAV*.pdf")</f>
        <v>0</v>
      </c>
      <c r="K15" s="77">
        <f ca="1">GetFileList("P:\TP et Raccodement\FICHES CREES RACCORDEMENT\2 - SAV + COMPL + PASSAGE W XV A SAISIR DANS AX\14-01-2019\*COMPLEMENT*.pdf")</f>
        <v>0</v>
      </c>
      <c r="L15" s="77">
        <f ca="1">GetFileList("P:\TP et Raccodement\FICHES CREES RACCORDEMENT\2 - SAV + COMPL + PASSAGE W XV A SAISIR DANS AX\14-01-2019\*REPRISE*.pdf")</f>
        <v>0</v>
      </c>
      <c r="M15" s="77">
        <f ca="1">GetFileList("P:\TP et Raccodement\FICHES CREES RACCORDEMENT\2 - SAV + COMPL + PASSAGE W XV A SAISIR DANS AX\14-01-2019\*REMONTAGE*.pdf")</f>
        <v>0</v>
      </c>
      <c r="N15" s="61"/>
      <c r="O15" s="73">
        <f t="shared" ca="1" si="1"/>
        <v>0</v>
      </c>
    </row>
    <row r="16" spans="1:16" ht="16.5" x14ac:dyDescent="0.3">
      <c r="A16" s="59">
        <v>43480</v>
      </c>
      <c r="B16" s="74">
        <f t="shared" ca="1" si="0"/>
        <v>0</v>
      </c>
      <c r="C16" s="67">
        <f ca="1">GetFileList("P:\TP et Raccodement\FICHES CREES RACCORDEMENT\1 - RACCOS A SAISIR DANS AX\15-01-2019\*LM RACCO*.pdf")</f>
        <v>0</v>
      </c>
      <c r="D16" s="67">
        <f ca="1">GetFileList("P:\TP et Raccodement\FICHES CREES RACCORDEMENT\1 - RACCOS A SAISIR DANS AX\15-01-2019\*LR RACCO*.pdf")</f>
        <v>0</v>
      </c>
      <c r="E16" s="67">
        <f ca="1">GetFileList("P:\TP et Raccodement\FICHES CREES RACCORDEMENT\1 - RACCOS A SAISIR DANS AX\15-01-2019\*CL RACCO*.pdf")</f>
        <v>0</v>
      </c>
      <c r="F16" s="75">
        <f t="shared" ca="1" si="2"/>
        <v>0</v>
      </c>
      <c r="G16" s="67">
        <f ca="1">GetFileList("P:\TP et Raccodement\FICHES CREES RACCORDEMENT\2 - SAV + COMPL + PASSAGE W XV A SAISIR DANS AX\15-01-2019\*LM PASS*.pdf")</f>
        <v>0</v>
      </c>
      <c r="H16" s="67">
        <f ca="1">GetFileList("P:\TP et Raccodement\FICHES CREES RACCORDEMENT\2 - SAV + COMPL + PASSAGE W XV A SAISIR DANS AX\15-01-2019\*LR PASS*.pdf")</f>
        <v>0</v>
      </c>
      <c r="I16" s="68">
        <f ca="1">GetFileList("P:\TP et Raccodement\FICHES CREES RACCORDEMENT\2 - SAV + COMPL + PASSAGE W XV A SAISIR DANS AX\15-01-2019\*CL PASS*.pdf")</f>
        <v>0</v>
      </c>
      <c r="J16" s="106">
        <f ca="1">GetFileList("P:\TP et Raccodement\FICHES CREES RACCORDEMENT\2 - SAV + COMPL + PASSAGE W XV A SAISIR DANS AX\15-01-2019\*SAV*.pdf")</f>
        <v>0</v>
      </c>
      <c r="K16" s="77">
        <f ca="1">GetFileList("P:\TP et Raccodement\FICHES CREES RACCORDEMENT\2 - SAV + COMPL + PASSAGE W XV A SAISIR DANS AX\15-01-2019\*COMPLEMENT*.pdf")</f>
        <v>0</v>
      </c>
      <c r="L16" s="77">
        <f ca="1">GetFileList("P:\TP et Raccodement\FICHES CREES RACCORDEMENT\2 - SAV + COMPL + PASSAGE W XV A SAISIR DANS AX\15-01-2019\*REPRISE*.pdf")</f>
        <v>0</v>
      </c>
      <c r="M16" s="77">
        <f ca="1">GetFileList("P:\TP et Raccodement\FICHES CREES RACCORDEMENT\2 - SAV + COMPL + PASSAGE W XV A SAISIR DANS AX\15-01-2019\*REMONTAGE*.pdf")</f>
        <v>0</v>
      </c>
      <c r="N16" s="61"/>
      <c r="O16" s="73">
        <f t="shared" ca="1" si="1"/>
        <v>0</v>
      </c>
    </row>
    <row r="17" spans="1:15" ht="16.5" x14ac:dyDescent="0.3">
      <c r="A17" s="59">
        <v>43481</v>
      </c>
      <c r="B17" s="74">
        <f t="shared" ca="1" si="0"/>
        <v>0</v>
      </c>
      <c r="C17" s="67">
        <f ca="1">GetFileList("P:\TP et Raccodement\FICHES CREES RACCORDEMENT\1 - RACCOS A SAISIR DANS AX\16-01-2019\*LM RACCO*.pdf")</f>
        <v>0</v>
      </c>
      <c r="D17" s="67">
        <f ca="1">GetFileList("P:\TP et Raccodement\FICHES CREES RACCORDEMENT\1 - RACCOS A SAISIR DANS AX\16-01-2019\*LR RACCO*.pdf")</f>
        <v>0</v>
      </c>
      <c r="E17" s="67">
        <f ca="1">GetFileList("P:\TP et Raccodement\FICHES CREES RACCORDEMENT\1 - RACCOS A SAISIR DANS AX\16-01-2019\*CL RACCO*.pdf")</f>
        <v>0</v>
      </c>
      <c r="F17" s="75">
        <f t="shared" ca="1" si="2"/>
        <v>0</v>
      </c>
      <c r="G17" s="67">
        <f ca="1">GetFileList("P:\TP et Raccodement\FICHES CREES RACCORDEMENT\2 - SAV + COMPL + PASSAGE W XV A SAISIR DANS AX\16-01-2019\*LM PASS*.pdf")</f>
        <v>0</v>
      </c>
      <c r="H17" s="67">
        <f ca="1">GetFileList("P:\TP et Raccodement\FICHES CREES RACCORDEMENT\2 - SAV + COMPL + PASSAGE W XV A SAISIR DANS AX\16-01-2019\*LR PASS*.pdf")</f>
        <v>0</v>
      </c>
      <c r="I17" s="68">
        <f ca="1">GetFileList("P:\TP et Raccodement\FICHES CREES RACCORDEMENT\2 - SAV + COMPL + PASSAGE W XV A SAISIR DANS AX\16-01-2019\*CL PASS*.pdf")</f>
        <v>0</v>
      </c>
      <c r="J17" s="106">
        <f ca="1">GetFileList("P:\TP et Raccodement\FICHES CREES RACCORDEMENT\2 - SAV + COMPL + PASSAGE W XV A SAISIR DANS AX\16-01-2019\*SAV*.pdf")</f>
        <v>0</v>
      </c>
      <c r="K17" s="77">
        <f ca="1">GetFileList("P:\TP et Raccodement\FICHES CREES RACCORDEMENT\2 - SAV + COMPL + PASSAGE W XV A SAISIR DANS AX\16-01-2019\*COMPLEMENT*.pdf")</f>
        <v>0</v>
      </c>
      <c r="L17" s="77">
        <f ca="1">GetFileList("P:\TP et Raccodement\FICHES CREES RACCORDEMENT\2 - SAV + COMPL + PASSAGE W XV A SAISIR DANS AX\16-01-2019\*REPRISE*.pdf")</f>
        <v>0</v>
      </c>
      <c r="M17" s="77">
        <f ca="1">GetFileList("P:\TP et Raccodement\FICHES CREES RACCORDEMENT\2 - SAV + COMPL + PASSAGE W XV A SAISIR DANS AX\16-01-2019\*REMONTAGE*.pdf")</f>
        <v>0</v>
      </c>
      <c r="N17" s="61"/>
      <c r="O17" s="73">
        <f t="shared" ca="1" si="1"/>
        <v>0</v>
      </c>
    </row>
    <row r="18" spans="1:15" ht="16.5" x14ac:dyDescent="0.3">
      <c r="A18" s="59">
        <v>43482</v>
      </c>
      <c r="B18" s="74">
        <f t="shared" ca="1" si="0"/>
        <v>0</v>
      </c>
      <c r="C18" s="67">
        <f ca="1">GetFileList("P:\TP et Raccodement\FICHES CREES RACCORDEMENT\1 - RACCOS A SAISIR DANS AX\17-01-2019\*LM RACCO*.pdf")</f>
        <v>0</v>
      </c>
      <c r="D18" s="67">
        <f ca="1">GetFileList("P:\TP et Raccodement\FICHES CREES RACCORDEMENT\1 - RACCOS A SAISIR DANS AX\17-01-2019\*LR RACCO*.pdf")</f>
        <v>0</v>
      </c>
      <c r="E18" s="67">
        <f ca="1">GetFileList("P:\TP et Raccodement\FICHES CREES RACCORDEMENT\1 - RACCOS A SAISIR DANS AX\17-01-2019\*CL RACCO*.pdf")</f>
        <v>0</v>
      </c>
      <c r="F18" s="75">
        <f t="shared" ca="1" si="2"/>
        <v>0</v>
      </c>
      <c r="G18" s="67">
        <f ca="1">GetFileList("P:\TP et Raccodement\FICHES CREES RACCORDEMENT\2 - SAV + COMPL + PASSAGE W XV A SAISIR DANS AX\17-01-2019\*LM PASS*.pdf")</f>
        <v>0</v>
      </c>
      <c r="H18" s="67">
        <f ca="1">GetFileList("P:\TP et Raccodement\FICHES CREES RACCORDEMENT\2 - SAV + COMPL + PASSAGE W XV A SAISIR DANS AX\17-01-2019\*LR PASS*.pdf")</f>
        <v>0</v>
      </c>
      <c r="I18" s="68">
        <f ca="1">GetFileList("P:\TP et Raccodement\FICHES CREES RACCORDEMENT\2 - SAV + COMPL + PASSAGE W XV A SAISIR DANS AX\17-01-2019\*CL PASS*.pdf")</f>
        <v>0</v>
      </c>
      <c r="J18" s="106">
        <f ca="1">GetFileList("P:\TP et Raccodement\FICHES CREES RACCORDEMENT\2 - SAV + COMPL + PASSAGE W XV A SAISIR DANS AX\17-01-2019\*SAV*.pdf")</f>
        <v>0</v>
      </c>
      <c r="K18" s="77">
        <f ca="1">GetFileList("P:\TP et Raccodement\FICHES CREES RACCORDEMENT\2 - SAV + COMPL + PASSAGE W XV A SAISIR DANS AX\17-01-2019\*COMPLEMENT*.pdf")</f>
        <v>0</v>
      </c>
      <c r="L18" s="77">
        <f ca="1">GetFileList("P:\TP et Raccodement\FICHES CREES RACCORDEMENT\2 - SAV + COMPL + PASSAGE W XV A SAISIR DANS AX\17-01-2019\*REPRISE*.pdf")</f>
        <v>0</v>
      </c>
      <c r="M18" s="77">
        <f ca="1">GetFileList("P:\TP et Raccodement\FICHES CREES RACCORDEMENT\2 - SAV + COMPL + PASSAGE W XV A SAISIR DANS AX\17-01-2019\*REMONTAGE*.pdf")</f>
        <v>0</v>
      </c>
      <c r="N18" s="61"/>
      <c r="O18" s="73">
        <f t="shared" ca="1" si="1"/>
        <v>0</v>
      </c>
    </row>
    <row r="19" spans="1:15" ht="16.5" x14ac:dyDescent="0.3">
      <c r="A19" s="59">
        <v>43483</v>
      </c>
      <c r="B19" s="74">
        <f t="shared" ca="1" si="0"/>
        <v>0</v>
      </c>
      <c r="C19" s="67">
        <f ca="1">GetFileList("P:\TP et Raccodement\FICHES CREES RACCORDEMENT\1 - RACCOS A SAISIR DANS AX\18-01-2019\*LM RACCO*.pdf")</f>
        <v>0</v>
      </c>
      <c r="D19" s="67">
        <f ca="1">GetFileList("P:\TP et Raccodement\FICHES CREES RACCORDEMENT\1 - RACCOS A SAISIR DANS AX\18-01-2019\*LR RACCO*.pdf")</f>
        <v>0</v>
      </c>
      <c r="E19" s="67">
        <f ca="1">GetFileList("P:\TP et Raccodement\FICHES CREES RACCORDEMENT\1 - RACCOS A SAISIR DANS AX\18-01-2019\*CL RACCO*.pdf")</f>
        <v>0</v>
      </c>
      <c r="F19" s="75">
        <f t="shared" ca="1" si="2"/>
        <v>0</v>
      </c>
      <c r="G19" s="67">
        <f ca="1">GetFileList("P:\TP et Raccodement\FICHES CREES RACCORDEMENT\2 - SAV + COMPL + PASSAGE W XV A SAISIR DANS AX\18-01-2019\*LM PASS*.pdf")</f>
        <v>0</v>
      </c>
      <c r="H19" s="67">
        <f ca="1">GetFileList("P:\TP et Raccodement\FICHES CREES RACCORDEMENT\2 - SAV + COMPL + PASSAGE W XV A SAISIR DANS AX\18-01-2019\*LR PASS*.pdf")</f>
        <v>0</v>
      </c>
      <c r="I19" s="68">
        <f ca="1">GetFileList("P:\TP et Raccodement\FICHES CREES RACCORDEMENT\2 - SAV + COMPL + PASSAGE W XV A SAISIR DANS AX\18-01-2019\*CL PASS*.pdf")</f>
        <v>0</v>
      </c>
      <c r="J19" s="106">
        <f ca="1">GetFileList("P:\TP et Raccodement\FICHES CREES RACCORDEMENT\2 - SAV + COMPL + PASSAGE W XV A SAISIR DANS AX\18-01-2019\*SAV*.pdf")</f>
        <v>0</v>
      </c>
      <c r="K19" s="77">
        <f ca="1">GetFileList("P:\TP et Raccodement\FICHES CREES RACCORDEMENT\2 - SAV + COMPL + PASSAGE W XV A SAISIR DANS AX\18-01-2019\*COMPLEMENT*.pdf")</f>
        <v>0</v>
      </c>
      <c r="L19" s="77">
        <f ca="1">GetFileList("P:\TP et Raccodement\FICHES CREES RACCORDEMENT\2 - SAV + COMPL + PASSAGE W XV A SAISIR DANS AX\18-01-2019\*REPRISE*.pdf")</f>
        <v>0</v>
      </c>
      <c r="M19" s="77">
        <f ca="1">GetFileList("P:\TP et Raccodement\FICHES CREES RACCORDEMENT\2 - SAV + COMPL + PASSAGE W XV A SAISIR DANS AX\18-01-2019\*REMONTAGE*.pdf")</f>
        <v>0</v>
      </c>
      <c r="N19" s="61"/>
      <c r="O19" s="73">
        <f t="shared" ca="1" si="1"/>
        <v>0</v>
      </c>
    </row>
    <row r="20" spans="1:15" ht="16.5" x14ac:dyDescent="0.3">
      <c r="A20" s="59">
        <v>43484</v>
      </c>
      <c r="B20" s="74">
        <f t="shared" ca="1" si="0"/>
        <v>0</v>
      </c>
      <c r="C20" s="67">
        <f ca="1">GetFileList("P:\TP et Raccodement\FICHES CREES RACCORDEMENT\1 - RACCOS A SAISIR DANS AX\19-01-2019\*LM RACCO*.pdf")</f>
        <v>0</v>
      </c>
      <c r="D20" s="67">
        <f ca="1">GetFileList("P:\TP et Raccodement\FICHES CREES RACCORDEMENT\1 - RACCOS A SAISIR DANS AX\19-01-2019\*LR RACCO*.pdf")</f>
        <v>0</v>
      </c>
      <c r="E20" s="67">
        <f ca="1">GetFileList("P:\TP et Raccodement\FICHES CREES RACCORDEMENT\1 - RACCOS A SAISIR DANS AX\19-01-2019\*CL RACCO*.pdf")</f>
        <v>0</v>
      </c>
      <c r="F20" s="75">
        <f t="shared" ca="1" si="2"/>
        <v>0</v>
      </c>
      <c r="G20" s="67">
        <f ca="1">GetFileList("P:\TP et Raccodement\FICHES CREES RACCORDEMENT\2 - SAV + COMPL + PASSAGE W XV A SAISIR DANS AX\19-01-2019\*LM PASS*.pdf")</f>
        <v>0</v>
      </c>
      <c r="H20" s="67">
        <f ca="1">GetFileList("P:\TP et Raccodement\FICHES CREES RACCORDEMENT\2 - SAV + COMPL + PASSAGE W XV A SAISIR DANS AX\19-01-2019\*LR PASS*.pdf")</f>
        <v>0</v>
      </c>
      <c r="I20" s="68">
        <f ca="1">GetFileList("P:\TP et Raccodement\FICHES CREES RACCORDEMENT\2 - SAV + COMPL + PASSAGE W XV A SAISIR DANS AX\19-01-2019\*CL PASS*.pdf")</f>
        <v>0</v>
      </c>
      <c r="J20" s="106">
        <f ca="1">GetFileList("P:\TP et Raccodement\FICHES CREES RACCORDEMENT\2 - SAV + COMPL + PASSAGE W XV A SAISIR DANS AX\19-01-2019\*SAV*.pdf")</f>
        <v>0</v>
      </c>
      <c r="K20" s="77">
        <f ca="1">GetFileList("P:\TP et Raccodement\FICHES CREES RACCORDEMENT\2 - SAV + COMPL + PASSAGE W XV A SAISIR DANS AX\19-01-2019\*COMPLEMENT*.pdf")</f>
        <v>0</v>
      </c>
      <c r="L20" s="77">
        <f ca="1">GetFileList("P:\TP et Raccodement\FICHES CREES RACCORDEMENT\2 - SAV + COMPL + PASSAGE W XV A SAISIR DANS AX\19-01-2019\*REPRISE*.pdf")</f>
        <v>0</v>
      </c>
      <c r="M20" s="77">
        <f ca="1">GetFileList("P:\TP et Raccodement\FICHES CREES RACCORDEMENT\2 - SAV + COMPL + PASSAGE W XV A SAISIR DANS AX\19-01-2019\*REMONTAGE*.pdf")</f>
        <v>0</v>
      </c>
      <c r="N20" s="61"/>
      <c r="O20" s="73">
        <f t="shared" ca="1" si="1"/>
        <v>0</v>
      </c>
    </row>
    <row r="21" spans="1:15" ht="16.5" x14ac:dyDescent="0.3">
      <c r="A21" s="88">
        <v>43485</v>
      </c>
      <c r="B21" s="89">
        <f t="shared" ca="1" si="0"/>
        <v>0</v>
      </c>
      <c r="C21" s="90">
        <f ca="1">GetFileList("P:\TP et Raccodement\FICHES CREES RACCORDEMENT\1 - RACCOS A SAISIR DANS AX\20-01-2019\*LM RACCO*.pdf")</f>
        <v>0</v>
      </c>
      <c r="D21" s="90">
        <f ca="1">GetFileList("P:\TP et Raccodement\FICHES CREES RACCORDEMENT\1 - RACCOS A SAISIR DANS AX\20-01-2019\*LR RACCO*.pdf")</f>
        <v>0</v>
      </c>
      <c r="E21" s="90">
        <f ca="1">GetFileList("P:\TP et Raccodement\FICHES CREES RACCORDEMENT\1 - RACCOS A SAISIR DANS AX\20-01-2019\*CL RACCO*.pdf")</f>
        <v>0</v>
      </c>
      <c r="F21" s="92">
        <f t="shared" ca="1" si="2"/>
        <v>0</v>
      </c>
      <c r="G21" s="90">
        <f ca="1">GetFileList("P:\TP et Raccodement\FICHES CREES RACCORDEMENT\2 - SAV + COMPL + PASSAGE W XV A SAISIR DANS AX\20-01-2019\*LM PASS*.pdf")</f>
        <v>0</v>
      </c>
      <c r="H21" s="90">
        <f ca="1">GetFileList("P:\TP et Raccodement\FICHES CREES RACCORDEMENT\2 - SAV + COMPL + PASSAGE W XV A SAISIR DANS AX\20-01-2019\*LR PASS*.pdf")</f>
        <v>0</v>
      </c>
      <c r="I21" s="91">
        <f ca="1">GetFileList("P:\TP et Raccodement\FICHES CREES RACCORDEMENT\2 - SAV + COMPL + PASSAGE W XV A SAISIR DANS AX\20-01-2019\*CL PASS*.pdf")</f>
        <v>0</v>
      </c>
      <c r="J21" s="105">
        <f ca="1">GetFileList("P:\TP et Raccodement\FICHES CREES RACCORDEMENT\2 - SAV + COMPL + PASSAGE W XV A SAISIR DANS AX\20-01-2019\*SAV*.pdf")</f>
        <v>0</v>
      </c>
      <c r="K21" s="94">
        <f ca="1">GetFileList("P:\TP et Raccodement\FICHES CREES RACCORDEMENT\2 - SAV + COMPL + PASSAGE W XV A SAISIR DANS AX\20-01-2019\*COMPLEMENT*.pdf")</f>
        <v>0</v>
      </c>
      <c r="L21" s="94">
        <f ca="1">GetFileList("P:\TP et Raccodement\FICHES CREES RACCORDEMENT\2 - SAV + COMPL + PASSAGE W XV A SAISIR DANS AX\20-01-2019\*REPRISE*.pdf")</f>
        <v>0</v>
      </c>
      <c r="M21" s="94">
        <f ca="1">GetFileList("P:\TP et Raccodement\FICHES CREES RACCORDEMENT\2 - SAV + COMPL + PASSAGE W XV A SAISIR DANS AX\20-01-2019\*REMONTAGE*.pdf")</f>
        <v>0</v>
      </c>
      <c r="N21" s="61"/>
      <c r="O21" s="73">
        <f t="shared" ca="1" si="1"/>
        <v>0</v>
      </c>
    </row>
    <row r="22" spans="1:15" ht="16.5" x14ac:dyDescent="0.3">
      <c r="A22" s="59">
        <v>43486</v>
      </c>
      <c r="B22" s="74">
        <f t="shared" ca="1" si="0"/>
        <v>0</v>
      </c>
      <c r="C22" s="67">
        <f ca="1">GetFileList("P:\TP et Raccodement\FICHES CREES RACCORDEMENT\1 - RACCOS A SAISIR DANS AX\21-01-2019\*LM RACCO*.pdf")</f>
        <v>0</v>
      </c>
      <c r="D22" s="67">
        <f ca="1">GetFileList("P:\TP et Raccodement\FICHES CREES RACCORDEMENT\1 - RACCOS A SAISIR DANS AX\21-01-2019\*LR RACCO*.pdf")</f>
        <v>0</v>
      </c>
      <c r="E22" s="67">
        <f ca="1">GetFileList("P:\TP et Raccodement\FICHES CREES RACCORDEMENT\1 - RACCOS A SAISIR DANS AX\21-01-2019\*CL RACCO*.pdf")</f>
        <v>0</v>
      </c>
      <c r="F22" s="75">
        <f t="shared" ca="1" si="2"/>
        <v>0</v>
      </c>
      <c r="G22" s="67">
        <f ca="1">GetFileList("P:\TP et Raccodement\FICHES CREES RACCORDEMENT\2 - SAV + COMPL + PASSAGE W XV A SAISIR DANS AX\21-01-2019\*LM PASS*.pdf")</f>
        <v>0</v>
      </c>
      <c r="H22" s="67">
        <f ca="1">GetFileList("P:\TP et Raccodement\FICHES CREES RACCORDEMENT\2 - SAV + COMPL + PASSAGE W XV A SAISIR DANS AX\21-01-2019\*LR PASS*.pdf")</f>
        <v>0</v>
      </c>
      <c r="I22" s="68">
        <f ca="1">GetFileList("P:\TP et Raccodement\FICHES CREES RACCORDEMENT\2 - SAV + COMPL + PASSAGE W XV A SAISIR DANS AX\21-01-2019\*CL PASS*.pdf")</f>
        <v>0</v>
      </c>
      <c r="J22" s="106">
        <f ca="1">GetFileList("P:\TP et Raccodement\FICHES CREES RACCORDEMENT\2 - SAV + COMPL + PASSAGE W XV A SAISIR DANS AX\21-01-2019\*SAV*.pdf")</f>
        <v>0</v>
      </c>
      <c r="K22" s="77">
        <f ca="1">GetFileList("P:\TP et Raccodement\FICHES CREES RACCORDEMENT\2 - SAV + COMPL + PASSAGE W XV A SAISIR DANS AX\21-01-2019\*COMPLEMENT*.pdf")</f>
        <v>0</v>
      </c>
      <c r="L22" s="77">
        <f ca="1">GetFileList("P:\TP et Raccodement\FICHES CREES RACCORDEMENT\2 - SAV + COMPL + PASSAGE W XV A SAISIR DANS AX\21-01-2019\*REPRISE*.pdf")</f>
        <v>0</v>
      </c>
      <c r="M22" s="77">
        <f ca="1">GetFileList("P:\TP et Raccodement\FICHES CREES RACCORDEMENT\2 - SAV + COMPL + PASSAGE W XV A SAISIR DANS AX\21-01-2019\*REMONTAGE*.pdf")</f>
        <v>0</v>
      </c>
      <c r="N22" s="61"/>
      <c r="O22" s="73">
        <f t="shared" ca="1" si="1"/>
        <v>0</v>
      </c>
    </row>
    <row r="23" spans="1:15" ht="16.5" x14ac:dyDescent="0.3">
      <c r="A23" s="59">
        <v>43487</v>
      </c>
      <c r="B23" s="74">
        <f t="shared" ca="1" si="0"/>
        <v>0</v>
      </c>
      <c r="C23" s="67">
        <f ca="1">GetFileList("P:\TP et Raccodement\FICHES CREES RACCORDEMENT\1 - RACCOS A SAISIR DANS AX\22-01-2019\*LM RACCO*.pdf")</f>
        <v>0</v>
      </c>
      <c r="D23" s="67">
        <f ca="1">GetFileList("P:\TP et Raccodement\FICHES CREES RACCORDEMENT\1 - RACCOS A SAISIR DANS AX\22-01-2019\*LR RACCO*.pdf")</f>
        <v>0</v>
      </c>
      <c r="E23" s="67">
        <f ca="1">GetFileList("P:\TP et Raccodement\FICHES CREES RACCORDEMENT\1 - RACCOS A SAISIR DANS AX\22-01-2019\*CL RACCO*.pdf")</f>
        <v>0</v>
      </c>
      <c r="F23" s="75">
        <f t="shared" ca="1" si="2"/>
        <v>0</v>
      </c>
      <c r="G23" s="67">
        <f ca="1">GetFileList("P:\TP et Raccodement\FICHES CREES RACCORDEMENT\2 - SAV + COMPL + PASSAGE W XV A SAISIR DANS AX\22-01-2019\*LM PASS*.pdf")</f>
        <v>0</v>
      </c>
      <c r="H23" s="67">
        <f ca="1">GetFileList("P:\TP et Raccodement\FICHES CREES RACCORDEMENT\2 - SAV + COMPL + PASSAGE W XV A SAISIR DANS AX\22-01-2019\*LR PASS*.pdf")</f>
        <v>0</v>
      </c>
      <c r="I23" s="68">
        <f ca="1">GetFileList("P:\TP et Raccodement\FICHES CREES RACCORDEMENT\2 - SAV + COMPL + PASSAGE W XV A SAISIR DANS AX\22-01-2019\*CL PASS*.pdf")</f>
        <v>0</v>
      </c>
      <c r="J23" s="106">
        <f ca="1">GetFileList("P:\TP et Raccodement\FICHES CREES RACCORDEMENT\2 - SAV + COMPL + PASSAGE W XV A SAISIR DANS AX\22-01-2019\*SAV*.pdf")</f>
        <v>0</v>
      </c>
      <c r="K23" s="77">
        <f ca="1">GetFileList("P:\TP et Raccodement\FICHES CREES RACCORDEMENT\2 - SAV + COMPL + PASSAGE W XV A SAISIR DANS AX\22-01-2019\*COMPLEMENT*.pdf")</f>
        <v>0</v>
      </c>
      <c r="L23" s="77">
        <f ca="1">GetFileList("P:\TP et Raccodement\FICHES CREES RACCORDEMENT\2 - SAV + COMPL + PASSAGE W XV A SAISIR DANS AX\22-01-2019\*REPRISE*.pdf")</f>
        <v>0</v>
      </c>
      <c r="M23" s="77">
        <f ca="1">GetFileList("P:\TP et Raccodement\FICHES CREES RACCORDEMENT\2 - SAV + COMPL + PASSAGE W XV A SAISIR DANS AX\22-01-2019\*REMONTAGE*.pdf")</f>
        <v>0</v>
      </c>
      <c r="N23" s="61"/>
      <c r="O23" s="73">
        <f t="shared" ca="1" si="1"/>
        <v>0</v>
      </c>
    </row>
    <row r="24" spans="1:15" ht="16.5" x14ac:dyDescent="0.3">
      <c r="A24" s="59">
        <v>43488</v>
      </c>
      <c r="B24" s="74">
        <f t="shared" ca="1" si="0"/>
        <v>0</v>
      </c>
      <c r="C24" s="67">
        <f ca="1">GetFileList("P:\TP et Raccodement\FICHES CREES RACCORDEMENT\1 - RACCOS A SAISIR DANS AX\23-01-2019\*LM RACCO*.pdf")</f>
        <v>0</v>
      </c>
      <c r="D24" s="67">
        <f ca="1">GetFileList("P:\TP et Raccodement\FICHES CREES RACCORDEMENT\1 - RACCOS A SAISIR DANS AX\23-01-2019\*LR RACCO*.pdf")</f>
        <v>0</v>
      </c>
      <c r="E24" s="67">
        <f ca="1">GetFileList("P:\TP et Raccodement\FICHES CREES RACCORDEMENT\1 - RACCOS A SAISIR DANS AX\23-01-2019\*CL RACCO*.pdf")</f>
        <v>0</v>
      </c>
      <c r="F24" s="75">
        <f t="shared" ca="1" si="2"/>
        <v>0</v>
      </c>
      <c r="G24" s="67">
        <f ca="1">GetFileList("P:\TP et Raccodement\FICHES CREES RACCORDEMENT\2 - SAV + COMPL + PASSAGE W XV A SAISIR DANS AX\23-01-2019\*LM PASS*.pdf")</f>
        <v>0</v>
      </c>
      <c r="H24" s="67">
        <f ca="1">GetFileList("P:\TP et Raccodement\FICHES CREES RACCORDEMENT\2 - SAV + COMPL + PASSAGE W XV A SAISIR DANS AX\23-01-2019\*LR PASS*.pdf")</f>
        <v>0</v>
      </c>
      <c r="I24" s="68">
        <f ca="1">GetFileList("P:\TP et Raccodement\FICHES CREES RACCORDEMENT\2 - SAV + COMPL + PASSAGE W XV A SAISIR DANS AX\23-01-2019\*CL PASS*.pdf")</f>
        <v>0</v>
      </c>
      <c r="J24" s="106">
        <f ca="1">GetFileList("P:\TP et Raccodement\FICHES CREES RACCORDEMENT\2 - SAV + COMPL + PASSAGE W XV A SAISIR DANS AX\23-01-2019\*SAV*.pdf")</f>
        <v>0</v>
      </c>
      <c r="K24" s="77">
        <f ca="1">GetFileList("P:\TP et Raccodement\FICHES CREES RACCORDEMENT\2 - SAV + COMPL + PASSAGE W XV A SAISIR DANS AX\23-01-2019\*COMPLEMENT*.pdf")</f>
        <v>0</v>
      </c>
      <c r="L24" s="77">
        <f ca="1">GetFileList("P:\TP et Raccodement\FICHES CREES RACCORDEMENT\2 - SAV + COMPL + PASSAGE W XV A SAISIR DANS AX\23-01-2019\*REPRISE*.pdf")</f>
        <v>0</v>
      </c>
      <c r="M24" s="77">
        <f ca="1">GetFileList("P:\TP et Raccodement\FICHES CREES RACCORDEMENT\2 - SAV + COMPL + PASSAGE W XV A SAISIR DANS AX\23-01-2019\*REMONTAGE*.pdf")</f>
        <v>0</v>
      </c>
      <c r="N24" s="61"/>
      <c r="O24" s="73">
        <f t="shared" ca="1" si="1"/>
        <v>0</v>
      </c>
    </row>
    <row r="25" spans="1:15" ht="16.5" x14ac:dyDescent="0.3">
      <c r="A25" s="59">
        <v>43489</v>
      </c>
      <c r="B25" s="74">
        <f t="shared" ca="1" si="0"/>
        <v>0</v>
      </c>
      <c r="C25" s="67">
        <f ca="1">GetFileList("P:\TP et Raccodement\FICHES CREES RACCORDEMENT\1 - RACCOS A SAISIR DANS AX\24-01-2019\*LM RACCO*.pdf")</f>
        <v>0</v>
      </c>
      <c r="D25" s="67">
        <f ca="1">GetFileList("P:\TP et Raccodement\FICHES CREES RACCORDEMENT\1 - RACCOS A SAISIR DANS AX\24-01-2019\*LR RACCO*.pdf")</f>
        <v>0</v>
      </c>
      <c r="E25" s="67">
        <f ca="1">GetFileList("P:\TP et Raccodement\FICHES CREES RACCORDEMENT\1 - RACCOS A SAISIR DANS AX\24-01-2019\*CL RACCO*.pdf")</f>
        <v>0</v>
      </c>
      <c r="F25" s="75">
        <f t="shared" ca="1" si="2"/>
        <v>0</v>
      </c>
      <c r="G25" s="67">
        <f ca="1">GetFileList("P:\TP et Raccodement\FICHES CREES RACCORDEMENT\2 - SAV + COMPL + PASSAGE W XV A SAISIR DANS AX\24-01-2019\*LM PASS*.pdf")</f>
        <v>0</v>
      </c>
      <c r="H25" s="67">
        <f ca="1">GetFileList("P:\TP et Raccodement\FICHES CREES RACCORDEMENT\2 - SAV + COMPL + PASSAGE W XV A SAISIR DANS AX\24-01-2019\*LR PASS*.pdf")</f>
        <v>0</v>
      </c>
      <c r="I25" s="68">
        <f ca="1">GetFileList("P:\TP et Raccodement\FICHES CREES RACCORDEMENT\2 - SAV + COMPL + PASSAGE W XV A SAISIR DANS AX\24-01-2019\*CL PASS*.pdf")</f>
        <v>0</v>
      </c>
      <c r="J25" s="106">
        <f ca="1">GetFileList("P:\TP et Raccodement\FICHES CREES RACCORDEMENT\2 - SAV + COMPL + PASSAGE W XV A SAISIR DANS AX\24-01-2019\*SAV*.pdf")</f>
        <v>0</v>
      </c>
      <c r="K25" s="77">
        <f ca="1">GetFileList("P:\TP et Raccodement\FICHES CREES RACCORDEMENT\2 - SAV + COMPL + PASSAGE W XV A SAISIR DANS AX\24-01-2019\*COMPLEMENT*.pdf")</f>
        <v>0</v>
      </c>
      <c r="L25" s="77">
        <f ca="1">GetFileList("P:\TP et Raccodement\FICHES CREES RACCORDEMENT\2 - SAV + COMPL + PASSAGE W XV A SAISIR DANS AX\24-01-2019\*REPRISE*.pdf")</f>
        <v>0</v>
      </c>
      <c r="M25" s="77">
        <f ca="1">GetFileList("P:\TP et Raccodement\FICHES CREES RACCORDEMENT\2 - SAV + COMPL + PASSAGE W XV A SAISIR DANS AX\24-01-2019\*REMONTAGE*.pdf")</f>
        <v>0</v>
      </c>
      <c r="N25" s="61"/>
      <c r="O25" s="73">
        <f t="shared" ca="1" si="1"/>
        <v>0</v>
      </c>
    </row>
    <row r="26" spans="1:15" ht="16.5" x14ac:dyDescent="0.3">
      <c r="A26" s="59">
        <v>43490</v>
      </c>
      <c r="B26" s="74">
        <f t="shared" ca="1" si="0"/>
        <v>0</v>
      </c>
      <c r="C26" s="67">
        <f ca="1">GetFileList("P:\TP et Raccodement\FICHES CREES RACCORDEMENT\1 - RACCOS A SAISIR DANS AX\25-01-2019\*LM RACCO*.pdf")</f>
        <v>0</v>
      </c>
      <c r="D26" s="67">
        <f ca="1">GetFileList("P:\TP et Raccodement\FICHES CREES RACCORDEMENT\1 - RACCOS A SAISIR DANS AX\25-01-2019\*LR RACCO*.pdf")</f>
        <v>0</v>
      </c>
      <c r="E26" s="67">
        <f ca="1">GetFileList("P:\TP et Raccodement\FICHES CREES RACCORDEMENT\1 - RACCOS A SAISIR DANS AX\25-01-2019\*CL RACCO*.pdf")</f>
        <v>0</v>
      </c>
      <c r="F26" s="75">
        <f t="shared" ca="1" si="2"/>
        <v>0</v>
      </c>
      <c r="G26" s="67">
        <f ca="1">GetFileList("P:\TP et Raccodement\FICHES CREES RACCORDEMENT\2 - SAV + COMPL + PASSAGE W XV A SAISIR DANS AX\25-01-2019\*LM PASS*.pdf")</f>
        <v>0</v>
      </c>
      <c r="H26" s="67">
        <f ca="1">GetFileList("P:\TP et Raccodement\FICHES CREES RACCORDEMENT\2 - SAV + COMPL + PASSAGE W XV A SAISIR DANS AX\25-01-2019\*LR PASS*.pdf")</f>
        <v>0</v>
      </c>
      <c r="I26" s="68">
        <f ca="1">GetFileList("P:\TP et Raccodement\FICHES CREES RACCORDEMENT\2 - SAV + COMPL + PASSAGE W XV A SAISIR DANS AX\25-01-2019\*CL PASS*.pdf")</f>
        <v>0</v>
      </c>
      <c r="J26" s="106">
        <f ca="1">GetFileList("P:\TP et Raccodement\FICHES CREES RACCORDEMENT\2 - SAV + COMPL + PASSAGE W XV A SAISIR DANS AX\25-01-2019\*SAV*.pdf")</f>
        <v>0</v>
      </c>
      <c r="K26" s="77">
        <f ca="1">GetFileList("P:\TP et Raccodement\FICHES CREES RACCORDEMENT\2 - SAV + COMPL + PASSAGE W XV A SAISIR DANS AX\25-01-2019\*COMPLEMENT*.pdf")</f>
        <v>0</v>
      </c>
      <c r="L26" s="77">
        <f ca="1">GetFileList("P:\TP et Raccodement\FICHES CREES RACCORDEMENT\2 - SAV + COMPL + PASSAGE W XV A SAISIR DANS AX\25-01-2019\*REPRISE*.pdf")</f>
        <v>0</v>
      </c>
      <c r="M26" s="77">
        <f ca="1">GetFileList("P:\TP et Raccodement\FICHES CREES RACCORDEMENT\2 - SAV + COMPL + PASSAGE W XV A SAISIR DANS AX\25-01-2019\*REMONTAGE*.pdf")</f>
        <v>0</v>
      </c>
      <c r="N26" s="61"/>
      <c r="O26" s="73">
        <f t="shared" ca="1" si="1"/>
        <v>0</v>
      </c>
    </row>
    <row r="27" spans="1:15" ht="16.5" x14ac:dyDescent="0.3">
      <c r="A27" s="59">
        <v>43491</v>
      </c>
      <c r="B27" s="74">
        <f t="shared" ca="1" si="0"/>
        <v>0</v>
      </c>
      <c r="C27" s="67">
        <f ca="1">GetFileList("P:\TP et Raccodement\FICHES CREES RACCORDEMENT\1 - RACCOS A SAISIR DANS AX\26-01-2019\*LM RACCO*.pdf")</f>
        <v>0</v>
      </c>
      <c r="D27" s="67">
        <f ca="1">GetFileList("P:\TP et Raccodement\FICHES CREES RACCORDEMENT\1 - RACCOS A SAISIR DANS AX\26-01-2019\*LR RACCO*.pdf")</f>
        <v>0</v>
      </c>
      <c r="E27" s="67">
        <f ca="1">GetFileList("P:\TP et Raccodement\FICHES CREES RACCORDEMENT\1 - RACCOS A SAISIR DANS AX\26-01-2019\*CL RACCO*.pdf")</f>
        <v>0</v>
      </c>
      <c r="F27" s="75">
        <f t="shared" ca="1" si="2"/>
        <v>0</v>
      </c>
      <c r="G27" s="67">
        <f ca="1">GetFileList("P:\TP et Raccodement\FICHES CREES RACCORDEMENT\2 - SAV + COMPL + PASSAGE W XV A SAISIR DANS AX\26-01-2019\*LM PASS*.pdf")</f>
        <v>0</v>
      </c>
      <c r="H27" s="67">
        <f ca="1">GetFileList("P:\TP et Raccodement\FICHES CREES RACCORDEMENT\2 - SAV + COMPL + PASSAGE W XV A SAISIR DANS AX\26-01-2019\*LR PASS*.pdf")</f>
        <v>0</v>
      </c>
      <c r="I27" s="68">
        <f ca="1">GetFileList("P:\TP et Raccodement\FICHES CREES RACCORDEMENT\2 - SAV + COMPL + PASSAGE W XV A SAISIR DANS AX\26-01-2019\*CL PASS*.pdf")</f>
        <v>0</v>
      </c>
      <c r="J27" s="106">
        <f ca="1">GetFileList("P:\TP et Raccodement\FICHES CREES RACCORDEMENT\2 - SAV + COMPL + PASSAGE W XV A SAISIR DANS AX\26-01-2019\*SAV*.pdf")</f>
        <v>0</v>
      </c>
      <c r="K27" s="77">
        <f ca="1">GetFileList("P:\TP et Raccodement\FICHES CREES RACCORDEMENT\2 - SAV + COMPL + PASSAGE W XV A SAISIR DANS AX\26-01-2019\*COMPLEMENT*.pdf")</f>
        <v>0</v>
      </c>
      <c r="L27" s="77">
        <f ca="1">GetFileList("P:\TP et Raccodement\FICHES CREES RACCORDEMENT\2 - SAV + COMPL + PASSAGE W XV A SAISIR DANS AX\26-01-2019\*REPRISE*.pdf")</f>
        <v>0</v>
      </c>
      <c r="M27" s="77">
        <f ca="1">GetFileList("P:\TP et Raccodement\FICHES CREES RACCORDEMENT\2 - SAV + COMPL + PASSAGE W XV A SAISIR DANS AX\26-01-2019\*REMONTAGE*.pdf")</f>
        <v>0</v>
      </c>
      <c r="N27" s="61"/>
      <c r="O27" s="73">
        <f t="shared" ca="1" si="1"/>
        <v>0</v>
      </c>
    </row>
    <row r="28" spans="1:15" ht="16.5" x14ac:dyDescent="0.3">
      <c r="A28" s="88">
        <v>43492</v>
      </c>
      <c r="B28" s="89">
        <f t="shared" ca="1" si="0"/>
        <v>0</v>
      </c>
      <c r="C28" s="90">
        <f ca="1">GetFileList("P:\TP et Raccodement\FICHES CREES RACCORDEMENT\1 - RACCOS A SAISIR DANS AX\27-01-2019\*LM RACCO*.pdf")</f>
        <v>0</v>
      </c>
      <c r="D28" s="90">
        <f ca="1">GetFileList("P:\TP et Raccodement\FICHES CREES RACCORDEMENT\1 - RACCOS A SAISIR DANS AX\27-01-2019\*LR RACCO*.pdf")</f>
        <v>0</v>
      </c>
      <c r="E28" s="90">
        <f ca="1">GetFileList("P:\TP et Raccodement\FICHES CREES RACCORDEMENT\1 - RACCOS A SAISIR DANS AX\27-01-2019\*CL RACCO*.pdf")</f>
        <v>0</v>
      </c>
      <c r="F28" s="92">
        <f t="shared" ca="1" si="2"/>
        <v>0</v>
      </c>
      <c r="G28" s="90">
        <f ca="1">GetFileList("P:\TP et Raccodement\FICHES CREES RACCORDEMENT\2 - SAV + COMPL + PASSAGE W XV A SAISIR DANS AX\27-01-2019\*LM PASS*.pdf")</f>
        <v>0</v>
      </c>
      <c r="H28" s="90">
        <f ca="1">GetFileList("P:\TP et Raccodement\FICHES CREES RACCORDEMENT\2 - SAV + COMPL + PASSAGE W XV A SAISIR DANS AX\27-01-2019\*LR PASS*.pdf")</f>
        <v>0</v>
      </c>
      <c r="I28" s="91">
        <f ca="1">GetFileList("P:\TP et Raccodement\FICHES CREES RACCORDEMENT\2 - SAV + COMPL + PASSAGE W XV A SAISIR DANS AX\27-01-2019\*CL PASS*.pdf")</f>
        <v>0</v>
      </c>
      <c r="J28" s="105">
        <f ca="1">GetFileList("P:\TP et Raccodement\FICHES CREES RACCORDEMENT\2 - SAV + COMPL + PASSAGE W XV A SAISIR DANS AX\27-01-2019\*SAV*.pdf")</f>
        <v>0</v>
      </c>
      <c r="K28" s="94">
        <f ca="1">GetFileList("P:\TP et Raccodement\FICHES CREES RACCORDEMENT\2 - SAV + COMPL + PASSAGE W XV A SAISIR DANS AX\27-01-2019\*COMPLEMENT*.pdf")</f>
        <v>0</v>
      </c>
      <c r="L28" s="94">
        <f ca="1">GetFileList("P:\TP et Raccodement\FICHES CREES RACCORDEMENT\2 - SAV + COMPL + PASSAGE W XV A SAISIR DANS AX\27-01-2019\*REPRISE*.pdf")</f>
        <v>0</v>
      </c>
      <c r="M28" s="94">
        <f ca="1">GetFileList("P:\TP et Raccodement\FICHES CREES RACCORDEMENT\2 - SAV + COMPL + PASSAGE W XV A SAISIR DANS AX\27-01-2019\*REMONTAGE*.pdf")</f>
        <v>0</v>
      </c>
      <c r="N28" s="61"/>
      <c r="O28" s="73">
        <f t="shared" ca="1" si="1"/>
        <v>0</v>
      </c>
    </row>
    <row r="29" spans="1:15" ht="16.5" x14ac:dyDescent="0.3">
      <c r="A29" s="59">
        <v>43493</v>
      </c>
      <c r="B29" s="74">
        <f t="shared" ca="1" si="0"/>
        <v>0</v>
      </c>
      <c r="C29" s="67">
        <f ca="1">GetFileList("P:\TP et Raccodement\FICHES CREES RACCORDEMENT\1 - RACCOS A SAISIR DANS AX\28-01-2019\*LM RACCO*.pdf")</f>
        <v>0</v>
      </c>
      <c r="D29" s="67">
        <f ca="1">GetFileList("P:\TP et Raccodement\FICHES CREES RACCORDEMENT\1 - RACCOS A SAISIR DANS AX\28-01-2019\*LR RACCO*.pdf")</f>
        <v>0</v>
      </c>
      <c r="E29" s="67">
        <f ca="1">GetFileList("P:\TP et Raccodement\FICHES CREES RACCORDEMENT\1 - RACCOS A SAISIR DANS AX\28-01-2019\*CL RACCO*.pdf")</f>
        <v>0</v>
      </c>
      <c r="F29" s="75">
        <f t="shared" ca="1" si="2"/>
        <v>0</v>
      </c>
      <c r="G29" s="67">
        <f ca="1">GetFileList("P:\TP et Raccodement\FICHES CREES RACCORDEMENT\2 - SAV + COMPL + PASSAGE W XV A SAISIR DANS AX\28-01-2019\*LM PASS*.pdf")</f>
        <v>0</v>
      </c>
      <c r="H29" s="67">
        <f ca="1">GetFileList("P:\TP et Raccodement\FICHES CREES RACCORDEMENT\2 - SAV + COMPL + PASSAGE W XV A SAISIR DANS AX\28-01-2019\*LR PASS*.pdf")</f>
        <v>0</v>
      </c>
      <c r="I29" s="68">
        <f ca="1">GetFileList("P:\TP et Raccodement\FICHES CREES RACCORDEMENT\2 - SAV + COMPL + PASSAGE W XV A SAISIR DANS AX\28-01-2019\*CL PASS*.pdf")</f>
        <v>0</v>
      </c>
      <c r="J29" s="106">
        <f ca="1">GetFileList("P:\TP et Raccodement\FICHES CREES RACCORDEMENT\2 - SAV + COMPL + PASSAGE W XV A SAISIR DANS AX\28-01-2019\*SAV*.pdf")</f>
        <v>0</v>
      </c>
      <c r="K29" s="77">
        <f ca="1">GetFileList("P:\TP et Raccodement\FICHES CREES RACCORDEMENT\2 - SAV + COMPL + PASSAGE W XV A SAISIR DANS AX\28-01-2019\*COMPLEMENT*.pdf")</f>
        <v>0</v>
      </c>
      <c r="L29" s="77">
        <f ca="1">GetFileList("P:\TP et Raccodement\FICHES CREES RACCORDEMENT\2 - SAV + COMPL + PASSAGE W XV A SAISIR DANS AX\28-01-2019\*REPRISE*.pdf")</f>
        <v>0</v>
      </c>
      <c r="M29" s="77">
        <f ca="1">GetFileList("P:\TP et Raccodement\FICHES CREES RACCORDEMENT\2 - SAV + COMPL + PASSAGE W XV A SAISIR DANS AX\28-01-2019\*REMONTAGE*.pdf")</f>
        <v>0</v>
      </c>
      <c r="N29" s="61"/>
      <c r="O29" s="73">
        <f t="shared" ca="1" si="1"/>
        <v>0</v>
      </c>
    </row>
    <row r="30" spans="1:15" ht="16.5" x14ac:dyDescent="0.3">
      <c r="A30" s="59">
        <v>43494</v>
      </c>
      <c r="B30" s="74">
        <f t="shared" ca="1" si="0"/>
        <v>0</v>
      </c>
      <c r="C30" s="67">
        <f ca="1">GetFileList("P:\TP et Raccodement\FICHES CREES RACCORDEMENT\1 - RACCOS A SAISIR DANS AX\29-01-2019\*LM RACCO*.pdf")</f>
        <v>0</v>
      </c>
      <c r="D30" s="67">
        <f ca="1">GetFileList("P:\TP et Raccodement\FICHES CREES RACCORDEMENT\1 - RACCOS A SAISIR DANS AX\29-01-2019\*LR RACCO*.pdf")</f>
        <v>0</v>
      </c>
      <c r="E30" s="67">
        <f ca="1">GetFileList("P:\TP et Raccodement\FICHES CREES RACCORDEMENT\1 - RACCOS A SAISIR DANS AX\29-01-2019\*CL RACCO*.pdf")</f>
        <v>0</v>
      </c>
      <c r="F30" s="75">
        <f t="shared" ca="1" si="2"/>
        <v>0</v>
      </c>
      <c r="G30" s="67">
        <f ca="1">GetFileList("P:\TP et Raccodement\FICHES CREES RACCORDEMENT\2 - SAV + COMPL + PASSAGE W XV A SAISIR DANS AX\29-01-2019\*LM PASS*.pdf")</f>
        <v>0</v>
      </c>
      <c r="H30" s="67">
        <f ca="1">GetFileList("P:\TP et Raccodement\FICHES CREES RACCORDEMENT\2 - SAV + COMPL + PASSAGE W XV A SAISIR DANS AX\29-01-2019\*LR PASS*.pdf")</f>
        <v>0</v>
      </c>
      <c r="I30" s="68">
        <f ca="1">GetFileList("P:\TP et Raccodement\FICHES CREES RACCORDEMENT\2 - SAV + COMPL + PASSAGE W XV A SAISIR DANS AX\29-01-2019\*CL PASS*.pdf")</f>
        <v>0</v>
      </c>
      <c r="J30" s="106">
        <f ca="1">GetFileList("P:\TP et Raccodement\FICHES CREES RACCORDEMENT\2 - SAV + COMPL + PASSAGE W XV A SAISIR DANS AX\29-01-2019\*SAV*.pdf")</f>
        <v>0</v>
      </c>
      <c r="K30" s="77">
        <f ca="1">GetFileList("P:\TP et Raccodement\FICHES CREES RACCORDEMENT\2 - SAV + COMPL + PASSAGE W XV A SAISIR DANS AX\29-01-2019\*COMPLEMENT*.pdf")</f>
        <v>0</v>
      </c>
      <c r="L30" s="77">
        <f ca="1">GetFileList("P:\TP et Raccodement\FICHES CREES RACCORDEMENT\2 - SAV + COMPL + PASSAGE W XV A SAISIR DANS AX\29-01-2019\*REPRISE*.pdf")</f>
        <v>0</v>
      </c>
      <c r="M30" s="77">
        <f ca="1">GetFileList("P:\TP et Raccodement\FICHES CREES RACCORDEMENT\2 - SAV + COMPL + PASSAGE W XV A SAISIR DANS AX\29-01-2019\*REMONTAGE*.pdf")</f>
        <v>0</v>
      </c>
      <c r="N30" s="61"/>
      <c r="O30" s="73">
        <f t="shared" ca="1" si="1"/>
        <v>0</v>
      </c>
    </row>
    <row r="31" spans="1:15" ht="16.5" x14ac:dyDescent="0.3">
      <c r="A31" s="59">
        <v>43495</v>
      </c>
      <c r="B31" s="74">
        <f t="shared" ca="1" si="0"/>
        <v>0</v>
      </c>
      <c r="C31" s="67">
        <f ca="1">GetFileList("P:\TP et Raccodement\FICHES CREES RACCORDEMENT\1 - RACCOS A SAISIR DANS AX\30-01-2019\*LM RACCO*.pdf")</f>
        <v>0</v>
      </c>
      <c r="D31" s="67">
        <f ca="1">GetFileList("P:\TP et Raccodement\FICHES CREES RACCORDEMENT\1 - RACCOS A SAISIR DANS AX\30-01-2019\*LR RACCO*.pdf")</f>
        <v>0</v>
      </c>
      <c r="E31" s="67">
        <f ca="1">GetFileList("P:\TP et Raccodement\FICHES CREES RACCORDEMENT\1 - RACCOS A SAISIR DANS AX\30-01-2019\*CL RACCO*.pdf")</f>
        <v>0</v>
      </c>
      <c r="F31" s="75">
        <f t="shared" ca="1" si="2"/>
        <v>0</v>
      </c>
      <c r="G31" s="67">
        <f ca="1">GetFileList("P:\TP et Raccodement\FICHES CREES RACCORDEMENT\2 - SAV + COMPL + PASSAGE W XV A SAISIR DANS AX\30-01-2019\*LM PASS*.pdf")</f>
        <v>0</v>
      </c>
      <c r="H31" s="67">
        <f ca="1">GetFileList("P:\TP et Raccodement\FICHES CREES RACCORDEMENT\2 - SAV + COMPL + PASSAGE W XV A SAISIR DANS AX\30-01-2019\*LR PASS*.pdf")</f>
        <v>0</v>
      </c>
      <c r="I31" s="68">
        <f ca="1">GetFileList("P:\TP et Raccodement\FICHES CREES RACCORDEMENT\2 - SAV + COMPL + PASSAGE W XV A SAISIR DANS AX\30-01-2019\*CL PASS*.pdf")</f>
        <v>0</v>
      </c>
      <c r="J31" s="106">
        <f ca="1">GetFileList("P:\TP et Raccodement\FICHES CREES RACCORDEMENT\2 - SAV + COMPL + PASSAGE W XV A SAISIR DANS AX\30-01-2019\*SAV*.pdf")</f>
        <v>0</v>
      </c>
      <c r="K31" s="77">
        <f ca="1">GetFileList("P:\TP et Raccodement\FICHES CREES RACCORDEMENT\2 - SAV + COMPL + PASSAGE W XV A SAISIR DANS AX\30-01-2019\*COMPLEMENT*.pdf")</f>
        <v>0</v>
      </c>
      <c r="L31" s="77">
        <f ca="1">GetFileList("P:\TP et Raccodement\FICHES CREES RACCORDEMENT\2 - SAV + COMPL + PASSAGE W XV A SAISIR DANS AX\30-01-2019\*REPRISE*.pdf")</f>
        <v>0</v>
      </c>
      <c r="M31" s="77">
        <f ca="1">GetFileList("P:\TP et Raccodement\FICHES CREES RACCORDEMENT\2 - SAV + COMPL + PASSAGE W XV A SAISIR DANS AX\30-01-2019\*REMONTAGE*.pdf")</f>
        <v>0</v>
      </c>
      <c r="N31" s="61"/>
      <c r="O31" s="73">
        <f t="shared" ca="1" si="1"/>
        <v>0</v>
      </c>
    </row>
    <row r="32" spans="1:15" ht="17.25" thickBot="1" x14ac:dyDescent="0.35">
      <c r="A32" s="135">
        <v>43496</v>
      </c>
      <c r="B32" s="74">
        <f t="shared" ca="1" si="0"/>
        <v>0</v>
      </c>
      <c r="C32" s="67">
        <f ca="1">GetFileList("P:\TP et Raccodement\FICHES CREES RACCORDEMENT\1 - RACCOS A SAISIR DANS AX\31-01-2019\*LM RACCO*.pdf")</f>
        <v>0</v>
      </c>
      <c r="D32" s="67">
        <f ca="1">GetFileList("P:\TP et Raccodement\FICHES CREES RACCORDEMENT\1 - RACCOS A SAISIR DANS AX\31-01-2019\*LR RACCO*.pdf")</f>
        <v>0</v>
      </c>
      <c r="E32" s="67">
        <f ca="1">GetFileList("P:\TP et Raccodement\FICHES CREES RACCORDEMENT\1 - RACCOS A SAISIR DANS AX\31-01-2019\*CL RACCO*.pdf")</f>
        <v>0</v>
      </c>
      <c r="F32" s="75">
        <f t="shared" ca="1" si="2"/>
        <v>0</v>
      </c>
      <c r="G32" s="67">
        <f ca="1">GetFileList("P:\TP et Raccodement\FICHES CREES RACCORDEMENT\2 - SAV + COMPL + PASSAGE W XV A SAISIR DANS AX\31-01-2019\*LM PASS*.pdf")</f>
        <v>0</v>
      </c>
      <c r="H32" s="67">
        <f ca="1">GetFileList("P:\TP et Raccodement\FICHES CREES RACCORDEMENT\2 - SAV + COMPL + PASSAGE W XV A SAISIR DANS AX\31-01-2019\*LR PASS*.pdf")</f>
        <v>0</v>
      </c>
      <c r="I32" s="68">
        <f ca="1">GetFileList("P:\TP et Raccodement\FICHES CREES RACCORDEMENT\2 - SAV + COMPL + PASSAGE W XV A SAISIR DANS AX\31-01-2019\*CL PASS*.pdf")</f>
        <v>0</v>
      </c>
      <c r="J32" s="106">
        <f ca="1">GetFileList("P:\TP et Raccodement\FICHES CREES RACCORDEMENT\2 - SAV + COMPL + PASSAGE W XV A SAISIR DANS AX\31-01-2019\*SAV*.pdf")</f>
        <v>0</v>
      </c>
      <c r="K32" s="77">
        <f ca="1">GetFileList("P:\TP et Raccodement\FICHES CREES RACCORDEMENT\2 - SAV + COMPL + PASSAGE W XV A SAISIR DANS AX\31-01-2019\*COMPLEMENT*.pdf")</f>
        <v>0</v>
      </c>
      <c r="L32" s="77">
        <f ca="1">GetFileList("P:\TP et Raccodement\FICHES CREES RACCORDEMENT\2 - SAV + COMPL + PASSAGE W XV A SAISIR DANS AX\31-01-2019\*REPRISE*.pdf")</f>
        <v>0</v>
      </c>
      <c r="M32" s="77">
        <f ca="1">GetFileList("P:\TP et Raccodement\FICHES CREES RACCORDEMENT\2 - SAV + COMPL + PASSAGE W XV A SAISIR DANS AX\31-01-2019\*REMONTAGE*.pdf")</f>
        <v>0</v>
      </c>
      <c r="N32" s="61"/>
      <c r="O32" s="73">
        <f t="shared" ca="1" si="1"/>
        <v>0</v>
      </c>
    </row>
    <row r="33" spans="1:15" ht="18" thickBot="1" x14ac:dyDescent="0.35">
      <c r="A33" s="136" t="s">
        <v>10</v>
      </c>
      <c r="B33" s="132">
        <f ca="1">SUM(B2:B32)</f>
        <v>0</v>
      </c>
      <c r="C33" s="133">
        <f t="shared" ref="C33:D33" ca="1" si="3">SUM(C2:C32)</f>
        <v>0</v>
      </c>
      <c r="D33" s="133">
        <f t="shared" ca="1" si="3"/>
        <v>0</v>
      </c>
      <c r="E33" s="134">
        <f ca="1">SUM(E2:E32)</f>
        <v>0</v>
      </c>
      <c r="F33" s="69">
        <f ca="1">SUM(F2:F32)</f>
        <v>0</v>
      </c>
      <c r="G33" s="70">
        <f t="shared" ref="G33:I33" ca="1" si="4">SUM(G2:G32)</f>
        <v>0</v>
      </c>
      <c r="H33" s="70">
        <f t="shared" ca="1" si="4"/>
        <v>0</v>
      </c>
      <c r="I33" s="86">
        <f t="shared" ca="1" si="4"/>
        <v>0</v>
      </c>
      <c r="J33" s="87">
        <f ca="1">SUM(J2:J32)</f>
        <v>0</v>
      </c>
      <c r="K33" s="82">
        <f t="shared" ref="K33:M33" ca="1" si="5">SUM(K2:K32)</f>
        <v>0</v>
      </c>
      <c r="L33" s="82">
        <f t="shared" ca="1" si="5"/>
        <v>0</v>
      </c>
      <c r="M33" s="83">
        <f t="shared" ca="1" si="5"/>
        <v>0</v>
      </c>
      <c r="N33" s="62"/>
      <c r="O33" s="72">
        <f ca="1">SUM(O2:O32)</f>
        <v>0</v>
      </c>
    </row>
  </sheetData>
  <conditionalFormatting sqref="B2:B32">
    <cfRule type="dataBar" priority="5">
      <dataBar>
        <cfvo type="min"/>
        <cfvo type="max"/>
        <color rgb="FF41A964"/>
      </dataBar>
      <extLst>
        <ext xmlns:x14="http://schemas.microsoft.com/office/spreadsheetml/2009/9/main" uri="{B025F937-C7B1-47D3-B67F-A62EFF666E3E}">
          <x14:id>{D00E0B51-D0CB-428C-AFB4-17723DFE6B3B}</x14:id>
        </ext>
      </extLst>
    </cfRule>
  </conditionalFormatting>
  <conditionalFormatting sqref="B3:B5 B8:B12 B15:B19 B22:B26 B29:B32">
    <cfRule type="iconSet" priority="4">
      <iconSet iconSet="3Flags">
        <cfvo type="percent" val="0"/>
        <cfvo type="percent" val="33"/>
        <cfvo type="percent" val="67"/>
      </iconSet>
    </cfRule>
  </conditionalFormatting>
  <conditionalFormatting sqref="F2:F32">
    <cfRule type="dataBar" priority="3">
      <dataBar>
        <cfvo type="min"/>
        <cfvo type="max"/>
        <color rgb="FF53BD76"/>
      </dataBar>
      <extLst>
        <ext xmlns:x14="http://schemas.microsoft.com/office/spreadsheetml/2009/9/main" uri="{B025F937-C7B1-47D3-B67F-A62EFF666E3E}">
          <x14:id>{DA44F081-53C8-44EB-9F8F-BE1CC9CFFF19}</x14:id>
        </ext>
      </extLst>
    </cfRule>
  </conditionalFormatting>
  <conditionalFormatting sqref="F3:F5 F8:F12 F15:F19 F22:F26 F29:F32">
    <cfRule type="iconSet" priority="2">
      <iconSet iconSet="3Flags">
        <cfvo type="percent" val="0"/>
        <cfvo type="percent" val="33"/>
        <cfvo type="percent" val="67"/>
      </iconSet>
    </cfRule>
  </conditionalFormatting>
  <conditionalFormatting sqref="O2:O32">
    <cfRule type="cellIs" dxfId="14" priority="1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G2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00E0B51-D0CB-428C-AFB4-17723DFE6B3B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B2:B32</xm:sqref>
        </x14:conditionalFormatting>
        <x14:conditionalFormatting xmlns:xm="http://schemas.microsoft.com/office/excel/2006/main">
          <x14:cfRule type="dataBar" id="{DA44F081-53C8-44EB-9F8F-BE1CC9CFFF19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F2:F32</xm:sqref>
        </x14:conditionalFormatting>
      </x14:conditionalFormatting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7030A0"/>
  </sheetPr>
  <dimension ref="A1:P30"/>
  <sheetViews>
    <sheetView showGridLines="0" zoomScaleNormal="10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2.140625" customWidth="1"/>
    <col min="2" max="2" width="14.85546875" bestFit="1" customWidth="1"/>
    <col min="6" max="6" width="13.42578125" customWidth="1"/>
    <col min="13" max="13" width="12.28515625" bestFit="1" customWidth="1"/>
    <col min="14" max="14" width="0.85546875" customWidth="1"/>
    <col min="15" max="15" width="9.140625" style="1"/>
    <col min="16" max="16" width="10.7109375" bestFit="1" customWidth="1"/>
  </cols>
  <sheetData>
    <row r="1" spans="1:16" ht="31.5" customHeight="1" x14ac:dyDescent="0.25">
      <c r="A1" s="58" t="s">
        <v>11</v>
      </c>
      <c r="B1" s="66" t="s">
        <v>41</v>
      </c>
      <c r="C1" s="64" t="s">
        <v>1</v>
      </c>
      <c r="D1" s="64" t="s">
        <v>2</v>
      </c>
      <c r="E1" s="65" t="s">
        <v>3</v>
      </c>
      <c r="F1" s="71" t="s">
        <v>42</v>
      </c>
      <c r="G1" s="84" t="s">
        <v>5</v>
      </c>
      <c r="H1" s="84" t="s">
        <v>2</v>
      </c>
      <c r="I1" s="85" t="s">
        <v>3</v>
      </c>
      <c r="J1" s="63" t="s">
        <v>43</v>
      </c>
      <c r="K1" s="64" t="s">
        <v>44</v>
      </c>
      <c r="L1" s="64" t="s">
        <v>45</v>
      </c>
      <c r="M1" s="65" t="s">
        <v>46</v>
      </c>
      <c r="N1" s="60"/>
      <c r="O1" s="71" t="s">
        <v>10</v>
      </c>
    </row>
    <row r="2" spans="1:16" ht="16.5" x14ac:dyDescent="0.3">
      <c r="A2" s="59">
        <v>43497</v>
      </c>
      <c r="B2" s="74">
        <f ca="1">C2+D2+E2</f>
        <v>0</v>
      </c>
      <c r="C2" s="67">
        <f ca="1">GetFileList("P:\TP et Raccodement\FICHES CREES RACCORDEMENT\1 - RACCOS A SAISIR DANS AX\01-02-2019\*LM RACCO*.pdf")</f>
        <v>0</v>
      </c>
      <c r="D2" s="67">
        <f ca="1">GetFileList("P:\TP et Raccodement\FICHES CREES RACCORDEMENT\1 - RACCOS A SAISIR DANS AX\01-02-2019\*LR RACCO*.pdf")</f>
        <v>0</v>
      </c>
      <c r="E2" s="68">
        <f ca="1">GetFileList("P:\TP et Raccodement\FICHES CREES RACCORDEMENT\1 - RACCOS A SAISIR DANS AX\01-02-2019\*CL RACCO*.pdf")</f>
        <v>0</v>
      </c>
      <c r="F2" s="75">
        <f ca="1">G2+H2+I2</f>
        <v>0</v>
      </c>
      <c r="G2" s="67">
        <f ca="1">GetFileList("P:\TP et Raccodement\FICHES CREES RACCORDEMENT\2 - SAV + COMPL + PASSAGE W XV A SAISIR DANS AX\01-02-2019\*LM PASS*.pdf")</f>
        <v>0</v>
      </c>
      <c r="H2" s="67">
        <f ca="1">GetFileList("P:\TP et Raccodement\FICHES CREES RACCORDEMENT\2 - SAV + COMPL + PASSAGE W XV A SAISIR DANS AX\01-02-2019\*LR PASS*.pdf")</f>
        <v>0</v>
      </c>
      <c r="I2" s="68">
        <f ca="1">GetFileList("P:\TP et Raccodement\FICHES CREES RACCORDEMENT\2 - SAV + COMPL + PASSAGE W XV A SAISIR DANS AX\01-02-2019\*CL PASS*.pdf")</f>
        <v>0</v>
      </c>
      <c r="J2" s="76">
        <f ca="1">GetFileList("P:\TP et Raccodement\FICHES CREES RACCORDEMENT\2 - SAV + COMPL + PASSAGE W XV A SAISIR DANS AX\01-02-2019\*SAV*.pdf")</f>
        <v>0</v>
      </c>
      <c r="K2" s="77">
        <f ca="1">GetFileList("P:\TP et Raccodement\FICHES CREES RACCORDEMENT\2 - SAV + COMPL + PASSAGE W XV A SAISIR DANS AX\01-02-2019\*COMPLEMENT*.pdf")</f>
        <v>0</v>
      </c>
      <c r="L2" s="77">
        <f ca="1">GetFileList("P:\TP et Raccodement\FICHES CREES RACCORDEMENT\2 - SAV + COMPL + PASSAGE W XV A SAISIR DANS AX\01-02-2019\*REPRISE*.pdf")</f>
        <v>0</v>
      </c>
      <c r="M2" s="78">
        <f ca="1">GetFileList("P:\TP et Raccodement\FICHES CREES RACCORDEMENT\2 - SAV + COMPL + PASSAGE W XV A SAISIR DANS AX\01-02-2019\*REMONTAGE*.pdf")</f>
        <v>0</v>
      </c>
      <c r="N2" s="61"/>
      <c r="O2" s="73">
        <f ca="1">B2+F2+J2+K2+L2+M2</f>
        <v>0</v>
      </c>
      <c r="P2" s="54"/>
    </row>
    <row r="3" spans="1:16" ht="16.5" x14ac:dyDescent="0.3">
      <c r="A3" s="59">
        <v>43498</v>
      </c>
      <c r="B3" s="74">
        <f t="shared" ref="B3:B29" ca="1" si="0">C3+D3+E3</f>
        <v>0</v>
      </c>
      <c r="C3" s="67">
        <f ca="1">GetFileList("P:\TP et Raccodement\FICHES CREES RACCORDEMENT\1 - RACCOS A SAISIR DANS AX\02-02-2019\*LM RACCO*.pdf")</f>
        <v>0</v>
      </c>
      <c r="D3" s="67">
        <f ca="1">GetFileList("P:\TP et Raccodement\FICHES CREES RACCORDEMENT\1 - RACCOS A SAISIR DANS AX\02-02-2019\*LR RACCO*.pdf")</f>
        <v>0</v>
      </c>
      <c r="E3" s="68">
        <f ca="1">GetFileList("P:\TP et Raccodement\FICHES CREES RACCORDEMENT\1 - RACCOS A SAISIR DANS AX\02-02-2019\*CL RACCO*.pdf")</f>
        <v>0</v>
      </c>
      <c r="F3" s="75">
        <f ca="1">G3+H3+I3</f>
        <v>0</v>
      </c>
      <c r="G3" s="67">
        <f ca="1">GetFileList("P:\TP et Raccodement\FICHES CREES RACCORDEMENT\2 - SAV + COMPL + PASSAGE W XV A SAISIR DANS AX\02-02-2019\*LM PASS*.pdf")</f>
        <v>0</v>
      </c>
      <c r="H3" s="67">
        <f ca="1">GetFileList("P:\TP et Raccodement\FICHES CREES RACCORDEMENT\2 - SAV + COMPL + PASSAGE W XV A SAISIR DANS AX\02-02-2019\*LR PASS*.pdf")</f>
        <v>0</v>
      </c>
      <c r="I3" s="68">
        <f ca="1">GetFileList("P:\TP et Raccodement\FICHES CREES RACCORDEMENT\2 - SAV + COMPL + PASSAGE W XV A SAISIR DANS AX\02-02-2019\*CL PASS*.pdf")</f>
        <v>0</v>
      </c>
      <c r="J3" s="76">
        <f ca="1">GetFileList("P:\TP et Raccodement\FICHES CREES RACCORDEMENT\2 - SAV + COMPL + PASSAGE W XV A SAISIR DANS AX\02-02-2019\*SAV*.pdf")</f>
        <v>0</v>
      </c>
      <c r="K3" s="77">
        <f ca="1">GetFileList("P:\TP et Raccodement\FICHES CREES RACCORDEMENT\2 - SAV + COMPL + PASSAGE W XV A SAISIR DANS AX\02-02-2019\*COMPLEMENT*.pdf")</f>
        <v>0</v>
      </c>
      <c r="L3" s="77">
        <f ca="1">GetFileList("P:\TP et Raccodement\FICHES CREES RACCORDEMENT\2 - SAV + COMPL + PASSAGE W XV A SAISIR DANS AX\02-02-2019\*REPRISE*.pdf")</f>
        <v>0</v>
      </c>
      <c r="M3" s="78">
        <f ca="1">GetFileList("P:\TP et Raccodement\FICHES CREES RACCORDEMENT\2 - SAV + COMPL + PASSAGE W XV A SAISIR DANS AX\02-02-2019\*REMONTAGE*.pdf")</f>
        <v>0</v>
      </c>
      <c r="N3" s="61"/>
      <c r="O3" s="73">
        <f t="shared" ref="O3:O29" ca="1" si="1">B3+F3+J3+K3+L3+M3</f>
        <v>0</v>
      </c>
    </row>
    <row r="4" spans="1:16" ht="16.5" x14ac:dyDescent="0.3">
      <c r="A4" s="88">
        <v>43499</v>
      </c>
      <c r="B4" s="89">
        <f t="shared" ca="1" si="0"/>
        <v>0</v>
      </c>
      <c r="C4" s="90">
        <f ca="1">GetFileList("P:\TP et Raccodement\FICHES CREES RACCORDEMENT\1 - RACCOS A SAISIR DANS AX\03-02-2019\*LM RACCO*.pdf")</f>
        <v>0</v>
      </c>
      <c r="D4" s="90">
        <f ca="1">GetFileList("P:\TP et Raccodement\FICHES CREES RACCORDEMENT\1 - RACCOS A SAISIR DANS AX\03-02-2019\*LR RACCO*.pdf")</f>
        <v>0</v>
      </c>
      <c r="E4" s="91">
        <f ca="1">GetFileList("P:\TP et Raccodement\FICHES CREES RACCORDEMENT\1 - RACCOS A SAISIR DANS AX\03-02-2019\*CL RACCO*.pdf")</f>
        <v>0</v>
      </c>
      <c r="F4" s="92">
        <f t="shared" ref="F4:F29" ca="1" si="2">G4+H4+I4</f>
        <v>0</v>
      </c>
      <c r="G4" s="90">
        <f ca="1">GetFileList("P:\TP et Raccodement\FICHES CREES RACCORDEMENT\2 - SAV + COMPL + PASSAGE W XV A SAISIR DANS AX\03-02-2019\*LM PASS*.pdf")</f>
        <v>0</v>
      </c>
      <c r="H4" s="90">
        <f ca="1">GetFileList("P:\TP et Raccodement\FICHES CREES RACCORDEMENT\2 - SAV + COMPL + PASSAGE W XV A SAISIR DANS AX\03-02-2019\*LR PASS*.pdf")</f>
        <v>0</v>
      </c>
      <c r="I4" s="91">
        <f ca="1">GetFileList("P:\TP et Raccodement\FICHES CREES RACCORDEMENT\2 - SAV + COMPL + PASSAGE W XV A SAISIR DANS AX\03-02-2019\*CL PASS*.pdf")</f>
        <v>0</v>
      </c>
      <c r="J4" s="93">
        <f ca="1">GetFileList("P:\TP et Raccodement\FICHES CREES RACCORDEMENT\2 - SAV + COMPL + PASSAGE W XV A SAISIR DANS AX\03-02-2019\*SAV*.pdf")</f>
        <v>0</v>
      </c>
      <c r="K4" s="94">
        <f ca="1">GetFileList("P:\TP et Raccodement\FICHES CREES RACCORDEMENT\2 - SAV + COMPL + PASSAGE W XV A SAISIR DANS AX\03-02-2019\*COMPLEMENT*.pdf")</f>
        <v>0</v>
      </c>
      <c r="L4" s="94">
        <f ca="1">GetFileList("P:\TP et Raccodement\FICHES CREES RACCORDEMENT\2 - SAV + COMPL + PASSAGE W XV A SAISIR DANS AX\03-02-2019\*REPRISE*.pdf")</f>
        <v>0</v>
      </c>
      <c r="M4" s="95">
        <f ca="1">GetFileList("P:\TP et Raccodement\FICHES CREES RACCORDEMENT\2 - SAV + COMPL + PASSAGE W XV A SAISIR DANS AX\03-02-2019\*REMONTAGE*.pdf")</f>
        <v>0</v>
      </c>
      <c r="N4" s="61"/>
      <c r="O4" s="73">
        <f t="shared" ca="1" si="1"/>
        <v>0</v>
      </c>
    </row>
    <row r="5" spans="1:16" ht="16.5" x14ac:dyDescent="0.3">
      <c r="A5" s="59">
        <v>43500</v>
      </c>
      <c r="B5" s="74">
        <f t="shared" ca="1" si="0"/>
        <v>0</v>
      </c>
      <c r="C5" s="67">
        <f ca="1">GetFileList("P:\TP et Raccodement\FICHES CREES RACCORDEMENT\1 - RACCOS A SAISIR DANS AX\04-02-2019\*LM RACCO*.pdf")</f>
        <v>0</v>
      </c>
      <c r="D5" s="67">
        <f ca="1">GetFileList("P:\TP et Raccodement\FICHES CREES RACCORDEMENT\1 - RACCOS A SAISIR DANS AX\04-02-2019\*LR RACCO*.pdf")</f>
        <v>0</v>
      </c>
      <c r="E5" s="68">
        <f ca="1">GetFileList("P:\TP et Raccodement\FICHES CREES RACCORDEMENT\1 - RACCOS A SAISIR DANS AX\04-02-2019\*CL RACCO*.pdf")</f>
        <v>0</v>
      </c>
      <c r="F5" s="75">
        <f t="shared" ca="1" si="2"/>
        <v>0</v>
      </c>
      <c r="G5" s="67">
        <f ca="1">GetFileList("P:\TP et Raccodement\FICHES CREES RACCORDEMENT\2 - SAV + COMPL + PASSAGE W XV A SAISIR DANS AX\04-02-2019\*LM PASS*.pdf")</f>
        <v>0</v>
      </c>
      <c r="H5" s="67">
        <f ca="1">GetFileList("P:\TP et Raccodement\FICHES CREES RACCORDEMENT\2 - SAV + COMPL + PASSAGE W XV A SAISIR DANS AX\04-02-2019\*LR PASS*.pdf")</f>
        <v>0</v>
      </c>
      <c r="I5" s="68">
        <f ca="1">GetFileList("P:\TP et Raccodement\FICHES CREES RACCORDEMENT\2 - SAV + COMPL + PASSAGE W XV A SAISIR DANS AX\04-02-2019\*CL PASS*.pdf")</f>
        <v>0</v>
      </c>
      <c r="J5" s="76">
        <f ca="1">GetFileList("P:\TP et Raccodement\FICHES CREES RACCORDEMENT\2 - SAV + COMPL + PASSAGE W XV A SAISIR DANS AX\04-02-2019\*SAV*.pdf")</f>
        <v>0</v>
      </c>
      <c r="K5" s="77">
        <f ca="1">GetFileList("P:\TP et Raccodement\FICHES CREES RACCORDEMENT\2 - SAV + COMPL + PASSAGE W XV A SAISIR DANS AX\04-02-2019\*COMPLEMENT*.pdf")</f>
        <v>0</v>
      </c>
      <c r="L5" s="77">
        <f ca="1">GetFileList("P:\TP et Raccodement\FICHES CREES RACCORDEMENT\2 - SAV + COMPL + PASSAGE W XV A SAISIR DANS AX\04-02-2019\*REPRISE*.pdf")</f>
        <v>0</v>
      </c>
      <c r="M5" s="78">
        <f ca="1">GetFileList("P:\TP et Raccodement\FICHES CREES RACCORDEMENT\2 - SAV + COMPL + PASSAGE W XV A SAISIR DANS AX\04-02-2019\*REMONTAGE*.pdf")</f>
        <v>0</v>
      </c>
      <c r="N5" s="61"/>
      <c r="O5" s="73">
        <f t="shared" ca="1" si="1"/>
        <v>0</v>
      </c>
    </row>
    <row r="6" spans="1:16" ht="16.5" x14ac:dyDescent="0.3">
      <c r="A6" s="59">
        <v>43501</v>
      </c>
      <c r="B6" s="74">
        <f t="shared" ca="1" si="0"/>
        <v>0</v>
      </c>
      <c r="C6" s="67">
        <f ca="1">GetFileList("P:\TP et Raccodement\FICHES CREES RACCORDEMENT\1 - RACCOS A SAISIR DANS AX\05-02-2019\*LM RACCO*.pdf")</f>
        <v>0</v>
      </c>
      <c r="D6" s="67">
        <f ca="1">GetFileList("P:\TP et Raccodement\FICHES CREES RACCORDEMENT\1 - RACCOS A SAISIR DANS AX\05-02-2019\*LR RACCO*.pdf")</f>
        <v>0</v>
      </c>
      <c r="E6" s="68">
        <f ca="1">GetFileList("P:\TP et Raccodement\FICHES CREES RACCORDEMENT\1 - RACCOS A SAISIR DANS AX\05-02-2019\*CL RACCO*.pdf")</f>
        <v>0</v>
      </c>
      <c r="F6" s="75">
        <f t="shared" ca="1" si="2"/>
        <v>0</v>
      </c>
      <c r="G6" s="67">
        <f ca="1">GetFileList("P:\TP et Raccodement\FICHES CREES RACCORDEMENT\2 - SAV + COMPL + PASSAGE W XV A SAISIR DANS AX\05-02-2019\*LM PASS*.pdf")</f>
        <v>0</v>
      </c>
      <c r="H6" s="67">
        <f ca="1">GetFileList("P:\TP et Raccodement\FICHES CREES RACCORDEMENT\2 - SAV + COMPL + PASSAGE W XV A SAISIR DANS AX\05-02-2019\*LR PASS*.pdf")</f>
        <v>0</v>
      </c>
      <c r="I6" s="68">
        <f ca="1">GetFileList("P:\TP et Raccodement\FICHES CREES RACCORDEMENT\2 - SAV + COMPL + PASSAGE W XV A SAISIR DANS AX\05-02-2019\*CL PASS*.pdf")</f>
        <v>0</v>
      </c>
      <c r="J6" s="76">
        <f ca="1">GetFileList("P:\TP et Raccodement\FICHES CREES RACCORDEMENT\2 - SAV + COMPL + PASSAGE W XV A SAISIR DANS AX\05-02-2019\*SAV*.pdf")</f>
        <v>0</v>
      </c>
      <c r="K6" s="77">
        <f ca="1">GetFileList("P:\TP et Raccodement\FICHES CREES RACCORDEMENT\2 - SAV + COMPL + PASSAGE W XV A SAISIR DANS AX\05-02-2019\*COMPLEMENT*.pdf")</f>
        <v>0</v>
      </c>
      <c r="L6" s="77">
        <f ca="1">GetFileList("P:\TP et Raccodement\FICHES CREES RACCORDEMENT\2 - SAV + COMPL + PASSAGE W XV A SAISIR DANS AX\05-02-2019\*REPRISE*.pdf")</f>
        <v>0</v>
      </c>
      <c r="M6" s="78">
        <f ca="1">GetFileList("P:\TP et Raccodement\FICHES CREES RACCORDEMENT\2 - SAV + COMPL + PASSAGE W XV A SAISIR DANS AX\05-02-2019\*REMONTAGE*.pdf")</f>
        <v>0</v>
      </c>
      <c r="N6" s="61"/>
      <c r="O6" s="73">
        <f t="shared" ca="1" si="1"/>
        <v>0</v>
      </c>
    </row>
    <row r="7" spans="1:16" ht="16.5" x14ac:dyDescent="0.3">
      <c r="A7" s="59">
        <v>43502</v>
      </c>
      <c r="B7" s="74">
        <f t="shared" ca="1" si="0"/>
        <v>0</v>
      </c>
      <c r="C7" s="67">
        <f ca="1">GetFileList("P:\TP et Raccodement\FICHES CREES RACCORDEMENT\1 - RACCOS A SAISIR DANS AX\06-02-2019\*LM RACCO*.pdf")</f>
        <v>0</v>
      </c>
      <c r="D7" s="67">
        <f ca="1">GetFileList("P:\TP et Raccodement\FICHES CREES RACCORDEMENT\1 - RACCOS A SAISIR DANS AX\06-02-2019\*LR RACCO*.pdf")</f>
        <v>0</v>
      </c>
      <c r="E7" s="68">
        <f ca="1">GetFileList("P:\TP et Raccodement\FICHES CREES RACCORDEMENT\1 - RACCOS A SAISIR DANS AX\06-02-2019\*CL RACCO*.pdf")</f>
        <v>0</v>
      </c>
      <c r="F7" s="75">
        <f t="shared" ca="1" si="2"/>
        <v>0</v>
      </c>
      <c r="G7" s="67">
        <f ca="1">GetFileList("P:\TP et Raccodement\FICHES CREES RACCORDEMENT\2 - SAV + COMPL + PASSAGE W XV A SAISIR DANS AX\06-02-2019\*LM PASS*.pdf")</f>
        <v>0</v>
      </c>
      <c r="H7" s="67">
        <f ca="1">GetFileList("P:\TP et Raccodement\FICHES CREES RACCORDEMENT\2 - SAV + COMPL + PASSAGE W XV A SAISIR DANS AX\06-02-2019\*LR PASS*.pdf")</f>
        <v>0</v>
      </c>
      <c r="I7" s="68">
        <f ca="1">GetFileList("P:\TP et Raccodement\FICHES CREES RACCORDEMENT\2 - SAV + COMPL + PASSAGE W XV A SAISIR DANS AX\06-02-2019\*CL PASS*.pdf")</f>
        <v>0</v>
      </c>
      <c r="J7" s="76">
        <f ca="1">GetFileList("P:\TP et Raccodement\FICHES CREES RACCORDEMENT\2 - SAV + COMPL + PASSAGE W XV A SAISIR DANS AX\06-02-2019\*SAV*.pdf")</f>
        <v>0</v>
      </c>
      <c r="K7" s="77">
        <f ca="1">GetFileList("P:\TP et Raccodement\FICHES CREES RACCORDEMENT\2 - SAV + COMPL + PASSAGE W XV A SAISIR DANS AX\06-02-2019\*COMPLEMENT*.pdf")</f>
        <v>0</v>
      </c>
      <c r="L7" s="77">
        <f ca="1">GetFileList("P:\TP et Raccodement\FICHES CREES RACCORDEMENT\2 - SAV + COMPL + PASSAGE W XV A SAISIR DANS AX\06-02-2019\*REPRISE*.pdf")</f>
        <v>0</v>
      </c>
      <c r="M7" s="78">
        <f ca="1">GetFileList("P:\TP et Raccodement\FICHES CREES RACCORDEMENT\2 - SAV + COMPL + PASSAGE W XV A SAISIR DANS AX\06-02-2019\*REMONTAGE*.pdf")</f>
        <v>0</v>
      </c>
      <c r="N7" s="61"/>
      <c r="O7" s="73">
        <f t="shared" ca="1" si="1"/>
        <v>0</v>
      </c>
    </row>
    <row r="8" spans="1:16" ht="16.5" x14ac:dyDescent="0.3">
      <c r="A8" s="59">
        <v>43503</v>
      </c>
      <c r="B8" s="74">
        <f t="shared" ca="1" si="0"/>
        <v>0</v>
      </c>
      <c r="C8" s="67">
        <f ca="1">GetFileList("P:\TP et Raccodement\FICHES CREES RACCORDEMENT\1 - RACCOS A SAISIR DANS AX\07-02-2019\*LM RACCO*.pdf")</f>
        <v>0</v>
      </c>
      <c r="D8" s="67">
        <f ca="1">GetFileList("P:\TP et Raccodement\FICHES CREES RACCORDEMENT\1 - RACCOS A SAISIR DANS AX\07-02-2019\*LR RACCO*.pdf")</f>
        <v>0</v>
      </c>
      <c r="E8" s="68">
        <f ca="1">GetFileList("P:\TP et Raccodement\FICHES CREES RACCORDEMENT\1 - RACCOS A SAISIR DANS AX\07-02-2019\*CL RACCO*.pdf")</f>
        <v>0</v>
      </c>
      <c r="F8" s="75">
        <f t="shared" ca="1" si="2"/>
        <v>0</v>
      </c>
      <c r="G8" s="67">
        <f ca="1">GetFileList("P:\TP et Raccodement\FICHES CREES RACCORDEMENT\2 - SAV + COMPL + PASSAGE W XV A SAISIR DANS AX\07-02-2019\*LM PASS*.pdf")</f>
        <v>0</v>
      </c>
      <c r="H8" s="67">
        <f ca="1">GetFileList("P:\TP et Raccodement\FICHES CREES RACCORDEMENT\2 - SAV + COMPL + PASSAGE W XV A SAISIR DANS AX\07-02-2019\*LR PASS*.pdf")</f>
        <v>0</v>
      </c>
      <c r="I8" s="68">
        <f ca="1">GetFileList("P:\TP et Raccodement\FICHES CREES RACCORDEMENT\2 - SAV + COMPL + PASSAGE W XV A SAISIR DANS AX\07-02-2019\*CL PASS*.pdf")</f>
        <v>0</v>
      </c>
      <c r="J8" s="76">
        <f ca="1">GetFileList("P:\TP et Raccodement\FICHES CREES RACCORDEMENT\2 - SAV + COMPL + PASSAGE W XV A SAISIR DANS AX\07-02-2019\*SAV*.pdf")</f>
        <v>0</v>
      </c>
      <c r="K8" s="77">
        <f ca="1">GetFileList("P:\TP et Raccodement\FICHES CREES RACCORDEMENT\2 - SAV + COMPL + PASSAGE W XV A SAISIR DANS AX\07-02-2019\*COMPLEMENT*.pdf")</f>
        <v>0</v>
      </c>
      <c r="L8" s="77">
        <f ca="1">GetFileList("P:\TP et Raccodement\FICHES CREES RACCORDEMENT\2 - SAV + COMPL + PASSAGE W XV A SAISIR DANS AX\07-02-2019\*REPRISE*.pdf")</f>
        <v>0</v>
      </c>
      <c r="M8" s="78">
        <f ca="1">GetFileList("P:\TP et Raccodement\FICHES CREES RACCORDEMENT\2 - SAV + COMPL + PASSAGE W XV A SAISIR DANS AX\07-02-2019\*REMONTAGE*.pdf")</f>
        <v>0</v>
      </c>
      <c r="N8" s="61"/>
      <c r="O8" s="73">
        <f t="shared" ca="1" si="1"/>
        <v>0</v>
      </c>
    </row>
    <row r="9" spans="1:16" ht="16.5" x14ac:dyDescent="0.3">
      <c r="A9" s="59">
        <v>43504</v>
      </c>
      <c r="B9" s="74">
        <f t="shared" ca="1" si="0"/>
        <v>0</v>
      </c>
      <c r="C9" s="67">
        <f ca="1">GetFileList("P:\TP et Raccodement\FICHES CREES RACCORDEMENT\1 - RACCOS A SAISIR DANS AX\08-02-2019\*LM RACCO*.pdf")</f>
        <v>0</v>
      </c>
      <c r="D9" s="67">
        <f ca="1">GetFileList("P:\TP et Raccodement\FICHES CREES RACCORDEMENT\1 - RACCOS A SAISIR DANS AX\08-02-2019\*LR RACCO*.pdf")</f>
        <v>0</v>
      </c>
      <c r="E9" s="68">
        <f ca="1">GetFileList("P:\TP et Raccodement\FICHES CREES RACCORDEMENT\1 - RACCOS A SAISIR DANS AX\08-02-2019\*CL RACCO*.pdf")</f>
        <v>0</v>
      </c>
      <c r="F9" s="75">
        <f t="shared" ca="1" si="2"/>
        <v>0</v>
      </c>
      <c r="G9" s="67">
        <f ca="1">GetFileList("P:\TP et Raccodement\FICHES CREES RACCORDEMENT\2 - SAV + COMPL + PASSAGE W XV A SAISIR DANS AX\08-02-2019\*LM PASS*.pdf")</f>
        <v>0</v>
      </c>
      <c r="H9" s="67">
        <f ca="1">GetFileList("P:\TP et Raccodement\FICHES CREES RACCORDEMENT\2 - SAV + COMPL + PASSAGE W XV A SAISIR DANS AX\08-02-2019\*LR PASS*.pdf")</f>
        <v>0</v>
      </c>
      <c r="I9" s="68">
        <f ca="1">GetFileList("P:\TP et Raccodement\FICHES CREES RACCORDEMENT\2 - SAV + COMPL + PASSAGE W XV A SAISIR DANS AX\08-02-2019\*CL PASS*.pdf")</f>
        <v>0</v>
      </c>
      <c r="J9" s="76">
        <f ca="1">GetFileList("P:\TP et Raccodement\FICHES CREES RACCORDEMENT\2 - SAV + COMPL + PASSAGE W XV A SAISIR DANS AX\08-02-2019\*SAV*.pdf")</f>
        <v>0</v>
      </c>
      <c r="K9" s="77">
        <f ca="1">GetFileList("P:\TP et Raccodement\FICHES CREES RACCORDEMENT\2 - SAV + COMPL + PASSAGE W XV A SAISIR DANS AX\08-02-2019\*COMPLEMENT*.pdf")</f>
        <v>0</v>
      </c>
      <c r="L9" s="77">
        <f ca="1">GetFileList("P:\TP et Raccodement\FICHES CREES RACCORDEMENT\2 - SAV + COMPL + PASSAGE W XV A SAISIR DANS AX\08-02-2019\*REPRISE*.pdf")</f>
        <v>0</v>
      </c>
      <c r="M9" s="78">
        <f ca="1">GetFileList("P:\TP et Raccodement\FICHES CREES RACCORDEMENT\2 - SAV + COMPL + PASSAGE W XV A SAISIR DANS AX\08-02-2019\*REMONTAGE*.pdf")</f>
        <v>0</v>
      </c>
      <c r="N9" s="61"/>
      <c r="O9" s="73">
        <f t="shared" ca="1" si="1"/>
        <v>0</v>
      </c>
    </row>
    <row r="10" spans="1:16" ht="16.5" x14ac:dyDescent="0.3">
      <c r="A10" s="59">
        <v>43505</v>
      </c>
      <c r="B10" s="74">
        <f t="shared" ca="1" si="0"/>
        <v>0</v>
      </c>
      <c r="C10" s="67">
        <f ca="1">GetFileList("P:\TP et Raccodement\FICHES CREES RACCORDEMENT\1 - RACCOS A SAISIR DANS AX\09-02-2019\*LM RACCO*.pdf")</f>
        <v>0</v>
      </c>
      <c r="D10" s="67">
        <f ca="1">GetFileList("P:\TP et Raccodement\FICHES CREES RACCORDEMENT\1 - RACCOS A SAISIR DANS AX\09-02-2019\*LR RACCO*.pdf")</f>
        <v>0</v>
      </c>
      <c r="E10" s="68">
        <f ca="1">GetFileList("P:\TP et Raccodement\FICHES CREES RACCORDEMENT\1 - RACCOS A SAISIR DANS AX\09-02-2019\*CL RACCO*.pdf")</f>
        <v>0</v>
      </c>
      <c r="F10" s="75">
        <f t="shared" ca="1" si="2"/>
        <v>0</v>
      </c>
      <c r="G10" s="67">
        <f ca="1">GetFileList("P:\TP et Raccodement\FICHES CREES RACCORDEMENT\2 - SAV + COMPL + PASSAGE W XV A SAISIR DANS AX\09-02-2019\*LM PASS*.pdf")</f>
        <v>0</v>
      </c>
      <c r="H10" s="67">
        <f ca="1">GetFileList("P:\TP et Raccodement\FICHES CREES RACCORDEMENT\2 - SAV + COMPL + PASSAGE W XV A SAISIR DANS AX\09-02-2019\*LR PASS*.pdf")</f>
        <v>0</v>
      </c>
      <c r="I10" s="68">
        <f ca="1">GetFileList("P:\TP et Raccodement\FICHES CREES RACCORDEMENT\2 - SAV + COMPL + PASSAGE W XV A SAISIR DANS AX\09-02-2019\*CL PASS*.pdf")</f>
        <v>0</v>
      </c>
      <c r="J10" s="76">
        <f ca="1">GetFileList("P:\TP et Raccodement\FICHES CREES RACCORDEMENT\2 - SAV + COMPL + PASSAGE W XV A SAISIR DANS AX\09-02-2019\*SAV*.pdf")</f>
        <v>0</v>
      </c>
      <c r="K10" s="77">
        <f ca="1">GetFileList("P:\TP et Raccodement\FICHES CREES RACCORDEMENT\2 - SAV + COMPL + PASSAGE W XV A SAISIR DANS AX\09-02-2019\*COMPLEMENT*.pdf")</f>
        <v>0</v>
      </c>
      <c r="L10" s="77">
        <f ca="1">GetFileList("P:\TP et Raccodement\FICHES CREES RACCORDEMENT\2 - SAV + COMPL + PASSAGE W XV A SAISIR DANS AX\09-02-2019\*REPRISE*.pdf")</f>
        <v>0</v>
      </c>
      <c r="M10" s="78">
        <f ca="1">GetFileList("P:\TP et Raccodement\FICHES CREES RACCORDEMENT\2 - SAV + COMPL + PASSAGE W XV A SAISIR DANS AX\09-02-2019\*REMONTAGE*.pdf")</f>
        <v>0</v>
      </c>
      <c r="N10" s="61"/>
      <c r="O10" s="73">
        <f t="shared" ca="1" si="1"/>
        <v>0</v>
      </c>
    </row>
    <row r="11" spans="1:16" ht="16.5" x14ac:dyDescent="0.3">
      <c r="A11" s="88">
        <v>43506</v>
      </c>
      <c r="B11" s="89">
        <f t="shared" ca="1" si="0"/>
        <v>0</v>
      </c>
      <c r="C11" s="90">
        <f ca="1">GetFileList("P:\TP et Raccodement\FICHES CREES RACCORDEMENT\1 - RACCOS A SAISIR DANS AX\10-02-2019\*LM RACCO*.pdf")</f>
        <v>0</v>
      </c>
      <c r="D11" s="90">
        <f ca="1">GetFileList("P:\TP et Raccodement\FICHES CREES RACCORDEMENT\1 - RACCOS A SAISIR DANS AX\10-02-2019\*LR RACCO*.pdf")</f>
        <v>0</v>
      </c>
      <c r="E11" s="91">
        <f ca="1">GetFileList("P:\TP et Raccodement\FICHES CREES RACCORDEMENT\1 - RACCOS A SAISIR DANS AX\10-02-2019\*CL RACCO*.pdf")</f>
        <v>0</v>
      </c>
      <c r="F11" s="92">
        <f t="shared" ca="1" si="2"/>
        <v>0</v>
      </c>
      <c r="G11" s="90">
        <f ca="1">GetFileList("P:\TP et Raccodement\FICHES CREES RACCORDEMENT\2 - SAV + COMPL + PASSAGE W XV A SAISIR DANS AX\10-02-2019\*LM PASS*.pdf")</f>
        <v>0</v>
      </c>
      <c r="H11" s="90">
        <f ca="1">GetFileList("P:\TP et Raccodement\FICHES CREES RACCORDEMENT\2 - SAV + COMPL + PASSAGE W XV A SAISIR DANS AX\10-02-2019\*LR PASS*.pdf")</f>
        <v>0</v>
      </c>
      <c r="I11" s="91">
        <f ca="1">GetFileList("P:\TP et Raccodement\FICHES CREES RACCORDEMENT\2 - SAV + COMPL + PASSAGE W XV A SAISIR DANS AX\10-02-2019\*CL PASS*.pdf")</f>
        <v>0</v>
      </c>
      <c r="J11" s="93">
        <f ca="1">GetFileList("P:\TP et Raccodement\FICHES CREES RACCORDEMENT\2 - SAV + COMPL + PASSAGE W XV A SAISIR DANS AX\10-02-2019\*SAV*.pdf")</f>
        <v>0</v>
      </c>
      <c r="K11" s="94">
        <f ca="1">GetFileList("P:\TP et Raccodement\FICHES CREES RACCORDEMENT\2 - SAV + COMPL + PASSAGE W XV A SAISIR DANS AX\10-02-2019\*COMPLEMENT*.pdf")</f>
        <v>0</v>
      </c>
      <c r="L11" s="94">
        <f ca="1">GetFileList("P:\TP et Raccodement\FICHES CREES RACCORDEMENT\2 - SAV + COMPL + PASSAGE W XV A SAISIR DANS AX\10-02-2019\*REPRISE*.pdf")</f>
        <v>0</v>
      </c>
      <c r="M11" s="95">
        <f ca="1">GetFileList("P:\TP et Raccodement\FICHES CREES RACCORDEMENT\2 - SAV + COMPL + PASSAGE W XV A SAISIR DANS AX\10-02-2019\*REMONTAGE*.pdf")</f>
        <v>0</v>
      </c>
      <c r="N11" s="61"/>
      <c r="O11" s="73">
        <f t="shared" ca="1" si="1"/>
        <v>0</v>
      </c>
    </row>
    <row r="12" spans="1:16" ht="16.5" x14ac:dyDescent="0.3">
      <c r="A12" s="59">
        <v>43507</v>
      </c>
      <c r="B12" s="74">
        <f t="shared" ca="1" si="0"/>
        <v>0</v>
      </c>
      <c r="C12" s="67">
        <f ca="1">GetFileList("P:\TP et Raccodement\FICHES CREES RACCORDEMENT\1 - RACCOS A SAISIR DANS AX\11-02-2019\*LM RACCO*.pdf")</f>
        <v>0</v>
      </c>
      <c r="D12" s="67">
        <f ca="1">GetFileList("P:\TP et Raccodement\FICHES CREES RACCORDEMENT\1 - RACCOS A SAISIR DANS AX\11-02-2019\*LR RACCO*.pdf")</f>
        <v>0</v>
      </c>
      <c r="E12" s="68">
        <f ca="1">GetFileList("P:\TP et Raccodement\FICHES CREES RACCORDEMENT\1 - RACCOS A SAISIR DANS AX\11-02-2019\*CL RACCO*.pdf")</f>
        <v>0</v>
      </c>
      <c r="F12" s="75">
        <f t="shared" ca="1" si="2"/>
        <v>0</v>
      </c>
      <c r="G12" s="67">
        <f ca="1">GetFileList("P:\TP et Raccodement\FICHES CREES RACCORDEMENT\2 - SAV + COMPL + PASSAGE W XV A SAISIR DANS AX\11-02-2019\*LM PASS*.pdf")</f>
        <v>0</v>
      </c>
      <c r="H12" s="67">
        <f ca="1">GetFileList("P:\TP et Raccodement\FICHES CREES RACCORDEMENT\2 - SAV + COMPL + PASSAGE W XV A SAISIR DANS AX\11-02-2019\*LR PASS*.pdf")</f>
        <v>0</v>
      </c>
      <c r="I12" s="68">
        <f ca="1">GetFileList("P:\TP et Raccodement\FICHES CREES RACCORDEMENT\2 - SAV + COMPL + PASSAGE W XV A SAISIR DANS AX\11-02-2019\*CL PASS*.pdf")</f>
        <v>0</v>
      </c>
      <c r="J12" s="76">
        <f ca="1">GetFileList("P:\TP et Raccodement\FICHES CREES RACCORDEMENT\2 - SAV + COMPL + PASSAGE W XV A SAISIR DANS AX\11-02-2019\*SAV*.pdf")</f>
        <v>0</v>
      </c>
      <c r="K12" s="77">
        <f ca="1">GetFileList("P:\TP et Raccodement\FICHES CREES RACCORDEMENT\2 - SAV + COMPL + PASSAGE W XV A SAISIR DANS AX\11-02-2019\*COMPLEMENT*.pdf")</f>
        <v>0</v>
      </c>
      <c r="L12" s="77">
        <f ca="1">GetFileList("P:\TP et Raccodement\FICHES CREES RACCORDEMENT\2 - SAV + COMPL + PASSAGE W XV A SAISIR DANS AX\11-02-2019\*REPRISE*.pdf")</f>
        <v>0</v>
      </c>
      <c r="M12" s="78">
        <f ca="1">GetFileList("P:\TP et Raccodement\FICHES CREES RACCORDEMENT\2 - SAV + COMPL + PASSAGE W XV A SAISIR DANS AX\11-02-2019\*REMONTAGE*.pdf")</f>
        <v>0</v>
      </c>
      <c r="N12" s="61"/>
      <c r="O12" s="73">
        <f t="shared" ca="1" si="1"/>
        <v>0</v>
      </c>
    </row>
    <row r="13" spans="1:16" ht="16.5" x14ac:dyDescent="0.3">
      <c r="A13" s="59">
        <v>43508</v>
      </c>
      <c r="B13" s="74">
        <f t="shared" ca="1" si="0"/>
        <v>0</v>
      </c>
      <c r="C13" s="67">
        <f ca="1">GetFileList("P:\TP et Raccodement\FICHES CREES RACCORDEMENT\1 - RACCOS A SAISIR DANS AX\12-02-2019\*LM RACCO*.pdf")</f>
        <v>0</v>
      </c>
      <c r="D13" s="67">
        <f ca="1">GetFileList("P:\TP et Raccodement\FICHES CREES RACCORDEMENT\1 - RACCOS A SAISIR DANS AX\12-02-2019\*LR RACCO*.pdf")</f>
        <v>0</v>
      </c>
      <c r="E13" s="68">
        <f ca="1">GetFileList("P:\TP et Raccodement\FICHES CREES RACCORDEMENT\1 - RACCOS A SAISIR DANS AX\12-02-2019\*CL RACCO*.pdf")</f>
        <v>0</v>
      </c>
      <c r="F13" s="75">
        <f t="shared" ca="1" si="2"/>
        <v>0</v>
      </c>
      <c r="G13" s="67">
        <f ca="1">GetFileList("P:\TP et Raccodement\FICHES CREES RACCORDEMENT\2 - SAV + COMPL + PASSAGE W XV A SAISIR DANS AX\12-02-2019\*LM PASS*.pdf")</f>
        <v>0</v>
      </c>
      <c r="H13" s="67">
        <f ca="1">GetFileList("P:\TP et Raccodement\FICHES CREES RACCORDEMENT\2 - SAV + COMPL + PASSAGE W XV A SAISIR DANS AX\12-02-2019\*LR PASS*.pdf")</f>
        <v>0</v>
      </c>
      <c r="I13" s="68">
        <f ca="1">GetFileList("P:\TP et Raccodement\FICHES CREES RACCORDEMENT\2 - SAV + COMPL + PASSAGE W XV A SAISIR DANS AX\12-02-2019\*CL PASS*.pdf")</f>
        <v>0</v>
      </c>
      <c r="J13" s="76">
        <f ca="1">GetFileList("P:\TP et Raccodement\FICHES CREES RACCORDEMENT\2 - SAV + COMPL + PASSAGE W XV A SAISIR DANS AX\12-02-2019\*SAV*.pdf")</f>
        <v>0</v>
      </c>
      <c r="K13" s="77">
        <f ca="1">GetFileList("P:\TP et Raccodement\FICHES CREES RACCORDEMENT\2 - SAV + COMPL + PASSAGE W XV A SAISIR DANS AX\12-02-2019\*COMPLEMENT*.pdf")</f>
        <v>0</v>
      </c>
      <c r="L13" s="77">
        <f ca="1">GetFileList("P:\TP et Raccodement\FICHES CREES RACCORDEMENT\2 - SAV + COMPL + PASSAGE W XV A SAISIR DANS AX\12-02-2019\*REPRISE*.pdf")</f>
        <v>0</v>
      </c>
      <c r="M13" s="78">
        <f ca="1">GetFileList("P:\TP et Raccodement\FICHES CREES RACCORDEMENT\2 - SAV + COMPL + PASSAGE W XV A SAISIR DANS AX\12-02-2019\*REMONTAGE*.pdf")</f>
        <v>0</v>
      </c>
      <c r="N13" s="61"/>
      <c r="O13" s="73">
        <f t="shared" ca="1" si="1"/>
        <v>0</v>
      </c>
    </row>
    <row r="14" spans="1:16" ht="16.5" x14ac:dyDescent="0.3">
      <c r="A14" s="59">
        <v>43509</v>
      </c>
      <c r="B14" s="74">
        <f t="shared" ca="1" si="0"/>
        <v>0</v>
      </c>
      <c r="C14" s="67">
        <f ca="1">GetFileList("P:\TP et Raccodement\FICHES CREES RACCORDEMENT\1 - RACCOS A SAISIR DANS AX\13-02-2019\*LM RACCO*.pdf")</f>
        <v>0</v>
      </c>
      <c r="D14" s="67">
        <f ca="1">GetFileList("P:\TP et Raccodement\FICHES CREES RACCORDEMENT\1 - RACCOS A SAISIR DANS AX\13-02-2019\*LR RACCO*.pdf")</f>
        <v>0</v>
      </c>
      <c r="E14" s="68">
        <f ca="1">GetFileList("P:\TP et Raccodement\FICHES CREES RACCORDEMENT\1 - RACCOS A SAISIR DANS AX\13-02-2019\*CL RACCO*.pdf")</f>
        <v>0</v>
      </c>
      <c r="F14" s="75">
        <f t="shared" ca="1" si="2"/>
        <v>0</v>
      </c>
      <c r="G14" s="67">
        <f ca="1">GetFileList("P:\TP et Raccodement\FICHES CREES RACCORDEMENT\2 - SAV + COMPL + PASSAGE W XV A SAISIR DANS AX\13-02-2019\*LM PASS*.pdf")</f>
        <v>0</v>
      </c>
      <c r="H14" s="67">
        <f ca="1">GetFileList("P:\TP et Raccodement\FICHES CREES RACCORDEMENT\2 - SAV + COMPL + PASSAGE W XV A SAISIR DANS AX\13-02-2019\*LR PASS*.pdf")</f>
        <v>0</v>
      </c>
      <c r="I14" s="68">
        <f ca="1">GetFileList("P:\TP et Raccodement\FICHES CREES RACCORDEMENT\2 - SAV + COMPL + PASSAGE W XV A SAISIR DANS AX\13-02-2019\*CL PASS*.pdf")</f>
        <v>0</v>
      </c>
      <c r="J14" s="76">
        <f ca="1">GetFileList("P:\TP et Raccodement\FICHES CREES RACCORDEMENT\2 - SAV + COMPL + PASSAGE W XV A SAISIR DANS AX\13-02-2019\*SAV*.pdf")</f>
        <v>0</v>
      </c>
      <c r="K14" s="77">
        <f ca="1">GetFileList("P:\TP et Raccodement\FICHES CREES RACCORDEMENT\2 - SAV + COMPL + PASSAGE W XV A SAISIR DANS AX\13-02-2019\*COMPLEMENT*.pdf")</f>
        <v>0</v>
      </c>
      <c r="L14" s="77">
        <f ca="1">GetFileList("P:\TP et Raccodement\FICHES CREES RACCORDEMENT\2 - SAV + COMPL + PASSAGE W XV A SAISIR DANS AX\13-02-2019\*REPRISE*.pdf")</f>
        <v>0</v>
      </c>
      <c r="M14" s="78">
        <f ca="1">GetFileList("P:\TP et Raccodement\FICHES CREES RACCORDEMENT\2 - SAV + COMPL + PASSAGE W XV A SAISIR DANS AX\13-02-2019\*REMONTAGE*.pdf")</f>
        <v>0</v>
      </c>
      <c r="N14" s="61"/>
      <c r="O14" s="73">
        <f t="shared" ca="1" si="1"/>
        <v>0</v>
      </c>
    </row>
    <row r="15" spans="1:16" ht="16.5" x14ac:dyDescent="0.3">
      <c r="A15" s="59">
        <v>43510</v>
      </c>
      <c r="B15" s="74">
        <f t="shared" ca="1" si="0"/>
        <v>0</v>
      </c>
      <c r="C15" s="67">
        <f ca="1">GetFileList("P:\TP et Raccodement\FICHES CREES RACCORDEMENT\1 - RACCOS A SAISIR DANS AX\14-02-2019\*LM RACCO*.pdf")</f>
        <v>0</v>
      </c>
      <c r="D15" s="67">
        <f ca="1">GetFileList("P:\TP et Raccodement\FICHES CREES RACCORDEMENT\1 - RACCOS A SAISIR DANS AX\14-02-2019\*LR RACCO*.pdf")</f>
        <v>0</v>
      </c>
      <c r="E15" s="68">
        <f ca="1">GetFileList("P:\TP et Raccodement\FICHES CREES RACCORDEMENT\1 - RACCOS A SAISIR DANS AX\14-02-2019\*CL RACCO*.pdf")</f>
        <v>0</v>
      </c>
      <c r="F15" s="75">
        <f t="shared" ca="1" si="2"/>
        <v>0</v>
      </c>
      <c r="G15" s="67">
        <f ca="1">GetFileList("P:\TP et Raccodement\FICHES CREES RACCORDEMENT\2 - SAV + COMPL + PASSAGE W XV A SAISIR DANS AX\14-02-2019\*LM PASS*.pdf")</f>
        <v>0</v>
      </c>
      <c r="H15" s="67">
        <f ca="1">GetFileList("P:\TP et Raccodement\FICHES CREES RACCORDEMENT\2 - SAV + COMPL + PASSAGE W XV A SAISIR DANS AX\14-02-2019\*LR PASS*.pdf")</f>
        <v>0</v>
      </c>
      <c r="I15" s="68">
        <f ca="1">GetFileList("P:\TP et Raccodement\FICHES CREES RACCORDEMENT\2 - SAV + COMPL + PASSAGE W XV A SAISIR DANS AX\14-02-2019\*CL PASS*.pdf")</f>
        <v>0</v>
      </c>
      <c r="J15" s="76">
        <f ca="1">GetFileList("P:\TP et Raccodement\FICHES CREES RACCORDEMENT\2 - SAV + COMPL + PASSAGE W XV A SAISIR DANS AX\14-02-2019\*SAV*.pdf")</f>
        <v>0</v>
      </c>
      <c r="K15" s="77">
        <f ca="1">GetFileList("P:\TP et Raccodement\FICHES CREES RACCORDEMENT\2 - SAV + COMPL + PASSAGE W XV A SAISIR DANS AX\14-02-2019\*COMPLEMENT*.pdf")</f>
        <v>0</v>
      </c>
      <c r="L15" s="77">
        <f ca="1">GetFileList("P:\TP et Raccodement\FICHES CREES RACCORDEMENT\2 - SAV + COMPL + PASSAGE W XV A SAISIR DANS AX\14-02-2019\*REPRISE*.pdf")</f>
        <v>0</v>
      </c>
      <c r="M15" s="78">
        <f ca="1">GetFileList("P:\TP et Raccodement\FICHES CREES RACCORDEMENT\2 - SAV + COMPL + PASSAGE W XV A SAISIR DANS AX\14-02-2019\*REMONTAGE*.pdf")</f>
        <v>0</v>
      </c>
      <c r="N15" s="61"/>
      <c r="O15" s="73">
        <f t="shared" ca="1" si="1"/>
        <v>0</v>
      </c>
    </row>
    <row r="16" spans="1:16" ht="16.5" x14ac:dyDescent="0.3">
      <c r="A16" s="59">
        <v>43511</v>
      </c>
      <c r="B16" s="74">
        <f t="shared" ca="1" si="0"/>
        <v>0</v>
      </c>
      <c r="C16" s="67">
        <f ca="1">GetFileList("P:\TP et Raccodement\FICHES CREES RACCORDEMENT\1 - RACCOS A SAISIR DANS AX\15-02-2019\*LM RACCO*.pdf")</f>
        <v>0</v>
      </c>
      <c r="D16" s="67">
        <f ca="1">GetFileList("P:\TP et Raccodement\FICHES CREES RACCORDEMENT\1 - RACCOS A SAISIR DANS AX\15-02-2019\*LR RACCO*.pdf")</f>
        <v>0</v>
      </c>
      <c r="E16" s="68">
        <f ca="1">GetFileList("P:\TP et Raccodement\FICHES CREES RACCORDEMENT\1 - RACCOS A SAISIR DANS AX\15-02-2019\*CL RACCO*.pdf")</f>
        <v>0</v>
      </c>
      <c r="F16" s="75">
        <f t="shared" ca="1" si="2"/>
        <v>0</v>
      </c>
      <c r="G16" s="67">
        <f ca="1">GetFileList("P:\TP et Raccodement\FICHES CREES RACCORDEMENT\2 - SAV + COMPL + PASSAGE W XV A SAISIR DANS AX\15-02-2019\*LM PASS*.pdf")</f>
        <v>0</v>
      </c>
      <c r="H16" s="67">
        <f ca="1">GetFileList("P:\TP et Raccodement\FICHES CREES RACCORDEMENT\2 - SAV + COMPL + PASSAGE W XV A SAISIR DANS AX\15-02-2019\*LR PASS*.pdf")</f>
        <v>0</v>
      </c>
      <c r="I16" s="68">
        <f ca="1">GetFileList("P:\TP et Raccodement\FICHES CREES RACCORDEMENT\2 - SAV + COMPL + PASSAGE W XV A SAISIR DANS AX\15-02-2019\*CL PASS*.pdf")</f>
        <v>0</v>
      </c>
      <c r="J16" s="76">
        <f ca="1">GetFileList("P:\TP et Raccodement\FICHES CREES RACCORDEMENT\2 - SAV + COMPL + PASSAGE W XV A SAISIR DANS AX\15-02-2019\*SAV*.pdf")</f>
        <v>0</v>
      </c>
      <c r="K16" s="77">
        <f ca="1">GetFileList("P:\TP et Raccodement\FICHES CREES RACCORDEMENT\2 - SAV + COMPL + PASSAGE W XV A SAISIR DANS AX\15-02-2019\*COMPLEMENT*.pdf")</f>
        <v>0</v>
      </c>
      <c r="L16" s="77">
        <f ca="1">GetFileList("P:\TP et Raccodement\FICHES CREES RACCORDEMENT\2 - SAV + COMPL + PASSAGE W XV A SAISIR DANS AX\15-02-2019\*REPRISE*.pdf")</f>
        <v>0</v>
      </c>
      <c r="M16" s="78">
        <f ca="1">GetFileList("P:\TP et Raccodement\FICHES CREES RACCORDEMENT\2 - SAV + COMPL + PASSAGE W XV A SAISIR DANS AX\15-02-2019\*REMONTAGE*.pdf")</f>
        <v>0</v>
      </c>
      <c r="N16" s="61"/>
      <c r="O16" s="73">
        <f t="shared" ca="1" si="1"/>
        <v>0</v>
      </c>
    </row>
    <row r="17" spans="1:15" ht="16.5" x14ac:dyDescent="0.3">
      <c r="A17" s="59">
        <v>43512</v>
      </c>
      <c r="B17" s="74">
        <f t="shared" ca="1" si="0"/>
        <v>0</v>
      </c>
      <c r="C17" s="67">
        <f ca="1">GetFileList("P:\TP et Raccodement\FICHES CREES RACCORDEMENT\1 - RACCOS A SAISIR DANS AX\16-02-2019\*LM RACCO*.pdf")</f>
        <v>0</v>
      </c>
      <c r="D17" s="67">
        <f ca="1">GetFileList("P:\TP et Raccodement\FICHES CREES RACCORDEMENT\1 - RACCOS A SAISIR DANS AX\16-02-2019\*LR RACCO*.pdf")</f>
        <v>0</v>
      </c>
      <c r="E17" s="68">
        <f ca="1">GetFileList("P:\TP et Raccodement\FICHES CREES RACCORDEMENT\1 - RACCOS A SAISIR DANS AX\16-02-2019\*CL RACCO*.pdf")</f>
        <v>0</v>
      </c>
      <c r="F17" s="75">
        <f t="shared" ca="1" si="2"/>
        <v>0</v>
      </c>
      <c r="G17" s="67">
        <f ca="1">GetFileList("P:\TP et Raccodement\FICHES CREES RACCORDEMENT\2 - SAV + COMPL + PASSAGE W XV A SAISIR DANS AX\16-02-2019\*LM PASS*.pdf")</f>
        <v>0</v>
      </c>
      <c r="H17" s="67">
        <f ca="1">GetFileList("P:\TP et Raccodement\FICHES CREES RACCORDEMENT\2 - SAV + COMPL + PASSAGE W XV A SAISIR DANS AX\16-02-2019\*LR PASS*.pdf")</f>
        <v>0</v>
      </c>
      <c r="I17" s="68">
        <f ca="1">GetFileList("P:\TP et Raccodement\FICHES CREES RACCORDEMENT\2 - SAV + COMPL + PASSAGE W XV A SAISIR DANS AX\16-02-2019\*CL PASS*.pdf")</f>
        <v>0</v>
      </c>
      <c r="J17" s="76">
        <f ca="1">GetFileList("P:\TP et Raccodement\FICHES CREES RACCORDEMENT\2 - SAV + COMPL + PASSAGE W XV A SAISIR DANS AX\16-02-2019\*SAV*.pdf")</f>
        <v>0</v>
      </c>
      <c r="K17" s="77">
        <f ca="1">GetFileList("P:\TP et Raccodement\FICHES CREES RACCORDEMENT\2 - SAV + COMPL + PASSAGE W XV A SAISIR DANS AX\16-02-2019\*COMPLEMENT*.pdf")</f>
        <v>0</v>
      </c>
      <c r="L17" s="77">
        <f ca="1">GetFileList("P:\TP et Raccodement\FICHES CREES RACCORDEMENT\2 - SAV + COMPL + PASSAGE W XV A SAISIR DANS AX\16-02-2019\*REPRISE*.pdf")</f>
        <v>0</v>
      </c>
      <c r="M17" s="78">
        <f ca="1">GetFileList("P:\TP et Raccodement\FICHES CREES RACCORDEMENT\2 - SAV + COMPL + PASSAGE W XV A SAISIR DANS AX\16-02-2019\*REMONTAGE*.pdf")</f>
        <v>0</v>
      </c>
      <c r="N17" s="61"/>
      <c r="O17" s="73">
        <f t="shared" ca="1" si="1"/>
        <v>0</v>
      </c>
    </row>
    <row r="18" spans="1:15" ht="16.5" x14ac:dyDescent="0.3">
      <c r="A18" s="88">
        <v>43513</v>
      </c>
      <c r="B18" s="89">
        <f t="shared" ca="1" si="0"/>
        <v>0</v>
      </c>
      <c r="C18" s="90">
        <f ca="1">GetFileList("P:\TP et Raccodement\FICHES CREES RACCORDEMENT\1 - RACCOS A SAISIR DANS AX\17-02-2019\*LM RACCO*.pdf")</f>
        <v>0</v>
      </c>
      <c r="D18" s="90">
        <f ca="1">GetFileList("P:\TP et Raccodement\FICHES CREES RACCORDEMENT\1 - RACCOS A SAISIR DANS AX\17-02-2019\*LR RACCO*.pdf")</f>
        <v>0</v>
      </c>
      <c r="E18" s="91">
        <f ca="1">GetFileList("P:\TP et Raccodement\FICHES CREES RACCORDEMENT\1 - RACCOS A SAISIR DANS AX\17-02-2019\*CL RACCO*.pdf")</f>
        <v>0</v>
      </c>
      <c r="F18" s="92">
        <f t="shared" ca="1" si="2"/>
        <v>0</v>
      </c>
      <c r="G18" s="90">
        <f ca="1">GetFileList("P:\TP et Raccodement\FICHES CREES RACCORDEMENT\2 - SAV + COMPL + PASSAGE W XV A SAISIR DANS AX\17-02-2019\*LM PASS*.pdf")</f>
        <v>0</v>
      </c>
      <c r="H18" s="90">
        <f ca="1">GetFileList("P:\TP et Raccodement\FICHES CREES RACCORDEMENT\2 - SAV + COMPL + PASSAGE W XV A SAISIR DANS AX\17-02-2019\*LR PASS*.pdf")</f>
        <v>0</v>
      </c>
      <c r="I18" s="91">
        <f ca="1">GetFileList("P:\TP et Raccodement\FICHES CREES RACCORDEMENT\2 - SAV + COMPL + PASSAGE W XV A SAISIR DANS AX\17-02-2019\*CL PASS*.pdf")</f>
        <v>0</v>
      </c>
      <c r="J18" s="93">
        <f ca="1">GetFileList("P:\TP et Raccodement\FICHES CREES RACCORDEMENT\2 - SAV + COMPL + PASSAGE W XV A SAISIR DANS AX\17-02-2019\*SAV*.pdf")</f>
        <v>0</v>
      </c>
      <c r="K18" s="94">
        <f ca="1">GetFileList("P:\TP et Raccodement\FICHES CREES RACCORDEMENT\2 - SAV + COMPL + PASSAGE W XV A SAISIR DANS AX\17-02-2019\*COMPLEMENT*.pdf")</f>
        <v>0</v>
      </c>
      <c r="L18" s="94">
        <f ca="1">GetFileList("P:\TP et Raccodement\FICHES CREES RACCORDEMENT\2 - SAV + COMPL + PASSAGE W XV A SAISIR DANS AX\17-02-2019\*REPRISE*.pdf")</f>
        <v>0</v>
      </c>
      <c r="M18" s="95">
        <f ca="1">GetFileList("P:\TP et Raccodement\FICHES CREES RACCORDEMENT\2 - SAV + COMPL + PASSAGE W XV A SAISIR DANS AX\17-02-2019\*REMONTAGE*.pdf")</f>
        <v>0</v>
      </c>
      <c r="N18" s="61"/>
      <c r="O18" s="73">
        <f t="shared" ca="1" si="1"/>
        <v>0</v>
      </c>
    </row>
    <row r="19" spans="1:15" ht="16.5" x14ac:dyDescent="0.3">
      <c r="A19" s="59">
        <v>43514</v>
      </c>
      <c r="B19" s="74">
        <f t="shared" ca="1" si="0"/>
        <v>0</v>
      </c>
      <c r="C19" s="67">
        <f ca="1">GetFileList("P:\TP et Raccodement\FICHES CREES RACCORDEMENT\1 - RACCOS A SAISIR DANS AX\18-02-2019\*LM RACCO*.pdf")</f>
        <v>0</v>
      </c>
      <c r="D19" s="67">
        <f ca="1">GetFileList("P:\TP et Raccodement\FICHES CREES RACCORDEMENT\1 - RACCOS A SAISIR DANS AX\18-02-2019\*LR RACCO*.pdf")</f>
        <v>0</v>
      </c>
      <c r="E19" s="68">
        <f ca="1">GetFileList("P:\TP et Raccodement\FICHES CREES RACCORDEMENT\1 - RACCOS A SAISIR DANS AX\18-02-2019\*CL RACCO*.pdf")</f>
        <v>0</v>
      </c>
      <c r="F19" s="75">
        <f t="shared" ca="1" si="2"/>
        <v>0</v>
      </c>
      <c r="G19" s="67">
        <f ca="1">GetFileList("P:\TP et Raccodement\FICHES CREES RACCORDEMENT\2 - SAV + COMPL + PASSAGE W XV A SAISIR DANS AX\18-02-2019\*LM PASS*.pdf")</f>
        <v>0</v>
      </c>
      <c r="H19" s="67">
        <f ca="1">GetFileList("P:\TP et Raccodement\FICHES CREES RACCORDEMENT\2 - SAV + COMPL + PASSAGE W XV A SAISIR DANS AX\18-02-2019\*LR PASS*.pdf")</f>
        <v>0</v>
      </c>
      <c r="I19" s="68">
        <f ca="1">GetFileList("P:\TP et Raccodement\FICHES CREES RACCORDEMENT\2 - SAV + COMPL + PASSAGE W XV A SAISIR DANS AX\18-02-2019\*CL PASS*.pdf")</f>
        <v>0</v>
      </c>
      <c r="J19" s="76">
        <f ca="1">GetFileList("P:\TP et Raccodement\FICHES CREES RACCORDEMENT\2 - SAV + COMPL + PASSAGE W XV A SAISIR DANS AX\18-02-2019\*SAV*.pdf")</f>
        <v>0</v>
      </c>
      <c r="K19" s="77">
        <f ca="1">GetFileList("P:\TP et Raccodement\FICHES CREES RACCORDEMENT\2 - SAV + COMPL + PASSAGE W XV A SAISIR DANS AX\18-02-2019\*COMPLEMENT*.pdf")</f>
        <v>0</v>
      </c>
      <c r="L19" s="77">
        <f ca="1">GetFileList("P:\TP et Raccodement\FICHES CREES RACCORDEMENT\2 - SAV + COMPL + PASSAGE W XV A SAISIR DANS AX\18-02-2019\*REPRISE*.pdf")</f>
        <v>0</v>
      </c>
      <c r="M19" s="78">
        <f ca="1">GetFileList("P:\TP et Raccodement\FICHES CREES RACCORDEMENT\2 - SAV + COMPL + PASSAGE W XV A SAISIR DANS AX\18-02-2019\*REMONTAGE*.pdf")</f>
        <v>0</v>
      </c>
      <c r="N19" s="61"/>
      <c r="O19" s="73">
        <f t="shared" ca="1" si="1"/>
        <v>0</v>
      </c>
    </row>
    <row r="20" spans="1:15" ht="16.5" x14ac:dyDescent="0.3">
      <c r="A20" s="59">
        <v>43515</v>
      </c>
      <c r="B20" s="74">
        <f t="shared" ca="1" si="0"/>
        <v>0</v>
      </c>
      <c r="C20" s="67">
        <f ca="1">GetFileList("P:\TP et Raccodement\FICHES CREES RACCORDEMENT\1 - RACCOS A SAISIR DANS AX\19-02-2019\*LM RACCO*.pdf")</f>
        <v>0</v>
      </c>
      <c r="D20" s="67">
        <f ca="1">GetFileList("P:\TP et Raccodement\FICHES CREES RACCORDEMENT\1 - RACCOS A SAISIR DANS AX\19-02-2019\*LR RACCO*.pdf")</f>
        <v>0</v>
      </c>
      <c r="E20" s="68">
        <f ca="1">GetFileList("P:\TP et Raccodement\FICHES CREES RACCORDEMENT\1 - RACCOS A SAISIR DANS AX\19-02-2019\*CL RACCO*.pdf")</f>
        <v>0</v>
      </c>
      <c r="F20" s="75">
        <f t="shared" ca="1" si="2"/>
        <v>0</v>
      </c>
      <c r="G20" s="67">
        <f ca="1">GetFileList("P:\TP et Raccodement\FICHES CREES RACCORDEMENT\2 - SAV + COMPL + PASSAGE W XV A SAISIR DANS AX\19-02-2019\*LM PASS*.pdf")</f>
        <v>0</v>
      </c>
      <c r="H20" s="67">
        <f ca="1">GetFileList("P:\TP et Raccodement\FICHES CREES RACCORDEMENT\2 - SAV + COMPL + PASSAGE W XV A SAISIR DANS AX\19-02-2019\*LR PASS*.pdf")</f>
        <v>0</v>
      </c>
      <c r="I20" s="68">
        <f ca="1">GetFileList("P:\TP et Raccodement\FICHES CREES RACCORDEMENT\2 - SAV + COMPL + PASSAGE W XV A SAISIR DANS AX\19-02-2019\*CL PASS*.pdf")</f>
        <v>0</v>
      </c>
      <c r="J20" s="76">
        <f ca="1">GetFileList("P:\TP et Raccodement\FICHES CREES RACCORDEMENT\2 - SAV + COMPL + PASSAGE W XV A SAISIR DANS AX\19-02-2019\*SAV*.pdf")</f>
        <v>0</v>
      </c>
      <c r="K20" s="77">
        <f ca="1">GetFileList("P:\TP et Raccodement\FICHES CREES RACCORDEMENT\2 - SAV + COMPL + PASSAGE W XV A SAISIR DANS AX\19-02-2019\*COMPLEMENT*.pdf")</f>
        <v>0</v>
      </c>
      <c r="L20" s="77">
        <f ca="1">GetFileList("P:\TP et Raccodement\FICHES CREES RACCORDEMENT\2 - SAV + COMPL + PASSAGE W XV A SAISIR DANS AX\19-02-2019\*REPRISE*.pdf")</f>
        <v>0</v>
      </c>
      <c r="M20" s="78">
        <f ca="1">GetFileList("P:\TP et Raccodement\FICHES CREES RACCORDEMENT\2 - SAV + COMPL + PASSAGE W XV A SAISIR DANS AX\19-02-2019\*REMONTAGE*.pdf")</f>
        <v>0</v>
      </c>
      <c r="N20" s="61"/>
      <c r="O20" s="73">
        <f t="shared" ca="1" si="1"/>
        <v>0</v>
      </c>
    </row>
    <row r="21" spans="1:15" ht="16.5" x14ac:dyDescent="0.3">
      <c r="A21" s="59">
        <v>43516</v>
      </c>
      <c r="B21" s="74">
        <f t="shared" ca="1" si="0"/>
        <v>0</v>
      </c>
      <c r="C21" s="67">
        <f ca="1">GetFileList("P:\TP et Raccodement\FICHES CREES RACCORDEMENT\1 - RACCOS A SAISIR DANS AX\20-02-2019\*LM RACCO*.pdf")</f>
        <v>0</v>
      </c>
      <c r="D21" s="67">
        <f ca="1">GetFileList("P:\TP et Raccodement\FICHES CREES RACCORDEMENT\1 - RACCOS A SAISIR DANS AX\20-02-2019\*LR RACCO*.pdf")</f>
        <v>0</v>
      </c>
      <c r="E21" s="68">
        <f ca="1">GetFileList("P:\TP et Raccodement\FICHES CREES RACCORDEMENT\1 - RACCOS A SAISIR DANS AX\20-02-2019\*CL RACCO*.pdf")</f>
        <v>0</v>
      </c>
      <c r="F21" s="75">
        <f t="shared" ca="1" si="2"/>
        <v>0</v>
      </c>
      <c r="G21" s="67">
        <f ca="1">GetFileList("P:\TP et Raccodement\FICHES CREES RACCORDEMENT\2 - SAV + COMPL + PASSAGE W XV A SAISIR DANS AX\20-02-2019\*LM PASS*.pdf")</f>
        <v>0</v>
      </c>
      <c r="H21" s="67">
        <f ca="1">GetFileList("P:\TP et Raccodement\FICHES CREES RACCORDEMENT\2 - SAV + COMPL + PASSAGE W XV A SAISIR DANS AX\20-02-2019\*LR PASS*.pdf")</f>
        <v>0</v>
      </c>
      <c r="I21" s="68">
        <f ca="1">GetFileList("P:\TP et Raccodement\FICHES CREES RACCORDEMENT\2 - SAV + COMPL + PASSAGE W XV A SAISIR DANS AX\20-02-2019\*CL PASS*.pdf")</f>
        <v>0</v>
      </c>
      <c r="J21" s="76">
        <f ca="1">GetFileList("P:\TP et Raccodement\FICHES CREES RACCORDEMENT\2 - SAV + COMPL + PASSAGE W XV A SAISIR DANS AX\20-02-2019\*SAV*.pdf")</f>
        <v>0</v>
      </c>
      <c r="K21" s="77">
        <f ca="1">GetFileList("P:\TP et Raccodement\FICHES CREES RACCORDEMENT\2 - SAV + COMPL + PASSAGE W XV A SAISIR DANS AX\20-02-2019\*COMPLEMENT*.pdf")</f>
        <v>0</v>
      </c>
      <c r="L21" s="77">
        <f ca="1">GetFileList("P:\TP et Raccodement\FICHES CREES RACCORDEMENT\2 - SAV + COMPL + PASSAGE W XV A SAISIR DANS AX\20-02-2019\*REPRISE*.pdf")</f>
        <v>0</v>
      </c>
      <c r="M21" s="78">
        <f ca="1">GetFileList("P:\TP et Raccodement\FICHES CREES RACCORDEMENT\2 - SAV + COMPL + PASSAGE W XV A SAISIR DANS AX\20-02-2019\*REMONTAGE*.pdf")</f>
        <v>0</v>
      </c>
      <c r="N21" s="61"/>
      <c r="O21" s="73">
        <f t="shared" ca="1" si="1"/>
        <v>0</v>
      </c>
    </row>
    <row r="22" spans="1:15" ht="16.5" x14ac:dyDescent="0.3">
      <c r="A22" s="59">
        <v>43517</v>
      </c>
      <c r="B22" s="74">
        <f t="shared" ca="1" si="0"/>
        <v>0</v>
      </c>
      <c r="C22" s="67">
        <f ca="1">GetFileList("P:\TP et Raccodement\FICHES CREES RACCORDEMENT\1 - RACCOS A SAISIR DANS AX\21-02-2019\*LM RACCO*.pdf")</f>
        <v>0</v>
      </c>
      <c r="D22" s="67">
        <f ca="1">GetFileList("P:\TP et Raccodement\FICHES CREES RACCORDEMENT\1 - RACCOS A SAISIR DANS AX\21-02-2019\*LR RACCO*.pdf")</f>
        <v>0</v>
      </c>
      <c r="E22" s="68">
        <f ca="1">GetFileList("P:\TP et Raccodement\FICHES CREES RACCORDEMENT\1 - RACCOS A SAISIR DANS AX\21-02-2019\*CL RACCO*.pdf")</f>
        <v>0</v>
      </c>
      <c r="F22" s="75">
        <f t="shared" ca="1" si="2"/>
        <v>0</v>
      </c>
      <c r="G22" s="67">
        <f ca="1">GetFileList("P:\TP et Raccodement\FICHES CREES RACCORDEMENT\2 - SAV + COMPL + PASSAGE W XV A SAISIR DANS AX\21-02-2019\*LM PASS*.pdf")</f>
        <v>0</v>
      </c>
      <c r="H22" s="67">
        <f ca="1">GetFileList("P:\TP et Raccodement\FICHES CREES RACCORDEMENT\2 - SAV + COMPL + PASSAGE W XV A SAISIR DANS AX\21-02-2019\*LR PASS*.pdf")</f>
        <v>0</v>
      </c>
      <c r="I22" s="68">
        <f ca="1">GetFileList("P:\TP et Raccodement\FICHES CREES RACCORDEMENT\2 - SAV + COMPL + PASSAGE W XV A SAISIR DANS AX\21-02-2019\*CL PASS*.pdf")</f>
        <v>0</v>
      </c>
      <c r="J22" s="76">
        <f ca="1">GetFileList("P:\TP et Raccodement\FICHES CREES RACCORDEMENT\2 - SAV + COMPL + PASSAGE W XV A SAISIR DANS AX\21-02-2019\*SAV*.pdf")</f>
        <v>0</v>
      </c>
      <c r="K22" s="77">
        <f ca="1">GetFileList("P:\TP et Raccodement\FICHES CREES RACCORDEMENT\2 - SAV + COMPL + PASSAGE W XV A SAISIR DANS AX\21-02-2019\*COMPLEMENT*.pdf")</f>
        <v>0</v>
      </c>
      <c r="L22" s="77">
        <f ca="1">GetFileList("P:\TP et Raccodement\FICHES CREES RACCORDEMENT\2 - SAV + COMPL + PASSAGE W XV A SAISIR DANS AX\21-02-2019\*REPRISE*.pdf")</f>
        <v>0</v>
      </c>
      <c r="M22" s="78">
        <f ca="1">GetFileList("P:\TP et Raccodement\FICHES CREES RACCORDEMENT\2 - SAV + COMPL + PASSAGE W XV A SAISIR DANS AX\21-02-2019\*REMONTAGE*.pdf")</f>
        <v>0</v>
      </c>
      <c r="N22" s="61"/>
      <c r="O22" s="73">
        <f t="shared" ca="1" si="1"/>
        <v>0</v>
      </c>
    </row>
    <row r="23" spans="1:15" ht="16.5" x14ac:dyDescent="0.3">
      <c r="A23" s="59">
        <v>43518</v>
      </c>
      <c r="B23" s="74">
        <f t="shared" ca="1" si="0"/>
        <v>0</v>
      </c>
      <c r="C23" s="67">
        <f ca="1">GetFileList("P:\TP et Raccodement\FICHES CREES RACCORDEMENT\1 - RACCOS A SAISIR DANS AX\22-02-2019\*LM RACCO*.pdf")</f>
        <v>0</v>
      </c>
      <c r="D23" s="67">
        <f ca="1">GetFileList("P:\TP et Raccodement\FICHES CREES RACCORDEMENT\1 - RACCOS A SAISIR DANS AX\22-02-2019\*LR RACCO*.pdf")</f>
        <v>0</v>
      </c>
      <c r="E23" s="68">
        <f ca="1">GetFileList("P:\TP et Raccodement\FICHES CREES RACCORDEMENT\1 - RACCOS A SAISIR DANS AX\22-02-2019\*CL RACCO*.pdf")</f>
        <v>0</v>
      </c>
      <c r="F23" s="75">
        <f t="shared" ca="1" si="2"/>
        <v>0</v>
      </c>
      <c r="G23" s="67">
        <f ca="1">GetFileList("P:\TP et Raccodement\FICHES CREES RACCORDEMENT\2 - SAV + COMPL + PASSAGE W XV A SAISIR DANS AX\22-02-2019\*LM PASS*.pdf")</f>
        <v>0</v>
      </c>
      <c r="H23" s="67">
        <f ca="1">GetFileList("P:\TP et Raccodement\FICHES CREES RACCORDEMENT\2 - SAV + COMPL + PASSAGE W XV A SAISIR DANS AX\22-02-2019\*LR PASS*.pdf")</f>
        <v>0</v>
      </c>
      <c r="I23" s="68">
        <f ca="1">GetFileList("P:\TP et Raccodement\FICHES CREES RACCORDEMENT\2 - SAV + COMPL + PASSAGE W XV A SAISIR DANS AX\22-02-2019\*CL PASS*.pdf")</f>
        <v>0</v>
      </c>
      <c r="J23" s="76">
        <f ca="1">GetFileList("P:\TP et Raccodement\FICHES CREES RACCORDEMENT\2 - SAV + COMPL + PASSAGE W XV A SAISIR DANS AX\22-02-2019\*SAV*.pdf")</f>
        <v>0</v>
      </c>
      <c r="K23" s="77">
        <f ca="1">GetFileList("P:\TP et Raccodement\FICHES CREES RACCORDEMENT\2 - SAV + COMPL + PASSAGE W XV A SAISIR DANS AX\22-02-2019\*COMPLEMENT*.pdf")</f>
        <v>0</v>
      </c>
      <c r="L23" s="77">
        <f ca="1">GetFileList("P:\TP et Raccodement\FICHES CREES RACCORDEMENT\2 - SAV + COMPL + PASSAGE W XV A SAISIR DANS AX\22-02-2019\*REPRISE*.pdf")</f>
        <v>0</v>
      </c>
      <c r="M23" s="78">
        <f ca="1">GetFileList("P:\TP et Raccodement\FICHES CREES RACCORDEMENT\2 - SAV + COMPL + PASSAGE W XV A SAISIR DANS AX\22-02-2019\*REMONTAGE*.pdf")</f>
        <v>0</v>
      </c>
      <c r="N23" s="61"/>
      <c r="O23" s="73">
        <f t="shared" ca="1" si="1"/>
        <v>0</v>
      </c>
    </row>
    <row r="24" spans="1:15" ht="16.5" x14ac:dyDescent="0.3">
      <c r="A24" s="59">
        <v>43519</v>
      </c>
      <c r="B24" s="74">
        <f t="shared" ca="1" si="0"/>
        <v>0</v>
      </c>
      <c r="C24" s="67">
        <f ca="1">GetFileList("P:\TP et Raccodement\FICHES CREES RACCORDEMENT\1 - RACCOS A SAISIR DANS AX\23-02-2019\*LM RACCO*.pdf")</f>
        <v>0</v>
      </c>
      <c r="D24" s="67">
        <f ca="1">GetFileList("P:\TP et Raccodement\FICHES CREES RACCORDEMENT\1 - RACCOS A SAISIR DANS AX\23-02-2019\*LR RACCO*.pdf")</f>
        <v>0</v>
      </c>
      <c r="E24" s="68">
        <f ca="1">GetFileList("P:\TP et Raccodement\FICHES CREES RACCORDEMENT\1 - RACCOS A SAISIR DANS AX\23-02-2019\*CL RACCO*.pdf")</f>
        <v>0</v>
      </c>
      <c r="F24" s="75">
        <f t="shared" ca="1" si="2"/>
        <v>0</v>
      </c>
      <c r="G24" s="67">
        <f ca="1">GetFileList("P:\TP et Raccodement\FICHES CREES RACCORDEMENT\2 - SAV + COMPL + PASSAGE W XV A SAISIR DANS AX\23-02-2019\*LM PASS*.pdf")</f>
        <v>0</v>
      </c>
      <c r="H24" s="67">
        <f ca="1">GetFileList("P:\TP et Raccodement\FICHES CREES RACCORDEMENT\2 - SAV + COMPL + PASSAGE W XV A SAISIR DANS AX\23-02-2019\*LR PASS*.pdf")</f>
        <v>0</v>
      </c>
      <c r="I24" s="68">
        <f ca="1">GetFileList("P:\TP et Raccodement\FICHES CREES RACCORDEMENT\2 - SAV + COMPL + PASSAGE W XV A SAISIR DANS AX\23-02-2019\*CL PASS*.pdf")</f>
        <v>0</v>
      </c>
      <c r="J24" s="76">
        <f ca="1">GetFileList("P:\TP et Raccodement\FICHES CREES RACCORDEMENT\2 - SAV + COMPL + PASSAGE W XV A SAISIR DANS AX\23-02-2019\*SAV*.pdf")</f>
        <v>0</v>
      </c>
      <c r="K24" s="77">
        <f ca="1">GetFileList("P:\TP et Raccodement\FICHES CREES RACCORDEMENT\2 - SAV + COMPL + PASSAGE W XV A SAISIR DANS AX\23-02-2019\*COMPLEMENT*.pdf")</f>
        <v>0</v>
      </c>
      <c r="L24" s="77">
        <f ca="1">GetFileList("P:\TP et Raccodement\FICHES CREES RACCORDEMENT\2 - SAV + COMPL + PASSAGE W XV A SAISIR DANS AX\23-02-2019\*REPRISE*.pdf")</f>
        <v>0</v>
      </c>
      <c r="M24" s="78">
        <f ca="1">GetFileList("P:\TP et Raccodement\FICHES CREES RACCORDEMENT\2 - SAV + COMPL + PASSAGE W XV A SAISIR DANS AX\23-02-2019\*REMONTAGE*.pdf")</f>
        <v>0</v>
      </c>
      <c r="N24" s="61"/>
      <c r="O24" s="73">
        <f t="shared" ca="1" si="1"/>
        <v>0</v>
      </c>
    </row>
    <row r="25" spans="1:15" ht="16.5" x14ac:dyDescent="0.3">
      <c r="A25" s="88">
        <v>43520</v>
      </c>
      <c r="B25" s="89">
        <f t="shared" ca="1" si="0"/>
        <v>0</v>
      </c>
      <c r="C25" s="90">
        <f ca="1">GetFileList("P:\TP et Raccodement\FICHES CREES RACCORDEMENT\1 - RACCOS A SAISIR DANS AX\24-02-2019\*LM RACCO*.pdf")</f>
        <v>0</v>
      </c>
      <c r="D25" s="90">
        <f ca="1">GetFileList("P:\TP et Raccodement\FICHES CREES RACCORDEMENT\1 - RACCOS A SAISIR DANS AX\24-02-2019\*LR RACCO*.pdf")</f>
        <v>0</v>
      </c>
      <c r="E25" s="91">
        <f ca="1">GetFileList("P:\TP et Raccodement\FICHES CREES RACCORDEMENT\1 - RACCOS A SAISIR DANS AX\24-02-2019\*CL RACCO*.pdf")</f>
        <v>0</v>
      </c>
      <c r="F25" s="92">
        <f t="shared" ca="1" si="2"/>
        <v>0</v>
      </c>
      <c r="G25" s="90">
        <f ca="1">GetFileList("P:\TP et Raccodement\FICHES CREES RACCORDEMENT\2 - SAV + COMPL + PASSAGE W XV A SAISIR DANS AX\24-02-2019\*LM PASS*.pdf")</f>
        <v>0</v>
      </c>
      <c r="H25" s="90">
        <f ca="1">GetFileList("P:\TP et Raccodement\FICHES CREES RACCORDEMENT\2 - SAV + COMPL + PASSAGE W XV A SAISIR DANS AX\24-02-2019\*LR PASS*.pdf")</f>
        <v>0</v>
      </c>
      <c r="I25" s="91">
        <f ca="1">GetFileList("P:\TP et Raccodement\FICHES CREES RACCORDEMENT\2 - SAV + COMPL + PASSAGE W XV A SAISIR DANS AX\24-02-2019\*CL PASS*.pdf")</f>
        <v>0</v>
      </c>
      <c r="J25" s="93">
        <f ca="1">GetFileList("P:\TP et Raccodement\FICHES CREES RACCORDEMENT\2 - SAV + COMPL + PASSAGE W XV A SAISIR DANS AX\24-02-2019\*SAV*.pdf")</f>
        <v>0</v>
      </c>
      <c r="K25" s="94">
        <f ca="1">GetFileList("P:\TP et Raccodement\FICHES CREES RACCORDEMENT\2 - SAV + COMPL + PASSAGE W XV A SAISIR DANS AX\24-02-2019\*COMPLEMENT*.pdf")</f>
        <v>0</v>
      </c>
      <c r="L25" s="94">
        <f ca="1">GetFileList("P:\TP et Raccodement\FICHES CREES RACCORDEMENT\2 - SAV + COMPL + PASSAGE W XV A SAISIR DANS AX\24-02-2019\*REPRISE*.pdf")</f>
        <v>0</v>
      </c>
      <c r="M25" s="95">
        <f ca="1">GetFileList("P:\TP et Raccodement\FICHES CREES RACCORDEMENT\2 - SAV + COMPL + PASSAGE W XV A SAISIR DANS AX\24-02-2019\*REMONTAGE*.pdf")</f>
        <v>0</v>
      </c>
      <c r="N25" s="61"/>
      <c r="O25" s="73">
        <f t="shared" ca="1" si="1"/>
        <v>0</v>
      </c>
    </row>
    <row r="26" spans="1:15" ht="16.5" x14ac:dyDescent="0.3">
      <c r="A26" s="59">
        <v>43521</v>
      </c>
      <c r="B26" s="74">
        <f t="shared" ca="1" si="0"/>
        <v>0</v>
      </c>
      <c r="C26" s="67">
        <f ca="1">GetFileList("P:\TP et Raccodement\FICHES CREES RACCORDEMENT\1 - RACCOS A SAISIR DANS AX\25-02-2019\*LM RACCO*.pdf")</f>
        <v>0</v>
      </c>
      <c r="D26" s="67">
        <f ca="1">GetFileList("P:\TP et Raccodement\FICHES CREES RACCORDEMENT\1 - RACCOS A SAISIR DANS AX\25-02-2019\*LR RACCO*.pdf")</f>
        <v>0</v>
      </c>
      <c r="E26" s="68">
        <f ca="1">GetFileList("P:\TP et Raccodement\FICHES CREES RACCORDEMENT\1 - RACCOS A SAISIR DANS AX\25-02-2019\*CL RACCO*.pdf")</f>
        <v>0</v>
      </c>
      <c r="F26" s="75">
        <f t="shared" ca="1" si="2"/>
        <v>0</v>
      </c>
      <c r="G26" s="67">
        <f ca="1">GetFileList("P:\TP et Raccodement\FICHES CREES RACCORDEMENT\2 - SAV + COMPL + PASSAGE W XV A SAISIR DANS AX\25-02-2019\*LM PASS*.pdf")</f>
        <v>0</v>
      </c>
      <c r="H26" s="67">
        <f ca="1">GetFileList("P:\TP et Raccodement\FICHES CREES RACCORDEMENT\2 - SAV + COMPL + PASSAGE W XV A SAISIR DANS AX\25-02-2019\*LR PASS*.pdf")</f>
        <v>0</v>
      </c>
      <c r="I26" s="68">
        <f ca="1">GetFileList("P:\TP et Raccodement\FICHES CREES RACCORDEMENT\2 - SAV + COMPL + PASSAGE W XV A SAISIR DANS AX\25-02-2019\*CL PASS*.pdf")</f>
        <v>0</v>
      </c>
      <c r="J26" s="76">
        <f ca="1">GetFileList("P:\TP et Raccodement\FICHES CREES RACCORDEMENT\2 - SAV + COMPL + PASSAGE W XV A SAISIR DANS AX\25-02-2019\*SAV*.pdf")</f>
        <v>0</v>
      </c>
      <c r="K26" s="77">
        <f ca="1">GetFileList("P:\TP et Raccodement\FICHES CREES RACCORDEMENT\2 - SAV + COMPL + PASSAGE W XV A SAISIR DANS AX\25-02-2019\*COMPLEMENT*.pdf")</f>
        <v>0</v>
      </c>
      <c r="L26" s="77">
        <f ca="1">GetFileList("P:\TP et Raccodement\FICHES CREES RACCORDEMENT\2 - SAV + COMPL + PASSAGE W XV A SAISIR DANS AX\25-02-2019\*REPRISE*.pdf")</f>
        <v>0</v>
      </c>
      <c r="M26" s="78">
        <f ca="1">GetFileList("P:\TP et Raccodement\FICHES CREES RACCORDEMENT\2 - SAV + COMPL + PASSAGE W XV A SAISIR DANS AX\25-02-2019\*REMONTAGE*.pdf")</f>
        <v>0</v>
      </c>
      <c r="N26" s="61"/>
      <c r="O26" s="73">
        <f t="shared" ca="1" si="1"/>
        <v>0</v>
      </c>
    </row>
    <row r="27" spans="1:15" ht="16.5" x14ac:dyDescent="0.3">
      <c r="A27" s="59">
        <v>43522</v>
      </c>
      <c r="B27" s="74">
        <f t="shared" ca="1" si="0"/>
        <v>0</v>
      </c>
      <c r="C27" s="67">
        <f ca="1">GetFileList("P:\TP et Raccodement\FICHES CREES RACCORDEMENT\1 - RACCOS A SAISIR DANS AX\26-02-2019\*LM RACCO*.pdf")</f>
        <v>0</v>
      </c>
      <c r="D27" s="67">
        <f ca="1">GetFileList("P:\TP et Raccodement\FICHES CREES RACCORDEMENT\1 - RACCOS A SAISIR DANS AX\26-02-2019\*LR RACCO*.pdf")</f>
        <v>0</v>
      </c>
      <c r="E27" s="68">
        <f ca="1">GetFileList("P:\TP et Raccodement\FICHES CREES RACCORDEMENT\1 - RACCOS A SAISIR DANS AX\26-02-2019\*CL RACCO*.pdf")</f>
        <v>0</v>
      </c>
      <c r="F27" s="75">
        <f t="shared" ca="1" si="2"/>
        <v>0</v>
      </c>
      <c r="G27" s="67">
        <f ca="1">GetFileList("P:\TP et Raccodement\FICHES CREES RACCORDEMENT\2 - SAV + COMPL + PASSAGE W XV A SAISIR DANS AX\26-02-2019\*LM PASS*.pdf")</f>
        <v>0</v>
      </c>
      <c r="H27" s="67">
        <f ca="1">GetFileList("P:\TP et Raccodement\FICHES CREES RACCORDEMENT\2 - SAV + COMPL + PASSAGE W XV A SAISIR DANS AX\26-02-2019\*LR PASS*.pdf")</f>
        <v>0</v>
      </c>
      <c r="I27" s="68">
        <f ca="1">GetFileList("P:\TP et Raccodement\FICHES CREES RACCORDEMENT\2 - SAV + COMPL + PASSAGE W XV A SAISIR DANS AX\26-02-2019\*CL PASS*.pdf")</f>
        <v>0</v>
      </c>
      <c r="J27" s="76">
        <f ca="1">GetFileList("P:\TP et Raccodement\FICHES CREES RACCORDEMENT\2 - SAV + COMPL + PASSAGE W XV A SAISIR DANS AX\26-02-2019\*SAV*.pdf")</f>
        <v>0</v>
      </c>
      <c r="K27" s="77">
        <f ca="1">GetFileList("P:\TP et Raccodement\FICHES CREES RACCORDEMENT\2 - SAV + COMPL + PASSAGE W XV A SAISIR DANS AX\26-02-2019\*COMPLEMENT*.pdf")</f>
        <v>0</v>
      </c>
      <c r="L27" s="77">
        <f ca="1">GetFileList("P:\TP et Raccodement\FICHES CREES RACCORDEMENT\2 - SAV + COMPL + PASSAGE W XV A SAISIR DANS AX\26-02-2019\*REPRISE*.pdf")</f>
        <v>0</v>
      </c>
      <c r="M27" s="78">
        <f ca="1">GetFileList("P:\TP et Raccodement\FICHES CREES RACCORDEMENT\2 - SAV + COMPL + PASSAGE W XV A SAISIR DANS AX\26-02-2019\*REMONTAGE*.pdf")</f>
        <v>0</v>
      </c>
      <c r="N27" s="61"/>
      <c r="O27" s="73">
        <f t="shared" ca="1" si="1"/>
        <v>0</v>
      </c>
    </row>
    <row r="28" spans="1:15" ht="16.5" x14ac:dyDescent="0.3">
      <c r="A28" s="59">
        <v>43523</v>
      </c>
      <c r="B28" s="74">
        <f t="shared" ca="1" si="0"/>
        <v>0</v>
      </c>
      <c r="C28" s="67">
        <f ca="1">GetFileList("P:\TP et Raccodement\FICHES CREES RACCORDEMENT\1 - RACCOS A SAISIR DANS AX\27-02-2019\*LM RACCO*.pdf")</f>
        <v>0</v>
      </c>
      <c r="D28" s="67">
        <f ca="1">GetFileList("P:\TP et Raccodement\FICHES CREES RACCORDEMENT\1 - RACCOS A SAISIR DANS AX\27-02-2019\*LR RACCO*.pdf")</f>
        <v>0</v>
      </c>
      <c r="E28" s="68">
        <f ca="1">GetFileList("P:\TP et Raccodement\FICHES CREES RACCORDEMENT\1 - RACCOS A SAISIR DANS AX\27-02-2019\*CL RACCO*.pdf")</f>
        <v>0</v>
      </c>
      <c r="F28" s="75">
        <f t="shared" ca="1" si="2"/>
        <v>0</v>
      </c>
      <c r="G28" s="67">
        <f ca="1">GetFileList("P:\TP et Raccodement\FICHES CREES RACCORDEMENT\2 - SAV + COMPL + PASSAGE W XV A SAISIR DANS AX\27-02-2019\*LM PASS*.pdf")</f>
        <v>0</v>
      </c>
      <c r="H28" s="67">
        <f ca="1">GetFileList("P:\TP et Raccodement\FICHES CREES RACCORDEMENT\2 - SAV + COMPL + PASSAGE W XV A SAISIR DANS AX\27-02-2019\*LR PASS*.pdf")</f>
        <v>0</v>
      </c>
      <c r="I28" s="68">
        <f ca="1">GetFileList("P:\TP et Raccodement\FICHES CREES RACCORDEMENT\2 - SAV + COMPL + PASSAGE W XV A SAISIR DANS AX\27-02-2019\*CL PASS*.pdf")</f>
        <v>0</v>
      </c>
      <c r="J28" s="76">
        <f ca="1">GetFileList("P:\TP et Raccodement\FICHES CREES RACCORDEMENT\2 - SAV + COMPL + PASSAGE W XV A SAISIR DANS AX\27-02-2019\*SAV*.pdf")</f>
        <v>0</v>
      </c>
      <c r="K28" s="77">
        <f ca="1">GetFileList("P:\TP et Raccodement\FICHES CREES RACCORDEMENT\2 - SAV + COMPL + PASSAGE W XV A SAISIR DANS AX\27-02-2019\*COMPLEMENT*.pdf")</f>
        <v>0</v>
      </c>
      <c r="L28" s="77">
        <f ca="1">GetFileList("P:\TP et Raccodement\FICHES CREES RACCORDEMENT\2 - SAV + COMPL + PASSAGE W XV A SAISIR DANS AX\27-02-2019\*REPRISE*.pdf")</f>
        <v>0</v>
      </c>
      <c r="M28" s="78">
        <f ca="1">GetFileList("P:\TP et Raccodement\FICHES CREES RACCORDEMENT\2 - SAV + COMPL + PASSAGE W XV A SAISIR DANS AX\27-02-2019\*REMONTAGE*.pdf")</f>
        <v>0</v>
      </c>
      <c r="N28" s="61"/>
      <c r="O28" s="73">
        <f t="shared" ca="1" si="1"/>
        <v>0</v>
      </c>
    </row>
    <row r="29" spans="1:15" ht="17.25" thickBot="1" x14ac:dyDescent="0.35">
      <c r="A29" s="59">
        <v>43524</v>
      </c>
      <c r="B29" s="74">
        <f t="shared" ca="1" si="0"/>
        <v>0</v>
      </c>
      <c r="C29" s="67">
        <f ca="1">GetFileList("P:\TP et Raccodement\FICHES CREES RACCORDEMENT\1 - RACCOS A SAISIR DANS AX\28-02-2019\*LM RACCO*.pdf")</f>
        <v>0</v>
      </c>
      <c r="D29" s="67">
        <f ca="1">GetFileList("P:\TP et Raccodement\FICHES CREES RACCORDEMENT\1 - RACCOS A SAISIR DANS AX\28-02-2019\*LR RACCO*.pdf")</f>
        <v>0</v>
      </c>
      <c r="E29" s="68">
        <f ca="1">GetFileList("P:\TP et Raccodement\FICHES CREES RACCORDEMENT\1 - RACCOS A SAISIR DANS AX\28-02-2019\*CL RACCO*.pdf")</f>
        <v>0</v>
      </c>
      <c r="F29" s="75">
        <f t="shared" ca="1" si="2"/>
        <v>0</v>
      </c>
      <c r="G29" s="67">
        <f ca="1">GetFileList("P:\TP et Raccodement\FICHES CREES RACCORDEMENT\2 - SAV + COMPL + PASSAGE W XV A SAISIR DANS AX\28-02-2019\*LM PASS*.pdf")</f>
        <v>0</v>
      </c>
      <c r="H29" s="67">
        <f ca="1">GetFileList("P:\TP et Raccodement\FICHES CREES RACCORDEMENT\2 - SAV + COMPL + PASSAGE W XV A SAISIR DANS AX\28-02-2019\*LR PASS*.pdf")</f>
        <v>0</v>
      </c>
      <c r="I29" s="68">
        <f ca="1">GetFileList("P:\TP et Raccodement\FICHES CREES RACCORDEMENT\2 - SAV + COMPL + PASSAGE W XV A SAISIR DANS AX\28-02-2019\*CL PASS*.pdf")</f>
        <v>0</v>
      </c>
      <c r="J29" s="76">
        <f ca="1">GetFileList("P:\TP et Raccodement\FICHES CREES RACCORDEMENT\2 - SAV + COMPL + PASSAGE W XV A SAISIR DANS AX\28-02-2019\*SAV*.pdf")</f>
        <v>0</v>
      </c>
      <c r="K29" s="77">
        <f ca="1">GetFileList("P:\TP et Raccodement\FICHES CREES RACCORDEMENT\2 - SAV + COMPL + PASSAGE W XV A SAISIR DANS AX\28-02-2019\*COMPLEMENT*.pdf")</f>
        <v>0</v>
      </c>
      <c r="L29" s="77">
        <f ca="1">GetFileList("P:\TP et Raccodement\FICHES CREES RACCORDEMENT\2 - SAV + COMPL + PASSAGE W XV A SAISIR DANS AX\28-02-2019\*REPRISE*.pdf")</f>
        <v>0</v>
      </c>
      <c r="M29" s="78">
        <f ca="1">GetFileList("P:\TP et Raccodement\FICHES CREES RACCORDEMENT\2 - SAV + COMPL + PASSAGE W XV A SAISIR DANS AX\28-02-2019\*REMONTAGE*.pdf")</f>
        <v>0</v>
      </c>
      <c r="N29" s="61"/>
      <c r="O29" s="73">
        <f t="shared" ca="1" si="1"/>
        <v>0</v>
      </c>
    </row>
    <row r="30" spans="1:15" ht="18" thickBot="1" x14ac:dyDescent="0.35">
      <c r="A30" s="136" t="s">
        <v>10</v>
      </c>
      <c r="B30" s="132">
        <f t="shared" ref="B30:M30" ca="1" si="3">SUM(B2:B29)</f>
        <v>0</v>
      </c>
      <c r="C30" s="133">
        <f t="shared" ca="1" si="3"/>
        <v>0</v>
      </c>
      <c r="D30" s="133">
        <f t="shared" ca="1" si="3"/>
        <v>0</v>
      </c>
      <c r="E30" s="134">
        <f t="shared" ca="1" si="3"/>
        <v>0</v>
      </c>
      <c r="F30" s="69">
        <f t="shared" ca="1" si="3"/>
        <v>0</v>
      </c>
      <c r="G30" s="70">
        <f t="shared" ca="1" si="3"/>
        <v>0</v>
      </c>
      <c r="H30" s="70">
        <f t="shared" ca="1" si="3"/>
        <v>0</v>
      </c>
      <c r="I30" s="86">
        <f t="shared" ca="1" si="3"/>
        <v>0</v>
      </c>
      <c r="J30" s="87">
        <f t="shared" ca="1" si="3"/>
        <v>0</v>
      </c>
      <c r="K30" s="82">
        <f t="shared" ca="1" si="3"/>
        <v>0</v>
      </c>
      <c r="L30" s="82">
        <f t="shared" ca="1" si="3"/>
        <v>0</v>
      </c>
      <c r="M30" s="83">
        <f t="shared" ca="1" si="3"/>
        <v>0</v>
      </c>
      <c r="N30" s="62"/>
      <c r="O30" s="72">
        <f ca="1">SUM(O2:O29)</f>
        <v>0</v>
      </c>
    </row>
  </sheetData>
  <conditionalFormatting sqref="O2:O29">
    <cfRule type="cellIs" dxfId="13" priority="1" operator="equal">
      <formula>0</formula>
    </cfRule>
  </conditionalFormatting>
  <conditionalFormatting sqref="B2:B29">
    <cfRule type="dataBar" priority="10">
      <dataBar>
        <cfvo type="min"/>
        <cfvo type="max"/>
        <color rgb="FF41A964"/>
      </dataBar>
      <extLst>
        <ext xmlns:x14="http://schemas.microsoft.com/office/spreadsheetml/2009/9/main" uri="{B025F937-C7B1-47D3-B67F-A62EFF666E3E}">
          <x14:id>{9687DE80-7466-45B5-9F63-C48A842210BC}</x14:id>
        </ext>
      </extLst>
    </cfRule>
  </conditionalFormatting>
  <conditionalFormatting sqref="B2 B5:B9 B12:B16 B19:B23 B26:B29">
    <cfRule type="iconSet" priority="11">
      <iconSet iconSet="3Flags">
        <cfvo type="percent" val="0"/>
        <cfvo type="percent" val="33"/>
        <cfvo type="percent" val="67"/>
      </iconSet>
    </cfRule>
  </conditionalFormatting>
  <conditionalFormatting sqref="F2:F29">
    <cfRule type="dataBar" priority="16">
      <dataBar>
        <cfvo type="min"/>
        <cfvo type="max"/>
        <color rgb="FF53BD76"/>
      </dataBar>
      <extLst>
        <ext xmlns:x14="http://schemas.microsoft.com/office/spreadsheetml/2009/9/main" uri="{B025F937-C7B1-47D3-B67F-A62EFF666E3E}">
          <x14:id>{D57DC186-B0C8-4F0E-BA5A-806533AE9B0A}</x14:id>
        </ext>
      </extLst>
    </cfRule>
  </conditionalFormatting>
  <conditionalFormatting sqref="F2 F5:F9 F12:F16 F19:F23 F26:F29">
    <cfRule type="iconSet" priority="17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687DE80-7466-45B5-9F63-C48A842210BC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B2:B29</xm:sqref>
        </x14:conditionalFormatting>
        <x14:conditionalFormatting xmlns:xm="http://schemas.microsoft.com/office/excel/2006/main">
          <x14:cfRule type="dataBar" id="{D57DC186-B0C8-4F0E-BA5A-806533AE9B0A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F2:F29</xm:sqref>
        </x14:conditionalFormatting>
      </x14:conditionalFormatting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7030A0"/>
  </sheetPr>
  <dimension ref="A1:P33"/>
  <sheetViews>
    <sheetView showGridLines="0" zoomScaleNormal="10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2.140625" customWidth="1"/>
    <col min="2" max="2" width="14.85546875" bestFit="1" customWidth="1"/>
    <col min="6" max="6" width="13.42578125" customWidth="1"/>
    <col min="13" max="13" width="12.28515625" bestFit="1" customWidth="1"/>
    <col min="14" max="14" width="0.85546875" customWidth="1"/>
    <col min="15" max="15" width="9.140625" style="1"/>
    <col min="16" max="16" width="10.7109375" bestFit="1" customWidth="1"/>
  </cols>
  <sheetData>
    <row r="1" spans="1:16" ht="31.5" customHeight="1" x14ac:dyDescent="0.25">
      <c r="A1" s="58" t="s">
        <v>11</v>
      </c>
      <c r="B1" s="66" t="s">
        <v>41</v>
      </c>
      <c r="C1" s="64" t="s">
        <v>1</v>
      </c>
      <c r="D1" s="64" t="s">
        <v>2</v>
      </c>
      <c r="E1" s="65" t="s">
        <v>3</v>
      </c>
      <c r="F1" s="71" t="s">
        <v>42</v>
      </c>
      <c r="G1" s="84" t="s">
        <v>5</v>
      </c>
      <c r="H1" s="84" t="s">
        <v>2</v>
      </c>
      <c r="I1" s="85" t="s">
        <v>3</v>
      </c>
      <c r="J1" s="63" t="s">
        <v>43</v>
      </c>
      <c r="K1" s="64" t="s">
        <v>44</v>
      </c>
      <c r="L1" s="64" t="s">
        <v>45</v>
      </c>
      <c r="M1" s="65" t="s">
        <v>46</v>
      </c>
      <c r="N1" s="60"/>
      <c r="O1" s="71" t="s">
        <v>10</v>
      </c>
    </row>
    <row r="2" spans="1:16" ht="16.5" x14ac:dyDescent="0.3">
      <c r="A2" s="59">
        <v>43525</v>
      </c>
      <c r="B2" s="74">
        <f ca="1">C2+D2+E2</f>
        <v>0</v>
      </c>
      <c r="C2" s="67">
        <f ca="1">GetFileList("P:\TP et Raccodement\FICHES CREES RACCORDEMENT\1 - RACCOS A SAISIR DANS AX\01-03-2019\*LM RACCO*.pdf")</f>
        <v>0</v>
      </c>
      <c r="D2" s="67">
        <f ca="1">GetFileList("P:\TP et Raccodement\FICHES CREES RACCORDEMENT\1 - RACCOS A SAISIR DANS AX\01-03-2019\*LR RACCO*.pdf")</f>
        <v>0</v>
      </c>
      <c r="E2" s="68">
        <f ca="1">GetFileList("P:\TP et Raccodement\FICHES CREES RACCORDEMENT\1 - RACCOS A SAISIR DANS AX\01-03-2019\*CL RACCO*.pdf")</f>
        <v>0</v>
      </c>
      <c r="F2" s="75">
        <f ca="1">G2+H2+I2</f>
        <v>0</v>
      </c>
      <c r="G2" s="67">
        <f ca="1">GetFileList("P:\TP et Raccodement\FICHES CREES RACCORDEMENT\2 - SAV + COMPL + PASSAGE W XV A SAISIR DANS AX\01-03-2019\*LM PASS*.pdf")</f>
        <v>0</v>
      </c>
      <c r="H2" s="67">
        <f ca="1">GetFileList("P:\TP et Raccodement\FICHES CREES RACCORDEMENT\2 - SAV + COMPL + PASSAGE W XV A SAISIR DANS AX\01-03-2019\*LR PASS*.pdf")</f>
        <v>0</v>
      </c>
      <c r="I2" s="68">
        <f ca="1">GetFileList("P:\TP et Raccodement\FICHES CREES RACCORDEMENT\2 - SAV + COMPL + PASSAGE W XV A SAISIR DANS AX\01-03-2019\*CL PASS*.pdf")</f>
        <v>0</v>
      </c>
      <c r="J2" s="76">
        <f ca="1">GetFileList("P:\TP et Raccodement\FICHES CREES RACCORDEMENT\2 - SAV + COMPL + PASSAGE W XV A SAISIR DANS AX\01-03-2019\*SAV*.pdf")</f>
        <v>0</v>
      </c>
      <c r="K2" s="77">
        <f ca="1">GetFileList("P:\TP et Raccodement\FICHES CREES RACCORDEMENT\2 - SAV + COMPL + PASSAGE W XV A SAISIR DANS AX\01-03-2019\*COMPLEMENT*.pdf")</f>
        <v>0</v>
      </c>
      <c r="L2" s="77">
        <f ca="1">GetFileList("P:\TP et Raccodement\FICHES CREES RACCORDEMENT\2 - SAV + COMPL + PASSAGE W XV A SAISIR DANS AX\01-03-2019\*REPRISE*.pdf")</f>
        <v>0</v>
      </c>
      <c r="M2" s="78">
        <f ca="1">GetFileList("P:\TP et Raccodement\FICHES CREES RACCORDEMENT\2 - SAV + COMPL + PASSAGE W XV A SAISIR DANS AX\01-03-2019\*REMONTAGE*.pdf")</f>
        <v>0</v>
      </c>
      <c r="N2" s="61"/>
      <c r="O2" s="73">
        <f ca="1">B2+F2+J2+K2+L2+M2</f>
        <v>0</v>
      </c>
      <c r="P2" s="54"/>
    </row>
    <row r="3" spans="1:16" ht="16.5" x14ac:dyDescent="0.3">
      <c r="A3" s="59">
        <v>43526</v>
      </c>
      <c r="B3" s="74">
        <f t="shared" ref="B3:B32" ca="1" si="0">C3+D3+E3</f>
        <v>0</v>
      </c>
      <c r="C3" s="67">
        <f ca="1">GetFileList("P:\TP et Raccodement\FICHES CREES RACCORDEMENT\1 - RACCOS A SAISIR DANS AX\02-03-2019\*LM RACCO*.pdf")</f>
        <v>0</v>
      </c>
      <c r="D3" s="67">
        <f ca="1">GetFileList("P:\TP et Raccodement\FICHES CREES RACCORDEMENT\1 - RACCOS A SAISIR DANS AX\02-03-2019\*LR RACCO*.pdf")</f>
        <v>0</v>
      </c>
      <c r="E3" s="68">
        <f ca="1">GetFileList("P:\TP et Raccodement\FICHES CREES RACCORDEMENT\1 - RACCOS A SAISIR DANS AX\02-03-2019\*CL RACCO*.pdf")</f>
        <v>0</v>
      </c>
      <c r="F3" s="75">
        <f ca="1">G3+H3+I3</f>
        <v>0</v>
      </c>
      <c r="G3" s="67">
        <f ca="1">GetFileList("P:\TP et Raccodement\FICHES CREES RACCORDEMENT\2 - SAV + COMPL + PASSAGE W XV A SAISIR DANS AX\02-03-2019\*LM PASS*.pdf")</f>
        <v>0</v>
      </c>
      <c r="H3" s="67">
        <f ca="1">GetFileList("P:\TP et Raccodement\FICHES CREES RACCORDEMENT\2 - SAV + COMPL + PASSAGE W XV A SAISIR DANS AX\02-03-2019\*LR PASS*.pdf")</f>
        <v>0</v>
      </c>
      <c r="I3" s="68">
        <f ca="1">GetFileList("P:\TP et Raccodement\FICHES CREES RACCORDEMENT\2 - SAV + COMPL + PASSAGE W XV A SAISIR DANS AX\02-03-2019\*CL PASS*.pdf")</f>
        <v>0</v>
      </c>
      <c r="J3" s="76">
        <f ca="1">GetFileList("P:\TP et Raccodement\FICHES CREES RACCORDEMENT\2 - SAV + COMPL + PASSAGE W XV A SAISIR DANS AX\02-03-2019\*SAV*.pdf")</f>
        <v>0</v>
      </c>
      <c r="K3" s="77">
        <f ca="1">GetFileList("P:\TP et Raccodement\FICHES CREES RACCORDEMENT\2 - SAV + COMPL + PASSAGE W XV A SAISIR DANS AX\02-03-2019\*COMPLEMENT*.pdf")</f>
        <v>0</v>
      </c>
      <c r="L3" s="77">
        <f ca="1">GetFileList("P:\TP et Raccodement\FICHES CREES RACCORDEMENT\2 - SAV + COMPL + PASSAGE W XV A SAISIR DANS AX\02-03-2019\*REPRISE*.pdf")</f>
        <v>0</v>
      </c>
      <c r="M3" s="78">
        <f ca="1">GetFileList("P:\TP et Raccodement\FICHES CREES RACCORDEMENT\2 - SAV + COMPL + PASSAGE W XV A SAISIR DANS AX\02-03-2019\*REMONTAGE*.pdf")</f>
        <v>0</v>
      </c>
      <c r="N3" s="61"/>
      <c r="O3" s="73">
        <f t="shared" ref="O3:O32" ca="1" si="1">B3+F3+J3+K3+L3+M3</f>
        <v>0</v>
      </c>
    </row>
    <row r="4" spans="1:16" ht="16.5" x14ac:dyDescent="0.3">
      <c r="A4" s="88">
        <v>43527</v>
      </c>
      <c r="B4" s="89">
        <f t="shared" ca="1" si="0"/>
        <v>0</v>
      </c>
      <c r="C4" s="90">
        <f ca="1">GetFileList("P:\TP et Raccodement\FICHES CREES RACCORDEMENT\1 - RACCOS A SAISIR DANS AX\03-03-2019\*LM RACCO*.pdf")</f>
        <v>0</v>
      </c>
      <c r="D4" s="90">
        <f ca="1">GetFileList("P:\TP et Raccodement\FICHES CREES RACCORDEMENT\1 - RACCOS A SAISIR DANS AX\03-03-2019\*LR RACCO*.pdf")</f>
        <v>0</v>
      </c>
      <c r="E4" s="91">
        <f ca="1">GetFileList("P:\TP et Raccodement\FICHES CREES RACCORDEMENT\1 - RACCOS A SAISIR DANS AX\03-03-2019\*CL RACCO*.pdf")</f>
        <v>0</v>
      </c>
      <c r="F4" s="92">
        <f t="shared" ref="F4:F32" ca="1" si="2">G4+H4+I4</f>
        <v>0</v>
      </c>
      <c r="G4" s="90">
        <f ca="1">GetFileList("P:\TP et Raccodement\FICHES CREES RACCORDEMENT\2 - SAV + COMPL + PASSAGE W XV A SAISIR DANS AX\03-03-2019\*LM PASS*.pdf")</f>
        <v>0</v>
      </c>
      <c r="H4" s="90">
        <f ca="1">GetFileList("P:\TP et Raccodement\FICHES CREES RACCORDEMENT\2 - SAV + COMPL + PASSAGE W XV A SAISIR DANS AX\03-03-2019\*LR PASS*.pdf")</f>
        <v>0</v>
      </c>
      <c r="I4" s="91">
        <f ca="1">GetFileList("P:\TP et Raccodement\FICHES CREES RACCORDEMENT\2 - SAV + COMPL + PASSAGE W XV A SAISIR DANS AX\03-03-2019\*CL PASS*.pdf")</f>
        <v>0</v>
      </c>
      <c r="J4" s="93">
        <f ca="1">GetFileList("P:\TP et Raccodement\FICHES CREES RACCORDEMENT\2 - SAV + COMPL + PASSAGE W XV A SAISIR DANS AX\03-03-2019\*SAV*.pdf")</f>
        <v>0</v>
      </c>
      <c r="K4" s="94">
        <f ca="1">GetFileList("P:\TP et Raccodement\FICHES CREES RACCORDEMENT\2 - SAV + COMPL + PASSAGE W XV A SAISIR DANS AX\03-03-2019\*COMPLEMENT*.pdf")</f>
        <v>0</v>
      </c>
      <c r="L4" s="94">
        <f ca="1">GetFileList("P:\TP et Raccodement\FICHES CREES RACCORDEMENT\2 - SAV + COMPL + PASSAGE W XV A SAISIR DANS AX\03-03-2019\*REPRISE*.pdf")</f>
        <v>0</v>
      </c>
      <c r="M4" s="95">
        <f ca="1">GetFileList("P:\TP et Raccodement\FICHES CREES RACCORDEMENT\2 - SAV + COMPL + PASSAGE W XV A SAISIR DANS AX\03-03-2019\*REMONTAGE*.pdf")</f>
        <v>0</v>
      </c>
      <c r="N4" s="61"/>
      <c r="O4" s="73">
        <f t="shared" ca="1" si="1"/>
        <v>0</v>
      </c>
    </row>
    <row r="5" spans="1:16" ht="16.5" x14ac:dyDescent="0.3">
      <c r="A5" s="59">
        <v>43528</v>
      </c>
      <c r="B5" s="74">
        <f t="shared" ca="1" si="0"/>
        <v>0</v>
      </c>
      <c r="C5" s="67">
        <f ca="1">GetFileList("P:\TP et Raccodement\FICHES CREES RACCORDEMENT\1 - RACCOS A SAISIR DANS AX\04-03-2019\*LM RACCO*.pdf")</f>
        <v>0</v>
      </c>
      <c r="D5" s="67">
        <f ca="1">GetFileList("P:\TP et Raccodement\FICHES CREES RACCORDEMENT\1 - RACCOS A SAISIR DANS AX\04-03-2019\*LR RACCO*.pdf")</f>
        <v>0</v>
      </c>
      <c r="E5" s="68">
        <f ca="1">GetFileList("P:\TP et Raccodement\FICHES CREES RACCORDEMENT\1 - RACCOS A SAISIR DANS AX\04-03-2019\*CL RACCO*.pdf")</f>
        <v>0</v>
      </c>
      <c r="F5" s="75">
        <f t="shared" ca="1" si="2"/>
        <v>0</v>
      </c>
      <c r="G5" s="67">
        <f ca="1">GetFileList("P:\TP et Raccodement\FICHES CREES RACCORDEMENT\2 - SAV + COMPL + PASSAGE W XV A SAISIR DANS AX\04-03-2019\*LM PASS*.pdf")</f>
        <v>0</v>
      </c>
      <c r="H5" s="67">
        <f ca="1">GetFileList("P:\TP et Raccodement\FICHES CREES RACCORDEMENT\2 - SAV + COMPL + PASSAGE W XV A SAISIR DANS AX\04-03-2019\*LR PASS*.pdf")</f>
        <v>0</v>
      </c>
      <c r="I5" s="68">
        <f ca="1">GetFileList("P:\TP et Raccodement\FICHES CREES RACCORDEMENT\2 - SAV + COMPL + PASSAGE W XV A SAISIR DANS AX\04-03-2019\*CL PASS*.pdf")</f>
        <v>0</v>
      </c>
      <c r="J5" s="76">
        <f ca="1">GetFileList("P:\TP et Raccodement\FICHES CREES RACCORDEMENT\2 - SAV + COMPL + PASSAGE W XV A SAISIR DANS AX\04-03-2019\*SAV*.pdf")</f>
        <v>0</v>
      </c>
      <c r="K5" s="77">
        <f ca="1">GetFileList("P:\TP et Raccodement\FICHES CREES RACCORDEMENT\2 - SAV + COMPL + PASSAGE W XV A SAISIR DANS AX\04-03-2019\*COMPLEMENT*.pdf")</f>
        <v>0</v>
      </c>
      <c r="L5" s="77">
        <f ca="1">GetFileList("P:\TP et Raccodement\FICHES CREES RACCORDEMENT\2 - SAV + COMPL + PASSAGE W XV A SAISIR DANS AX\04-03-2019\*REPRISE*.pdf")</f>
        <v>0</v>
      </c>
      <c r="M5" s="78">
        <f ca="1">GetFileList("P:\TP et Raccodement\FICHES CREES RACCORDEMENT\2 - SAV + COMPL + PASSAGE W XV A SAISIR DANS AX\04-03-2019\*REMONTAGE*.pdf")</f>
        <v>0</v>
      </c>
      <c r="N5" s="61"/>
      <c r="O5" s="73">
        <f t="shared" ca="1" si="1"/>
        <v>0</v>
      </c>
    </row>
    <row r="6" spans="1:16" ht="16.5" x14ac:dyDescent="0.3">
      <c r="A6" s="59">
        <v>43529</v>
      </c>
      <c r="B6" s="74">
        <f t="shared" ca="1" si="0"/>
        <v>0</v>
      </c>
      <c r="C6" s="67">
        <f ca="1">GetFileList("P:\TP et Raccodement\FICHES CREES RACCORDEMENT\1 - RACCOS A SAISIR DANS AX\05-03-2019\*LM RACCO*.pdf")</f>
        <v>0</v>
      </c>
      <c r="D6" s="67">
        <f ca="1">GetFileList("P:\TP et Raccodement\FICHES CREES RACCORDEMENT\1 - RACCOS A SAISIR DANS AX\05-03-2019\*LR RACCO*.pdf")</f>
        <v>0</v>
      </c>
      <c r="E6" s="68">
        <f ca="1">GetFileList("P:\TP et Raccodement\FICHES CREES RACCORDEMENT\1 - RACCOS A SAISIR DANS AX\05-03-2019\*CL RACCO*.pdf")</f>
        <v>0</v>
      </c>
      <c r="F6" s="75">
        <f t="shared" ca="1" si="2"/>
        <v>0</v>
      </c>
      <c r="G6" s="67">
        <f ca="1">GetFileList("P:\TP et Raccodement\FICHES CREES RACCORDEMENT\2 - SAV + COMPL + PASSAGE W XV A SAISIR DANS AX\05-03-2019\*LM PASS*.pdf")</f>
        <v>0</v>
      </c>
      <c r="H6" s="67">
        <f ca="1">GetFileList("P:\TP et Raccodement\FICHES CREES RACCORDEMENT\2 - SAV + COMPL + PASSAGE W XV A SAISIR DANS AX\05-03-2019\*LR PASS*.pdf")</f>
        <v>0</v>
      </c>
      <c r="I6" s="68">
        <f ca="1">GetFileList("P:\TP et Raccodement\FICHES CREES RACCORDEMENT\2 - SAV + COMPL + PASSAGE W XV A SAISIR DANS AX\05-03-2019\*CL PASS*.pdf")</f>
        <v>0</v>
      </c>
      <c r="J6" s="76">
        <f ca="1">GetFileList("P:\TP et Raccodement\FICHES CREES RACCORDEMENT\2 - SAV + COMPL + PASSAGE W XV A SAISIR DANS AX\05-03-2019\*SAV*.pdf")</f>
        <v>0</v>
      </c>
      <c r="K6" s="77">
        <f ca="1">GetFileList("P:\TP et Raccodement\FICHES CREES RACCORDEMENT\2 - SAV + COMPL + PASSAGE W XV A SAISIR DANS AX\05-03-2019\*COMPLEMENT*.pdf")</f>
        <v>0</v>
      </c>
      <c r="L6" s="77">
        <f ca="1">GetFileList("P:\TP et Raccodement\FICHES CREES RACCORDEMENT\2 - SAV + COMPL + PASSAGE W XV A SAISIR DANS AX\05-03-2019\*REPRISE*.pdf")</f>
        <v>0</v>
      </c>
      <c r="M6" s="78">
        <f ca="1">GetFileList("P:\TP et Raccodement\FICHES CREES RACCORDEMENT\2 - SAV + COMPL + PASSAGE W XV A SAISIR DANS AX\05-03-2019\*REMONTAGE*.pdf")</f>
        <v>0</v>
      </c>
      <c r="N6" s="61"/>
      <c r="O6" s="73">
        <f t="shared" ca="1" si="1"/>
        <v>0</v>
      </c>
    </row>
    <row r="7" spans="1:16" ht="16.5" x14ac:dyDescent="0.3">
      <c r="A7" s="59">
        <v>43530</v>
      </c>
      <c r="B7" s="74">
        <f t="shared" ca="1" si="0"/>
        <v>0</v>
      </c>
      <c r="C7" s="67">
        <f ca="1">GetFileList("P:\TP et Raccodement\FICHES CREES RACCORDEMENT\1 - RACCOS A SAISIR DANS AX\06-03-2019\*LM RACCO*.pdf")</f>
        <v>0</v>
      </c>
      <c r="D7" s="67">
        <f ca="1">GetFileList("P:\TP et Raccodement\FICHES CREES RACCORDEMENT\1 - RACCOS A SAISIR DANS AX\06-03-2019\*LR RACCO*.pdf")</f>
        <v>0</v>
      </c>
      <c r="E7" s="68">
        <f ca="1">GetFileList("P:\TP et Raccodement\FICHES CREES RACCORDEMENT\1 - RACCOS A SAISIR DANS AX\06-03-2019\*CL RACCO*.pdf")</f>
        <v>0</v>
      </c>
      <c r="F7" s="75">
        <f t="shared" ca="1" si="2"/>
        <v>0</v>
      </c>
      <c r="G7" s="67">
        <f ca="1">GetFileList("P:\TP et Raccodement\FICHES CREES RACCORDEMENT\2 - SAV + COMPL + PASSAGE W XV A SAISIR DANS AX\06-03-2019\*LM PASS*.pdf")</f>
        <v>0</v>
      </c>
      <c r="H7" s="67">
        <f ca="1">GetFileList("P:\TP et Raccodement\FICHES CREES RACCORDEMENT\2 - SAV + COMPL + PASSAGE W XV A SAISIR DANS AX\06-03-2019\*LR PASS*.pdf")</f>
        <v>0</v>
      </c>
      <c r="I7" s="68">
        <f ca="1">GetFileList("P:\TP et Raccodement\FICHES CREES RACCORDEMENT\2 - SAV + COMPL + PASSAGE W XV A SAISIR DANS AX\06-03-2019\*CL PASS*.pdf")</f>
        <v>0</v>
      </c>
      <c r="J7" s="76">
        <f ca="1">GetFileList("P:\TP et Raccodement\FICHES CREES RACCORDEMENT\2 - SAV + COMPL + PASSAGE W XV A SAISIR DANS AX\06-03-2019\*SAV*.pdf")</f>
        <v>0</v>
      </c>
      <c r="K7" s="77">
        <f ca="1">GetFileList("P:\TP et Raccodement\FICHES CREES RACCORDEMENT\2 - SAV + COMPL + PASSAGE W XV A SAISIR DANS AX\06-03-2019\*COMPLEMENT*.pdf")</f>
        <v>0</v>
      </c>
      <c r="L7" s="77">
        <f ca="1">GetFileList("P:\TP et Raccodement\FICHES CREES RACCORDEMENT\2 - SAV + COMPL + PASSAGE W XV A SAISIR DANS AX\06-03-2019\*REPRISE*.pdf")</f>
        <v>0</v>
      </c>
      <c r="M7" s="78">
        <f ca="1">GetFileList("P:\TP et Raccodement\FICHES CREES RACCORDEMENT\2 - SAV + COMPL + PASSAGE W XV A SAISIR DANS AX\06-03-2019\*REMONTAGE*.pdf")</f>
        <v>0</v>
      </c>
      <c r="N7" s="61"/>
      <c r="O7" s="73">
        <f t="shared" ca="1" si="1"/>
        <v>0</v>
      </c>
    </row>
    <row r="8" spans="1:16" ht="16.5" x14ac:dyDescent="0.3">
      <c r="A8" s="59">
        <v>43531</v>
      </c>
      <c r="B8" s="74">
        <f t="shared" ca="1" si="0"/>
        <v>0</v>
      </c>
      <c r="C8" s="67">
        <f ca="1">GetFileList("P:\TP et Raccodement\FICHES CREES RACCORDEMENT\1 - RACCOS A SAISIR DANS AX\07-03-2019\*LM RACCO*.pdf")</f>
        <v>0</v>
      </c>
      <c r="D8" s="67">
        <f ca="1">GetFileList("P:\TP et Raccodement\FICHES CREES RACCORDEMENT\1 - RACCOS A SAISIR DANS AX\07-03-2019\*LR RACCO*.pdf")</f>
        <v>0</v>
      </c>
      <c r="E8" s="68">
        <f ca="1">GetFileList("P:\TP et Raccodement\FICHES CREES RACCORDEMENT\1 - RACCOS A SAISIR DANS AX\07-03-2019\*CL RACCO*.pdf")</f>
        <v>0</v>
      </c>
      <c r="F8" s="75">
        <f t="shared" ca="1" si="2"/>
        <v>0</v>
      </c>
      <c r="G8" s="67">
        <f ca="1">GetFileList("P:\TP et Raccodement\FICHES CREES RACCORDEMENT\2 - SAV + COMPL + PASSAGE W XV A SAISIR DANS AX\07-03-2019\*LM PASS*.pdf")</f>
        <v>0</v>
      </c>
      <c r="H8" s="67">
        <f ca="1">GetFileList("P:\TP et Raccodement\FICHES CREES RACCORDEMENT\2 - SAV + COMPL + PASSAGE W XV A SAISIR DANS AX\07-03-2019\*LR PASS*.pdf")</f>
        <v>0</v>
      </c>
      <c r="I8" s="68">
        <f ca="1">GetFileList("P:\TP et Raccodement\FICHES CREES RACCORDEMENT\2 - SAV + COMPL + PASSAGE W XV A SAISIR DANS AX\07-03-2019\*CL PASS*.pdf")</f>
        <v>0</v>
      </c>
      <c r="J8" s="76">
        <f ca="1">GetFileList("P:\TP et Raccodement\FICHES CREES RACCORDEMENT\2 - SAV + COMPL + PASSAGE W XV A SAISIR DANS AX\07-03-2019\*SAV*.pdf")</f>
        <v>0</v>
      </c>
      <c r="K8" s="77">
        <f ca="1">GetFileList("P:\TP et Raccodement\FICHES CREES RACCORDEMENT\2 - SAV + COMPL + PASSAGE W XV A SAISIR DANS AX\07-03-2019\*COMPLEMENT*.pdf")</f>
        <v>0</v>
      </c>
      <c r="L8" s="77">
        <f ca="1">GetFileList("P:\TP et Raccodement\FICHES CREES RACCORDEMENT\2 - SAV + COMPL + PASSAGE W XV A SAISIR DANS AX\07-03-2019\*REPRISE*.pdf")</f>
        <v>0</v>
      </c>
      <c r="M8" s="78">
        <f ca="1">GetFileList("P:\TP et Raccodement\FICHES CREES RACCORDEMENT\2 - SAV + COMPL + PASSAGE W XV A SAISIR DANS AX\07-03-2019\*REMONTAGE*.pdf")</f>
        <v>0</v>
      </c>
      <c r="N8" s="61"/>
      <c r="O8" s="73">
        <f t="shared" ca="1" si="1"/>
        <v>0</v>
      </c>
    </row>
    <row r="9" spans="1:16" ht="16.5" x14ac:dyDescent="0.3">
      <c r="A9" s="59">
        <v>43532</v>
      </c>
      <c r="B9" s="74">
        <f t="shared" ca="1" si="0"/>
        <v>0</v>
      </c>
      <c r="C9" s="67">
        <f ca="1">GetFileList("P:\TP et Raccodement\FICHES CREES RACCORDEMENT\1 - RACCOS A SAISIR DANS AX\08-03-2019\*LM RACCO*.pdf")</f>
        <v>0</v>
      </c>
      <c r="D9" s="67">
        <f ca="1">GetFileList("P:\TP et Raccodement\FICHES CREES RACCORDEMENT\1 - RACCOS A SAISIR DANS AX\08-03-2019\*LR RACCO*.pdf")</f>
        <v>0</v>
      </c>
      <c r="E9" s="68">
        <f ca="1">GetFileList("P:\TP et Raccodement\FICHES CREES RACCORDEMENT\1 - RACCOS A SAISIR DANS AX\08-03-2019\*CL RACCO*.pdf")</f>
        <v>0</v>
      </c>
      <c r="F9" s="75">
        <f t="shared" ca="1" si="2"/>
        <v>0</v>
      </c>
      <c r="G9" s="67">
        <f ca="1">GetFileList("P:\TP et Raccodement\FICHES CREES RACCORDEMENT\2 - SAV + COMPL + PASSAGE W XV A SAISIR DANS AX\08-03-2019\*LM PASS*.pdf")</f>
        <v>0</v>
      </c>
      <c r="H9" s="67">
        <f ca="1">GetFileList("P:\TP et Raccodement\FICHES CREES RACCORDEMENT\2 - SAV + COMPL + PASSAGE W XV A SAISIR DANS AX\08-03-2019\*LR PASS*.pdf")</f>
        <v>0</v>
      </c>
      <c r="I9" s="68">
        <f ca="1">GetFileList("P:\TP et Raccodement\FICHES CREES RACCORDEMENT\2 - SAV + COMPL + PASSAGE W XV A SAISIR DANS AX\08-03-2019\*CL PASS*.pdf")</f>
        <v>0</v>
      </c>
      <c r="J9" s="76">
        <f ca="1">GetFileList("P:\TP et Raccodement\FICHES CREES RACCORDEMENT\2 - SAV + COMPL + PASSAGE W XV A SAISIR DANS AX\08-03-2019\*SAV*.pdf")</f>
        <v>0</v>
      </c>
      <c r="K9" s="77">
        <f ca="1">GetFileList("P:\TP et Raccodement\FICHES CREES RACCORDEMENT\2 - SAV + COMPL + PASSAGE W XV A SAISIR DANS AX\08-03-2019\*COMPLEMENT*.pdf")</f>
        <v>0</v>
      </c>
      <c r="L9" s="77">
        <f ca="1">GetFileList("P:\TP et Raccodement\FICHES CREES RACCORDEMENT\2 - SAV + COMPL + PASSAGE W XV A SAISIR DANS AX\08-03-2019\*REPRISE*.pdf")</f>
        <v>0</v>
      </c>
      <c r="M9" s="78">
        <f ca="1">GetFileList("P:\TP et Raccodement\FICHES CREES RACCORDEMENT\2 - SAV + COMPL + PASSAGE W XV A SAISIR DANS AX\08-03-2019\*REMONTAGE*.pdf")</f>
        <v>0</v>
      </c>
      <c r="N9" s="61"/>
      <c r="O9" s="73">
        <f t="shared" ca="1" si="1"/>
        <v>0</v>
      </c>
    </row>
    <row r="10" spans="1:16" ht="16.5" x14ac:dyDescent="0.3">
      <c r="A10" s="59">
        <v>43533</v>
      </c>
      <c r="B10" s="74">
        <f t="shared" ca="1" si="0"/>
        <v>0</v>
      </c>
      <c r="C10" s="67">
        <f ca="1">GetFileList("P:\TP et Raccodement\FICHES CREES RACCORDEMENT\1 - RACCOS A SAISIR DANS AX\09-03-2019\*LM RACCO*.pdf")</f>
        <v>0</v>
      </c>
      <c r="D10" s="67">
        <f ca="1">GetFileList("P:\TP et Raccodement\FICHES CREES RACCORDEMENT\1 - RACCOS A SAISIR DANS AX\09-03-2019\*LR RACCO*.pdf")</f>
        <v>0</v>
      </c>
      <c r="E10" s="68">
        <f ca="1">GetFileList("P:\TP et Raccodement\FICHES CREES RACCORDEMENT\1 - RACCOS A SAISIR DANS AX\09-03-2019\*CL RACCO*.pdf")</f>
        <v>0</v>
      </c>
      <c r="F10" s="75">
        <f t="shared" ca="1" si="2"/>
        <v>0</v>
      </c>
      <c r="G10" s="67">
        <f ca="1">GetFileList("P:\TP et Raccodement\FICHES CREES RACCORDEMENT\2 - SAV + COMPL + PASSAGE W XV A SAISIR DANS AX\09-03-2019\*LM PASS*.pdf")</f>
        <v>0</v>
      </c>
      <c r="H10" s="67">
        <f ca="1">GetFileList("P:\TP et Raccodement\FICHES CREES RACCORDEMENT\2 - SAV + COMPL + PASSAGE W XV A SAISIR DANS AX\09-03-2019\*LR PASS*.pdf")</f>
        <v>0</v>
      </c>
      <c r="I10" s="68">
        <f ca="1">GetFileList("P:\TP et Raccodement\FICHES CREES RACCORDEMENT\2 - SAV + COMPL + PASSAGE W XV A SAISIR DANS AX\09-03-2019\*CL PASS*.pdf")</f>
        <v>0</v>
      </c>
      <c r="J10" s="76">
        <f ca="1">GetFileList("P:\TP et Raccodement\FICHES CREES RACCORDEMENT\2 - SAV + COMPL + PASSAGE W XV A SAISIR DANS AX\09-03-2019\*SAV*.pdf")</f>
        <v>0</v>
      </c>
      <c r="K10" s="77">
        <f ca="1">GetFileList("P:\TP et Raccodement\FICHES CREES RACCORDEMENT\2 - SAV + COMPL + PASSAGE W XV A SAISIR DANS AX\09-03-2019\*COMPLEMENT*.pdf")</f>
        <v>0</v>
      </c>
      <c r="L10" s="77">
        <f ca="1">GetFileList("P:\TP et Raccodement\FICHES CREES RACCORDEMENT\2 - SAV + COMPL + PASSAGE W XV A SAISIR DANS AX\09-03-2019\*REPRISE*.pdf")</f>
        <v>0</v>
      </c>
      <c r="M10" s="78">
        <f ca="1">GetFileList("P:\TP et Raccodement\FICHES CREES RACCORDEMENT\2 - SAV + COMPL + PASSAGE W XV A SAISIR DANS AX\09-03-2019\*REMONTAGE*.pdf")</f>
        <v>0</v>
      </c>
      <c r="N10" s="61"/>
      <c r="O10" s="73">
        <f t="shared" ca="1" si="1"/>
        <v>0</v>
      </c>
    </row>
    <row r="11" spans="1:16" ht="16.5" x14ac:dyDescent="0.3">
      <c r="A11" s="88">
        <v>43534</v>
      </c>
      <c r="B11" s="89">
        <f t="shared" ca="1" si="0"/>
        <v>0</v>
      </c>
      <c r="C11" s="90">
        <f ca="1">GetFileList("P:\TP et Raccodement\FICHES CREES RACCORDEMENT\1 - RACCOS A SAISIR DANS AX\10-03-2019\*LM RACCO*.pdf")</f>
        <v>0</v>
      </c>
      <c r="D11" s="90">
        <f ca="1">GetFileList("P:\TP et Raccodement\FICHES CREES RACCORDEMENT\1 - RACCOS A SAISIR DANS AX\10-03-2019\*LR RACCO*.pdf")</f>
        <v>0</v>
      </c>
      <c r="E11" s="91">
        <f ca="1">GetFileList("P:\TP et Raccodement\FICHES CREES RACCORDEMENT\1 - RACCOS A SAISIR DANS AX\10-03-2019\*CL RACCO*.pdf")</f>
        <v>0</v>
      </c>
      <c r="F11" s="92">
        <f t="shared" ca="1" si="2"/>
        <v>0</v>
      </c>
      <c r="G11" s="90">
        <f ca="1">GetFileList("P:\TP et Raccodement\FICHES CREES RACCORDEMENT\2 - SAV + COMPL + PASSAGE W XV A SAISIR DANS AX\10-03-2019\*LM PASS*.pdf")</f>
        <v>0</v>
      </c>
      <c r="H11" s="90">
        <f ca="1">GetFileList("P:\TP et Raccodement\FICHES CREES RACCORDEMENT\2 - SAV + COMPL + PASSAGE W XV A SAISIR DANS AX\10-03-2019\*LR PASS*.pdf")</f>
        <v>0</v>
      </c>
      <c r="I11" s="91">
        <f ca="1">GetFileList("P:\TP et Raccodement\FICHES CREES RACCORDEMENT\2 - SAV + COMPL + PASSAGE W XV A SAISIR DANS AX\10-03-2019\*CL PASS*.pdf")</f>
        <v>0</v>
      </c>
      <c r="J11" s="93">
        <f ca="1">GetFileList("P:\TP et Raccodement\FICHES CREES RACCORDEMENT\2 - SAV + COMPL + PASSAGE W XV A SAISIR DANS AX\10-03-2019\*SAV*.pdf")</f>
        <v>0</v>
      </c>
      <c r="K11" s="94">
        <f ca="1">GetFileList("P:\TP et Raccodement\FICHES CREES RACCORDEMENT\2 - SAV + COMPL + PASSAGE W XV A SAISIR DANS AX\10-03-2019\*COMPLEMENT*.pdf")</f>
        <v>0</v>
      </c>
      <c r="L11" s="94">
        <f ca="1">GetFileList("P:\TP et Raccodement\FICHES CREES RACCORDEMENT\2 - SAV + COMPL + PASSAGE W XV A SAISIR DANS AX\10-03-2019\*REPRISE*.pdf")</f>
        <v>0</v>
      </c>
      <c r="M11" s="95">
        <f ca="1">GetFileList("P:\TP et Raccodement\FICHES CREES RACCORDEMENT\2 - SAV + COMPL + PASSAGE W XV A SAISIR DANS AX\10-03-2019\*REMONTAGE*.pdf")</f>
        <v>0</v>
      </c>
      <c r="N11" s="61"/>
      <c r="O11" s="73">
        <f t="shared" ca="1" si="1"/>
        <v>0</v>
      </c>
    </row>
    <row r="12" spans="1:16" ht="16.5" x14ac:dyDescent="0.3">
      <c r="A12" s="59">
        <v>43535</v>
      </c>
      <c r="B12" s="74">
        <f t="shared" ca="1" si="0"/>
        <v>0</v>
      </c>
      <c r="C12" s="67">
        <f ca="1">GetFileList("P:\TP et Raccodement\FICHES CREES RACCORDEMENT\1 - RACCOS A SAISIR DANS AX\11-03-2019\*LM RACCO*.pdf")</f>
        <v>0</v>
      </c>
      <c r="D12" s="67">
        <f ca="1">GetFileList("P:\TP et Raccodement\FICHES CREES RACCORDEMENT\1 - RACCOS A SAISIR DANS AX\11-03-2019\*LR RACCO*.pdf")</f>
        <v>0</v>
      </c>
      <c r="E12" s="68">
        <f ca="1">GetFileList("P:\TP et Raccodement\FICHES CREES RACCORDEMENT\1 - RACCOS A SAISIR DANS AX\11-03-2019\*CL RACCO*.pdf")</f>
        <v>0</v>
      </c>
      <c r="F12" s="75">
        <f t="shared" ca="1" si="2"/>
        <v>0</v>
      </c>
      <c r="G12" s="67">
        <f ca="1">GetFileList("P:\TP et Raccodement\FICHES CREES RACCORDEMENT\2 - SAV + COMPL + PASSAGE W XV A SAISIR DANS AX\11-03-2019\*LM PASS*.pdf")</f>
        <v>0</v>
      </c>
      <c r="H12" s="67">
        <f ca="1">GetFileList("P:\TP et Raccodement\FICHES CREES RACCORDEMENT\2 - SAV + COMPL + PASSAGE W XV A SAISIR DANS AX\11-03-2019\*LR PASS*.pdf")</f>
        <v>0</v>
      </c>
      <c r="I12" s="68">
        <f ca="1">GetFileList("P:\TP et Raccodement\FICHES CREES RACCORDEMENT\2 - SAV + COMPL + PASSAGE W XV A SAISIR DANS AX\11-03-2019\*CL PASS*.pdf")</f>
        <v>0</v>
      </c>
      <c r="J12" s="76">
        <f ca="1">GetFileList("P:\TP et Raccodement\FICHES CREES RACCORDEMENT\2 - SAV + COMPL + PASSAGE W XV A SAISIR DANS AX\11-03-2019\*SAV*.pdf")</f>
        <v>0</v>
      </c>
      <c r="K12" s="77">
        <f ca="1">GetFileList("P:\TP et Raccodement\FICHES CREES RACCORDEMENT\2 - SAV + COMPL + PASSAGE W XV A SAISIR DANS AX\11-03-2019\*COMPLEMENT*.pdf")</f>
        <v>0</v>
      </c>
      <c r="L12" s="77">
        <f ca="1">GetFileList("P:\TP et Raccodement\FICHES CREES RACCORDEMENT\2 - SAV + COMPL + PASSAGE W XV A SAISIR DANS AX\11-03-2019\*REPRISE*.pdf")</f>
        <v>0</v>
      </c>
      <c r="M12" s="78">
        <f ca="1">GetFileList("P:\TP et Raccodement\FICHES CREES RACCORDEMENT\2 - SAV + COMPL + PASSAGE W XV A SAISIR DANS AX\11-03-2019\*REMONTAGE*.pdf")</f>
        <v>0</v>
      </c>
      <c r="N12" s="61"/>
      <c r="O12" s="73">
        <f t="shared" ca="1" si="1"/>
        <v>0</v>
      </c>
    </row>
    <row r="13" spans="1:16" ht="16.5" x14ac:dyDescent="0.3">
      <c r="A13" s="59">
        <v>43536</v>
      </c>
      <c r="B13" s="74">
        <f t="shared" ca="1" si="0"/>
        <v>0</v>
      </c>
      <c r="C13" s="67">
        <f ca="1">GetFileList("P:\TP et Raccodement\FICHES CREES RACCORDEMENT\1 - RACCOS A SAISIR DANS AX\12-03-2019\*LM RACCO*.pdf")</f>
        <v>0</v>
      </c>
      <c r="D13" s="67">
        <f ca="1">GetFileList("P:\TP et Raccodement\FICHES CREES RACCORDEMENT\1 - RACCOS A SAISIR DANS AX\12-03-2019\*LR RACCO*.pdf")</f>
        <v>0</v>
      </c>
      <c r="E13" s="68">
        <f ca="1">GetFileList("P:\TP et Raccodement\FICHES CREES RACCORDEMENT\1 - RACCOS A SAISIR DANS AX\12-03-2019\*CL RACCO*.pdf")</f>
        <v>0</v>
      </c>
      <c r="F13" s="75">
        <f t="shared" ca="1" si="2"/>
        <v>0</v>
      </c>
      <c r="G13" s="67">
        <f ca="1">GetFileList("P:\TP et Raccodement\FICHES CREES RACCORDEMENT\2 - SAV + COMPL + PASSAGE W XV A SAISIR DANS AX\12-03-2019\*LM PASS*.pdf")</f>
        <v>0</v>
      </c>
      <c r="H13" s="67">
        <f ca="1">GetFileList("P:\TP et Raccodement\FICHES CREES RACCORDEMENT\2 - SAV + COMPL + PASSAGE W XV A SAISIR DANS AX\12-03-2019\*LR PASS*.pdf")</f>
        <v>0</v>
      </c>
      <c r="I13" s="68">
        <f ca="1">GetFileList("P:\TP et Raccodement\FICHES CREES RACCORDEMENT\2 - SAV + COMPL + PASSAGE W XV A SAISIR DANS AX\12-03-2019\*CL PASS*.pdf")</f>
        <v>0</v>
      </c>
      <c r="J13" s="76">
        <f ca="1">GetFileList("P:\TP et Raccodement\FICHES CREES RACCORDEMENT\2 - SAV + COMPL + PASSAGE W XV A SAISIR DANS AX\12-03-2019\*SAV*.pdf")</f>
        <v>0</v>
      </c>
      <c r="K13" s="77">
        <f ca="1">GetFileList("P:\TP et Raccodement\FICHES CREES RACCORDEMENT\2 - SAV + COMPL + PASSAGE W XV A SAISIR DANS AX\12-03-2019\*COMPLEMENT*.pdf")</f>
        <v>0</v>
      </c>
      <c r="L13" s="77">
        <f ca="1">GetFileList("P:\TP et Raccodement\FICHES CREES RACCORDEMENT\2 - SAV + COMPL + PASSAGE W XV A SAISIR DANS AX\12-03-2019\*REPRISE*.pdf")</f>
        <v>0</v>
      </c>
      <c r="M13" s="78">
        <f ca="1">GetFileList("P:\TP et Raccodement\FICHES CREES RACCORDEMENT\2 - SAV + COMPL + PASSAGE W XV A SAISIR DANS AX\12-03-2019\*REMONTAGE*.pdf")</f>
        <v>0</v>
      </c>
      <c r="N13" s="61"/>
      <c r="O13" s="73">
        <f t="shared" ca="1" si="1"/>
        <v>0</v>
      </c>
    </row>
    <row r="14" spans="1:16" ht="16.5" x14ac:dyDescent="0.3">
      <c r="A14" s="59">
        <v>43537</v>
      </c>
      <c r="B14" s="74">
        <f t="shared" ca="1" si="0"/>
        <v>0</v>
      </c>
      <c r="C14" s="67">
        <f ca="1">GetFileList("P:\TP et Raccodement\FICHES CREES RACCORDEMENT\1 - RACCOS A SAISIR DANS AX\13-03-2019\*LM RACCO*.pdf")</f>
        <v>0</v>
      </c>
      <c r="D14" s="67">
        <f ca="1">GetFileList("P:\TP et Raccodement\FICHES CREES RACCORDEMENT\1 - RACCOS A SAISIR DANS AX\13-03-2019\*LR RACCO*.pdf")</f>
        <v>0</v>
      </c>
      <c r="E14" s="68">
        <f ca="1">GetFileList("P:\TP et Raccodement\FICHES CREES RACCORDEMENT\1 - RACCOS A SAISIR DANS AX\13-03-2019\*CL RACCO*.pdf")</f>
        <v>0</v>
      </c>
      <c r="F14" s="75">
        <f t="shared" ca="1" si="2"/>
        <v>0</v>
      </c>
      <c r="G14" s="67">
        <f ca="1">GetFileList("P:\TP et Raccodement\FICHES CREES RACCORDEMENT\2 - SAV + COMPL + PASSAGE W XV A SAISIR DANS AX\13-03-2019\*LM PASS*.pdf")</f>
        <v>0</v>
      </c>
      <c r="H14" s="67">
        <f ca="1">GetFileList("P:\TP et Raccodement\FICHES CREES RACCORDEMENT\2 - SAV + COMPL + PASSAGE W XV A SAISIR DANS AX\13-03-2019\*LR PASS*.pdf")</f>
        <v>0</v>
      </c>
      <c r="I14" s="68">
        <f ca="1">GetFileList("P:\TP et Raccodement\FICHES CREES RACCORDEMENT\2 - SAV + COMPL + PASSAGE W XV A SAISIR DANS AX\13-03-2019\*CL PASS*.pdf")</f>
        <v>0</v>
      </c>
      <c r="J14" s="76">
        <f ca="1">GetFileList("P:\TP et Raccodement\FICHES CREES RACCORDEMENT\2 - SAV + COMPL + PASSAGE W XV A SAISIR DANS AX\13-03-2019\*SAV*.pdf")</f>
        <v>0</v>
      </c>
      <c r="K14" s="77">
        <f ca="1">GetFileList("P:\TP et Raccodement\FICHES CREES RACCORDEMENT\2 - SAV + COMPL + PASSAGE W XV A SAISIR DANS AX\13-03-2019\*COMPLEMENT*.pdf")</f>
        <v>0</v>
      </c>
      <c r="L14" s="77">
        <f ca="1">GetFileList("P:\TP et Raccodement\FICHES CREES RACCORDEMENT\2 - SAV + COMPL + PASSAGE W XV A SAISIR DANS AX\13-03-2019\*REPRISE*.pdf")</f>
        <v>0</v>
      </c>
      <c r="M14" s="78">
        <f ca="1">GetFileList("P:\TP et Raccodement\FICHES CREES RACCORDEMENT\2 - SAV + COMPL + PASSAGE W XV A SAISIR DANS AX\13-03-2019\*REMONTAGE*.pdf")</f>
        <v>0</v>
      </c>
      <c r="N14" s="61"/>
      <c r="O14" s="73">
        <f t="shared" ca="1" si="1"/>
        <v>0</v>
      </c>
    </row>
    <row r="15" spans="1:16" ht="16.5" x14ac:dyDescent="0.3">
      <c r="A15" s="59">
        <v>43538</v>
      </c>
      <c r="B15" s="74">
        <f t="shared" ca="1" si="0"/>
        <v>0</v>
      </c>
      <c r="C15" s="67">
        <f ca="1">GetFileList("P:\TP et Raccodement\FICHES CREES RACCORDEMENT\1 - RACCOS A SAISIR DANS AX\14-03-2019\*LM RACCO*.pdf")</f>
        <v>0</v>
      </c>
      <c r="D15" s="67">
        <f ca="1">GetFileList("P:\TP et Raccodement\FICHES CREES RACCORDEMENT\1 - RACCOS A SAISIR DANS AX\14-03-2019\*LR RACCO*.pdf")</f>
        <v>0</v>
      </c>
      <c r="E15" s="68">
        <f ca="1">GetFileList("P:\TP et Raccodement\FICHES CREES RACCORDEMENT\1 - RACCOS A SAISIR DANS AX\14-03-2019\*CL RACCO*.pdf")</f>
        <v>0</v>
      </c>
      <c r="F15" s="75">
        <f t="shared" ca="1" si="2"/>
        <v>0</v>
      </c>
      <c r="G15" s="67">
        <f ca="1">GetFileList("P:\TP et Raccodement\FICHES CREES RACCORDEMENT\2 - SAV + COMPL + PASSAGE W XV A SAISIR DANS AX\14-03-2019\*LM PASS*.pdf")</f>
        <v>0</v>
      </c>
      <c r="H15" s="67">
        <f ca="1">GetFileList("P:\TP et Raccodement\FICHES CREES RACCORDEMENT\2 - SAV + COMPL + PASSAGE W XV A SAISIR DANS AX\14-03-2019\*LR PASS*.pdf")</f>
        <v>0</v>
      </c>
      <c r="I15" s="68">
        <f ca="1">GetFileList("P:\TP et Raccodement\FICHES CREES RACCORDEMENT\2 - SAV + COMPL + PASSAGE W XV A SAISIR DANS AX\14-03-2019\*CL PASS*.pdf")</f>
        <v>0</v>
      </c>
      <c r="J15" s="76">
        <f ca="1">GetFileList("P:\TP et Raccodement\FICHES CREES RACCORDEMENT\2 - SAV + COMPL + PASSAGE W XV A SAISIR DANS AX\14-03-2019\*SAV*.pdf")</f>
        <v>0</v>
      </c>
      <c r="K15" s="77">
        <f ca="1">GetFileList("P:\TP et Raccodement\FICHES CREES RACCORDEMENT\2 - SAV + COMPL + PASSAGE W XV A SAISIR DANS AX\14-03-2019\*COMPLEMENT*.pdf")</f>
        <v>0</v>
      </c>
      <c r="L15" s="77">
        <f ca="1">GetFileList("P:\TP et Raccodement\FICHES CREES RACCORDEMENT\2 - SAV + COMPL + PASSAGE W XV A SAISIR DANS AX\14-03-2019\*REPRISE*.pdf")</f>
        <v>0</v>
      </c>
      <c r="M15" s="78">
        <f ca="1">GetFileList("P:\TP et Raccodement\FICHES CREES RACCORDEMENT\2 - SAV + COMPL + PASSAGE W XV A SAISIR DANS AX\14-03-2019\*REMONTAGE*.pdf")</f>
        <v>0</v>
      </c>
      <c r="N15" s="61"/>
      <c r="O15" s="73">
        <f t="shared" ca="1" si="1"/>
        <v>0</v>
      </c>
    </row>
    <row r="16" spans="1:16" ht="16.5" x14ac:dyDescent="0.3">
      <c r="A16" s="59">
        <v>43539</v>
      </c>
      <c r="B16" s="74">
        <f t="shared" ca="1" si="0"/>
        <v>0</v>
      </c>
      <c r="C16" s="67">
        <f ca="1">GetFileList("P:\TP et Raccodement\FICHES CREES RACCORDEMENT\1 - RACCOS A SAISIR DANS AX\15-03-2019\*LM RACCO*.pdf")</f>
        <v>0</v>
      </c>
      <c r="D16" s="67">
        <f ca="1">GetFileList("P:\TP et Raccodement\FICHES CREES RACCORDEMENT\1 - RACCOS A SAISIR DANS AX\15-03-2019\*LR RACCO*.pdf")</f>
        <v>0</v>
      </c>
      <c r="E16" s="68">
        <f ca="1">GetFileList("P:\TP et Raccodement\FICHES CREES RACCORDEMENT\1 - RACCOS A SAISIR DANS AX\15-03-2019\*CL RACCO*.pdf")</f>
        <v>0</v>
      </c>
      <c r="F16" s="75">
        <f t="shared" ca="1" si="2"/>
        <v>0</v>
      </c>
      <c r="G16" s="67">
        <f ca="1">GetFileList("P:\TP et Raccodement\FICHES CREES RACCORDEMENT\2 - SAV + COMPL + PASSAGE W XV A SAISIR DANS AX\15-03-2019\*LM PASS*.pdf")</f>
        <v>0</v>
      </c>
      <c r="H16" s="67">
        <f ca="1">GetFileList("P:\TP et Raccodement\FICHES CREES RACCORDEMENT\2 - SAV + COMPL + PASSAGE W XV A SAISIR DANS AX\15-03-2019\*LR PASS*.pdf")</f>
        <v>0</v>
      </c>
      <c r="I16" s="68">
        <f ca="1">GetFileList("P:\TP et Raccodement\FICHES CREES RACCORDEMENT\2 - SAV + COMPL + PASSAGE W XV A SAISIR DANS AX\15-03-2019\*CL PASS*.pdf")</f>
        <v>0</v>
      </c>
      <c r="J16" s="76">
        <f ca="1">GetFileList("P:\TP et Raccodement\FICHES CREES RACCORDEMENT\2 - SAV + COMPL + PASSAGE W XV A SAISIR DANS AX\15-03-2019\*SAV*.pdf")</f>
        <v>0</v>
      </c>
      <c r="K16" s="77">
        <f ca="1">GetFileList("P:\TP et Raccodement\FICHES CREES RACCORDEMENT\2 - SAV + COMPL + PASSAGE W XV A SAISIR DANS AX\15-03-2019\*COMPLEMENT*.pdf")</f>
        <v>0</v>
      </c>
      <c r="L16" s="77">
        <f ca="1">GetFileList("P:\TP et Raccodement\FICHES CREES RACCORDEMENT\2 - SAV + COMPL + PASSAGE W XV A SAISIR DANS AX\15-03-2019\*REPRISE*.pdf")</f>
        <v>0</v>
      </c>
      <c r="M16" s="78">
        <f ca="1">GetFileList("P:\TP et Raccodement\FICHES CREES RACCORDEMENT\2 - SAV + COMPL + PASSAGE W XV A SAISIR DANS AX\15-03-2019\*REMONTAGE*.pdf")</f>
        <v>0</v>
      </c>
      <c r="N16" s="61"/>
      <c r="O16" s="73">
        <f t="shared" ca="1" si="1"/>
        <v>0</v>
      </c>
    </row>
    <row r="17" spans="1:15" ht="16.5" x14ac:dyDescent="0.3">
      <c r="A17" s="59">
        <v>43540</v>
      </c>
      <c r="B17" s="74">
        <f t="shared" ca="1" si="0"/>
        <v>0</v>
      </c>
      <c r="C17" s="67">
        <f ca="1">GetFileList("P:\TP et Raccodement\FICHES CREES RACCORDEMENT\1 - RACCOS A SAISIR DANS AX\16-03-2019\*LM RACCO*.pdf")</f>
        <v>0</v>
      </c>
      <c r="D17" s="67">
        <f ca="1">GetFileList("P:\TP et Raccodement\FICHES CREES RACCORDEMENT\1 - RACCOS A SAISIR DANS AX\16-03-2019\*LR RACCO*.pdf")</f>
        <v>0</v>
      </c>
      <c r="E17" s="68">
        <f ca="1">GetFileList("P:\TP et Raccodement\FICHES CREES RACCORDEMENT\1 - RACCOS A SAISIR DANS AX\16-03-2019\*CL RACCO*.pdf")</f>
        <v>0</v>
      </c>
      <c r="F17" s="75">
        <f t="shared" ca="1" si="2"/>
        <v>0</v>
      </c>
      <c r="G17" s="67">
        <f ca="1">GetFileList("P:\TP et Raccodement\FICHES CREES RACCORDEMENT\2 - SAV + COMPL + PASSAGE W XV A SAISIR DANS AX\16-03-2019\*LM PASS*.pdf")</f>
        <v>0</v>
      </c>
      <c r="H17" s="67">
        <f ca="1">GetFileList("P:\TP et Raccodement\FICHES CREES RACCORDEMENT\2 - SAV + COMPL + PASSAGE W XV A SAISIR DANS AX\16-03-2019\*LR PASS*.pdf")</f>
        <v>0</v>
      </c>
      <c r="I17" s="68">
        <f ca="1">GetFileList("P:\TP et Raccodement\FICHES CREES RACCORDEMENT\2 - SAV + COMPL + PASSAGE W XV A SAISIR DANS AX\16-03-2019\*CL PASS*.pdf")</f>
        <v>0</v>
      </c>
      <c r="J17" s="76">
        <f ca="1">GetFileList("P:\TP et Raccodement\FICHES CREES RACCORDEMENT\2 - SAV + COMPL + PASSAGE W XV A SAISIR DANS AX\16-03-2019\*SAV*.pdf")</f>
        <v>0</v>
      </c>
      <c r="K17" s="77">
        <f ca="1">GetFileList("P:\TP et Raccodement\FICHES CREES RACCORDEMENT\2 - SAV + COMPL + PASSAGE W XV A SAISIR DANS AX\16-03-2019\*COMPLEMENT*.pdf")</f>
        <v>0</v>
      </c>
      <c r="L17" s="77">
        <f ca="1">GetFileList("P:\TP et Raccodement\FICHES CREES RACCORDEMENT\2 - SAV + COMPL + PASSAGE W XV A SAISIR DANS AX\16-03-2019\*REPRISE*.pdf")</f>
        <v>0</v>
      </c>
      <c r="M17" s="78">
        <f ca="1">GetFileList("P:\TP et Raccodement\FICHES CREES RACCORDEMENT\2 - SAV + COMPL + PASSAGE W XV A SAISIR DANS AX\16-03-2019\*REMONTAGE*.pdf")</f>
        <v>0</v>
      </c>
      <c r="N17" s="61"/>
      <c r="O17" s="73">
        <f t="shared" ca="1" si="1"/>
        <v>0</v>
      </c>
    </row>
    <row r="18" spans="1:15" ht="16.5" x14ac:dyDescent="0.3">
      <c r="A18" s="88">
        <v>43541</v>
      </c>
      <c r="B18" s="89">
        <f t="shared" ca="1" si="0"/>
        <v>0</v>
      </c>
      <c r="C18" s="90">
        <f ca="1">GetFileList("P:\TP et Raccodement\FICHES CREES RACCORDEMENT\1 - RACCOS A SAISIR DANS AX\17-03-2019\*LM RACCO*.pdf")</f>
        <v>0</v>
      </c>
      <c r="D18" s="90">
        <f ca="1">GetFileList("P:\TP et Raccodement\FICHES CREES RACCORDEMENT\1 - RACCOS A SAISIR DANS AX\17-03-2019\*LR RACCO*.pdf")</f>
        <v>0</v>
      </c>
      <c r="E18" s="91">
        <f ca="1">GetFileList("P:\TP et Raccodement\FICHES CREES RACCORDEMENT\1 - RACCOS A SAISIR DANS AX\17-03-2019\*CL RACCO*.pdf")</f>
        <v>0</v>
      </c>
      <c r="F18" s="92">
        <f t="shared" ca="1" si="2"/>
        <v>0</v>
      </c>
      <c r="G18" s="90">
        <f ca="1">GetFileList("P:\TP et Raccodement\FICHES CREES RACCORDEMENT\2 - SAV + COMPL + PASSAGE W XV A SAISIR DANS AX\17-03-2019\*LM PASS*.pdf")</f>
        <v>0</v>
      </c>
      <c r="H18" s="90">
        <f ca="1">GetFileList("P:\TP et Raccodement\FICHES CREES RACCORDEMENT\2 - SAV + COMPL + PASSAGE W XV A SAISIR DANS AX\17-03-2019\*LR PASS*.pdf")</f>
        <v>0</v>
      </c>
      <c r="I18" s="91">
        <f ca="1">GetFileList("P:\TP et Raccodement\FICHES CREES RACCORDEMENT\2 - SAV + COMPL + PASSAGE W XV A SAISIR DANS AX\17-03-2019\*CL PASS*.pdf")</f>
        <v>0</v>
      </c>
      <c r="J18" s="93">
        <f ca="1">GetFileList("P:\TP et Raccodement\FICHES CREES RACCORDEMENT\2 - SAV + COMPL + PASSAGE W XV A SAISIR DANS AX\17-03-2019\*SAV*.pdf")</f>
        <v>0</v>
      </c>
      <c r="K18" s="94">
        <f ca="1">GetFileList("P:\TP et Raccodement\FICHES CREES RACCORDEMENT\2 - SAV + COMPL + PASSAGE W XV A SAISIR DANS AX\17-03-2019\*COMPLEMENT*.pdf")</f>
        <v>0</v>
      </c>
      <c r="L18" s="94">
        <f ca="1">GetFileList("P:\TP et Raccodement\FICHES CREES RACCORDEMENT\2 - SAV + COMPL + PASSAGE W XV A SAISIR DANS AX\17-03-2019\*REPRISE*.pdf")</f>
        <v>0</v>
      </c>
      <c r="M18" s="95">
        <f ca="1">GetFileList("P:\TP et Raccodement\FICHES CREES RACCORDEMENT\2 - SAV + COMPL + PASSAGE W XV A SAISIR DANS AX\17-03-2019\*REMONTAGE*.pdf")</f>
        <v>0</v>
      </c>
      <c r="N18" s="61"/>
      <c r="O18" s="73">
        <f t="shared" ca="1" si="1"/>
        <v>0</v>
      </c>
    </row>
    <row r="19" spans="1:15" ht="16.5" x14ac:dyDescent="0.3">
      <c r="A19" s="59">
        <v>43542</v>
      </c>
      <c r="B19" s="74">
        <f t="shared" ca="1" si="0"/>
        <v>0</v>
      </c>
      <c r="C19" s="67">
        <f ca="1">GetFileList("P:\TP et Raccodement\FICHES CREES RACCORDEMENT\1 - RACCOS A SAISIR DANS AX\18-03-2019\*LM RACCO*.pdf")</f>
        <v>0</v>
      </c>
      <c r="D19" s="67">
        <f ca="1">GetFileList("P:\TP et Raccodement\FICHES CREES RACCORDEMENT\1 - RACCOS A SAISIR DANS AX\18-03-2019\*LR RACCO*.pdf")</f>
        <v>0</v>
      </c>
      <c r="E19" s="68">
        <f ca="1">GetFileList("P:\TP et Raccodement\FICHES CREES RACCORDEMENT\1 - RACCOS A SAISIR DANS AX\18-03-2019\*CL RACCO*.pdf")</f>
        <v>0</v>
      </c>
      <c r="F19" s="75">
        <f t="shared" ca="1" si="2"/>
        <v>0</v>
      </c>
      <c r="G19" s="67">
        <f ca="1">GetFileList("P:\TP et Raccodement\FICHES CREES RACCORDEMENT\2 - SAV + COMPL + PASSAGE W XV A SAISIR DANS AX\18-03-2019\*LM PASS*.pdf")</f>
        <v>0</v>
      </c>
      <c r="H19" s="67">
        <f ca="1">GetFileList("P:\TP et Raccodement\FICHES CREES RACCORDEMENT\2 - SAV + COMPL + PASSAGE W XV A SAISIR DANS AX\18-03-2019\*LR PASS*.pdf")</f>
        <v>0</v>
      </c>
      <c r="I19" s="68">
        <f ca="1">GetFileList("P:\TP et Raccodement\FICHES CREES RACCORDEMENT\2 - SAV + COMPL + PASSAGE W XV A SAISIR DANS AX\18-03-2019\*CL PASS*.pdf")</f>
        <v>0</v>
      </c>
      <c r="J19" s="76">
        <f ca="1">GetFileList("P:\TP et Raccodement\FICHES CREES RACCORDEMENT\2 - SAV + COMPL + PASSAGE W XV A SAISIR DANS AX\18-03-2019\*SAV*.pdf")</f>
        <v>0</v>
      </c>
      <c r="K19" s="77">
        <f ca="1">GetFileList("P:\TP et Raccodement\FICHES CREES RACCORDEMENT\2 - SAV + COMPL + PASSAGE W XV A SAISIR DANS AX\18-03-2019\*COMPLEMENT*.pdf")</f>
        <v>0</v>
      </c>
      <c r="L19" s="77">
        <f ca="1">GetFileList("P:\TP et Raccodement\FICHES CREES RACCORDEMENT\2 - SAV + COMPL + PASSAGE W XV A SAISIR DANS AX\18-03-2019\*REPRISE*.pdf")</f>
        <v>0</v>
      </c>
      <c r="M19" s="78">
        <f ca="1">GetFileList("P:\TP et Raccodement\FICHES CREES RACCORDEMENT\2 - SAV + COMPL + PASSAGE W XV A SAISIR DANS AX\18-03-2019\*REMONTAGE*.pdf")</f>
        <v>0</v>
      </c>
      <c r="N19" s="61"/>
      <c r="O19" s="73">
        <f t="shared" ca="1" si="1"/>
        <v>0</v>
      </c>
    </row>
    <row r="20" spans="1:15" ht="16.5" x14ac:dyDescent="0.3">
      <c r="A20" s="59">
        <v>43543</v>
      </c>
      <c r="B20" s="74">
        <f t="shared" ca="1" si="0"/>
        <v>0</v>
      </c>
      <c r="C20" s="67">
        <f ca="1">GetFileList("P:\TP et Raccodement\FICHES CREES RACCORDEMENT\1 - RACCOS A SAISIR DANS AX\19-03-2019\*LM RACCO*.pdf")</f>
        <v>0</v>
      </c>
      <c r="D20" s="67">
        <f ca="1">GetFileList("P:\TP et Raccodement\FICHES CREES RACCORDEMENT\1 - RACCOS A SAISIR DANS AX\19-03-2019\*LR RACCO*.pdf")</f>
        <v>0</v>
      </c>
      <c r="E20" s="68">
        <f ca="1">GetFileList("P:\TP et Raccodement\FICHES CREES RACCORDEMENT\1 - RACCOS A SAISIR DANS AX\19-03-2019\*CL RACCO*.pdf")</f>
        <v>0</v>
      </c>
      <c r="F20" s="75">
        <f t="shared" ca="1" si="2"/>
        <v>0</v>
      </c>
      <c r="G20" s="67">
        <f ca="1">GetFileList("P:\TP et Raccodement\FICHES CREES RACCORDEMENT\2 - SAV + COMPL + PASSAGE W XV A SAISIR DANS AX\19-03-2019\*LM PASS*.pdf")</f>
        <v>0</v>
      </c>
      <c r="H20" s="67">
        <f ca="1">GetFileList("P:\TP et Raccodement\FICHES CREES RACCORDEMENT\2 - SAV + COMPL + PASSAGE W XV A SAISIR DANS AX\19-03-2019\*LR PASS*.pdf")</f>
        <v>0</v>
      </c>
      <c r="I20" s="68">
        <f ca="1">GetFileList("P:\TP et Raccodement\FICHES CREES RACCORDEMENT\2 - SAV + COMPL + PASSAGE W XV A SAISIR DANS AX\19-03-2019\*CL PASS*.pdf")</f>
        <v>0</v>
      </c>
      <c r="J20" s="76">
        <f ca="1">GetFileList("P:\TP et Raccodement\FICHES CREES RACCORDEMENT\2 - SAV + COMPL + PASSAGE W XV A SAISIR DANS AX\19-03-2019\*SAV*.pdf")</f>
        <v>0</v>
      </c>
      <c r="K20" s="77">
        <f ca="1">GetFileList("P:\TP et Raccodement\FICHES CREES RACCORDEMENT\2 - SAV + COMPL + PASSAGE W XV A SAISIR DANS AX\19-03-2019\*COMPLEMENT*.pdf")</f>
        <v>0</v>
      </c>
      <c r="L20" s="77">
        <f ca="1">GetFileList("P:\TP et Raccodement\FICHES CREES RACCORDEMENT\2 - SAV + COMPL + PASSAGE W XV A SAISIR DANS AX\19-03-2019\*REPRISE*.pdf")</f>
        <v>0</v>
      </c>
      <c r="M20" s="78">
        <f ca="1">GetFileList("P:\TP et Raccodement\FICHES CREES RACCORDEMENT\2 - SAV + COMPL + PASSAGE W XV A SAISIR DANS AX\19-03-2019\*REMONTAGE*.pdf")</f>
        <v>0</v>
      </c>
      <c r="N20" s="61"/>
      <c r="O20" s="73">
        <f t="shared" ca="1" si="1"/>
        <v>0</v>
      </c>
    </row>
    <row r="21" spans="1:15" ht="16.5" x14ac:dyDescent="0.3">
      <c r="A21" s="59">
        <v>43544</v>
      </c>
      <c r="B21" s="74">
        <f t="shared" ca="1" si="0"/>
        <v>0</v>
      </c>
      <c r="C21" s="67">
        <f ca="1">GetFileList("P:\TP et Raccodement\FICHES CREES RACCORDEMENT\1 - RACCOS A SAISIR DANS AX\20-03-2019\*LM RACCO*.pdf")</f>
        <v>0</v>
      </c>
      <c r="D21" s="67">
        <f ca="1">GetFileList("P:\TP et Raccodement\FICHES CREES RACCORDEMENT\1 - RACCOS A SAISIR DANS AX\20-03-2019\*LR RACCO*.pdf")</f>
        <v>0</v>
      </c>
      <c r="E21" s="68">
        <f ca="1">GetFileList("P:\TP et Raccodement\FICHES CREES RACCORDEMENT\1 - RACCOS A SAISIR DANS AX\20-03-2019\*CL RACCO*.pdf")</f>
        <v>0</v>
      </c>
      <c r="F21" s="75">
        <f t="shared" ca="1" si="2"/>
        <v>0</v>
      </c>
      <c r="G21" s="67">
        <f ca="1">GetFileList("P:\TP et Raccodement\FICHES CREES RACCORDEMENT\2 - SAV + COMPL + PASSAGE W XV A SAISIR DANS AX\20-03-2019\*LM PASS*.pdf")</f>
        <v>0</v>
      </c>
      <c r="H21" s="67">
        <f ca="1">GetFileList("P:\TP et Raccodement\FICHES CREES RACCORDEMENT\2 - SAV + COMPL + PASSAGE W XV A SAISIR DANS AX\20-03-2019\*LR PASS*.pdf")</f>
        <v>0</v>
      </c>
      <c r="I21" s="68">
        <f ca="1">GetFileList("P:\TP et Raccodement\FICHES CREES RACCORDEMENT\2 - SAV + COMPL + PASSAGE W XV A SAISIR DANS AX\20-03-2019\*CL PASS*.pdf")</f>
        <v>0</v>
      </c>
      <c r="J21" s="76">
        <f ca="1">GetFileList("P:\TP et Raccodement\FICHES CREES RACCORDEMENT\2 - SAV + COMPL + PASSAGE W XV A SAISIR DANS AX\20-03-2019\*SAV*.pdf")</f>
        <v>0</v>
      </c>
      <c r="K21" s="77">
        <f ca="1">GetFileList("P:\TP et Raccodement\FICHES CREES RACCORDEMENT\2 - SAV + COMPL + PASSAGE W XV A SAISIR DANS AX\20-03-2019\*COMPLEMENT*.pdf")</f>
        <v>0</v>
      </c>
      <c r="L21" s="77">
        <f ca="1">GetFileList("P:\TP et Raccodement\FICHES CREES RACCORDEMENT\2 - SAV + COMPL + PASSAGE W XV A SAISIR DANS AX\20-03-2019\*REPRISE*.pdf")</f>
        <v>0</v>
      </c>
      <c r="M21" s="78">
        <f ca="1">GetFileList("P:\TP et Raccodement\FICHES CREES RACCORDEMENT\2 - SAV + COMPL + PASSAGE W XV A SAISIR DANS AX\20-03-2019\*REMONTAGE*.pdf")</f>
        <v>0</v>
      </c>
      <c r="N21" s="61"/>
      <c r="O21" s="73">
        <f t="shared" ca="1" si="1"/>
        <v>0</v>
      </c>
    </row>
    <row r="22" spans="1:15" ht="16.5" x14ac:dyDescent="0.3">
      <c r="A22" s="59">
        <v>43545</v>
      </c>
      <c r="B22" s="74">
        <f t="shared" ca="1" si="0"/>
        <v>0</v>
      </c>
      <c r="C22" s="67">
        <f ca="1">GetFileList("P:\TP et Raccodement\FICHES CREES RACCORDEMENT\1 - RACCOS A SAISIR DANS AX\21-03-2019\*LM RACCO*.pdf")</f>
        <v>0</v>
      </c>
      <c r="D22" s="67">
        <f ca="1">GetFileList("P:\TP et Raccodement\FICHES CREES RACCORDEMENT\1 - RACCOS A SAISIR DANS AX\21-03-2019\*LR RACCO*.pdf")</f>
        <v>0</v>
      </c>
      <c r="E22" s="68">
        <f ca="1">GetFileList("P:\TP et Raccodement\FICHES CREES RACCORDEMENT\1 - RACCOS A SAISIR DANS AX\21-03-2019\*CL RACCO*.pdf")</f>
        <v>0</v>
      </c>
      <c r="F22" s="75">
        <f t="shared" ca="1" si="2"/>
        <v>0</v>
      </c>
      <c r="G22" s="67">
        <f ca="1">GetFileList("P:\TP et Raccodement\FICHES CREES RACCORDEMENT\2 - SAV + COMPL + PASSAGE W XV A SAISIR DANS AX\21-03-2019\*LM PASS*.pdf")</f>
        <v>0</v>
      </c>
      <c r="H22" s="67">
        <f ca="1">GetFileList("P:\TP et Raccodement\FICHES CREES RACCORDEMENT\2 - SAV + COMPL + PASSAGE W XV A SAISIR DANS AX\21-03-2019\*LR PASS*.pdf")</f>
        <v>0</v>
      </c>
      <c r="I22" s="68">
        <f ca="1">GetFileList("P:\TP et Raccodement\FICHES CREES RACCORDEMENT\2 - SAV + COMPL + PASSAGE W XV A SAISIR DANS AX\21-03-2019\*CL PASS*.pdf")</f>
        <v>0</v>
      </c>
      <c r="J22" s="76">
        <f ca="1">GetFileList("P:\TP et Raccodement\FICHES CREES RACCORDEMENT\2 - SAV + COMPL + PASSAGE W XV A SAISIR DANS AX\21-03-2019\*SAV*.pdf")</f>
        <v>0</v>
      </c>
      <c r="K22" s="77">
        <f ca="1">GetFileList("P:\TP et Raccodement\FICHES CREES RACCORDEMENT\2 - SAV + COMPL + PASSAGE W XV A SAISIR DANS AX\21-03-2019\*COMPLEMENT*.pdf")</f>
        <v>0</v>
      </c>
      <c r="L22" s="77">
        <f ca="1">GetFileList("P:\TP et Raccodement\FICHES CREES RACCORDEMENT\2 - SAV + COMPL + PASSAGE W XV A SAISIR DANS AX\21-03-2019\*REPRISE*.pdf")</f>
        <v>0</v>
      </c>
      <c r="M22" s="78">
        <f ca="1">GetFileList("P:\TP et Raccodement\FICHES CREES RACCORDEMENT\2 - SAV + COMPL + PASSAGE W XV A SAISIR DANS AX\21-03-2019\*REMONTAGE*.pdf")</f>
        <v>0</v>
      </c>
      <c r="N22" s="61"/>
      <c r="O22" s="73">
        <f t="shared" ca="1" si="1"/>
        <v>0</v>
      </c>
    </row>
    <row r="23" spans="1:15" ht="16.5" x14ac:dyDescent="0.3">
      <c r="A23" s="59">
        <v>43546</v>
      </c>
      <c r="B23" s="74">
        <f t="shared" ca="1" si="0"/>
        <v>0</v>
      </c>
      <c r="C23" s="67">
        <f ca="1">GetFileList("P:\TP et Raccodement\FICHES CREES RACCORDEMENT\1 - RACCOS A SAISIR DANS AX\22-03-2019\*LM RACCO*.pdf")</f>
        <v>0</v>
      </c>
      <c r="D23" s="67">
        <f ca="1">GetFileList("P:\TP et Raccodement\FICHES CREES RACCORDEMENT\1 - RACCOS A SAISIR DANS AX\22-03-2019\*LR RACCO*.pdf")</f>
        <v>0</v>
      </c>
      <c r="E23" s="68">
        <f ca="1">GetFileList("P:\TP et Raccodement\FICHES CREES RACCORDEMENT\1 - RACCOS A SAISIR DANS AX\22-03-2019\*CL RACCO*.pdf")</f>
        <v>0</v>
      </c>
      <c r="F23" s="75">
        <f t="shared" ca="1" si="2"/>
        <v>0</v>
      </c>
      <c r="G23" s="67">
        <f ca="1">GetFileList("P:\TP et Raccodement\FICHES CREES RACCORDEMENT\2 - SAV + COMPL + PASSAGE W XV A SAISIR DANS AX\22-03-2019\*LM PASS*.pdf")</f>
        <v>0</v>
      </c>
      <c r="H23" s="67">
        <f ca="1">GetFileList("P:\TP et Raccodement\FICHES CREES RACCORDEMENT\2 - SAV + COMPL + PASSAGE W XV A SAISIR DANS AX\22-03-2019\*LR PASS*.pdf")</f>
        <v>0</v>
      </c>
      <c r="I23" s="68">
        <f ca="1">GetFileList("P:\TP et Raccodement\FICHES CREES RACCORDEMENT\2 - SAV + COMPL + PASSAGE W XV A SAISIR DANS AX\22-03-2019\*CL PASS*.pdf")</f>
        <v>0</v>
      </c>
      <c r="J23" s="76">
        <f ca="1">GetFileList("P:\TP et Raccodement\FICHES CREES RACCORDEMENT\2 - SAV + COMPL + PASSAGE W XV A SAISIR DANS AX\22-03-2019\*SAV*.pdf")</f>
        <v>0</v>
      </c>
      <c r="K23" s="77">
        <f ca="1">GetFileList("P:\TP et Raccodement\FICHES CREES RACCORDEMENT\2 - SAV + COMPL + PASSAGE W XV A SAISIR DANS AX\22-03-2019\*COMPLEMENT*.pdf")</f>
        <v>0</v>
      </c>
      <c r="L23" s="77">
        <f ca="1">GetFileList("P:\TP et Raccodement\FICHES CREES RACCORDEMENT\2 - SAV + COMPL + PASSAGE W XV A SAISIR DANS AX\22-03-2019\*REPRISE*.pdf")</f>
        <v>0</v>
      </c>
      <c r="M23" s="78">
        <f ca="1">GetFileList("P:\TP et Raccodement\FICHES CREES RACCORDEMENT\2 - SAV + COMPL + PASSAGE W XV A SAISIR DANS AX\22-03-2019\*REMONTAGE*.pdf")</f>
        <v>0</v>
      </c>
      <c r="N23" s="61"/>
      <c r="O23" s="73">
        <f t="shared" ca="1" si="1"/>
        <v>0</v>
      </c>
    </row>
    <row r="24" spans="1:15" ht="16.5" x14ac:dyDescent="0.3">
      <c r="A24" s="59">
        <v>43547</v>
      </c>
      <c r="B24" s="74">
        <f t="shared" ca="1" si="0"/>
        <v>0</v>
      </c>
      <c r="C24" s="67">
        <f ca="1">GetFileList("P:\TP et Raccodement\FICHES CREES RACCORDEMENT\1 - RACCOS A SAISIR DANS AX\23-03-2019\*LM RACCO*.pdf")</f>
        <v>0</v>
      </c>
      <c r="D24" s="67">
        <f ca="1">GetFileList("P:\TP et Raccodement\FICHES CREES RACCORDEMENT\1 - RACCOS A SAISIR DANS AX\23-03-2019\*LR RACCO*.pdf")</f>
        <v>0</v>
      </c>
      <c r="E24" s="68">
        <f ca="1">GetFileList("P:\TP et Raccodement\FICHES CREES RACCORDEMENT\1 - RACCOS A SAISIR DANS AX\23-03-2019\*CL RACCO*.pdf")</f>
        <v>0</v>
      </c>
      <c r="F24" s="75">
        <f t="shared" ca="1" si="2"/>
        <v>0</v>
      </c>
      <c r="G24" s="67">
        <f ca="1">GetFileList("P:\TP et Raccodement\FICHES CREES RACCORDEMENT\2 - SAV + COMPL + PASSAGE W XV A SAISIR DANS AX\23-03-2019\*LM PASS*.pdf")</f>
        <v>0</v>
      </c>
      <c r="H24" s="67">
        <f ca="1">GetFileList("P:\TP et Raccodement\FICHES CREES RACCORDEMENT\2 - SAV + COMPL + PASSAGE W XV A SAISIR DANS AX\23-03-2019\*LR PASS*.pdf")</f>
        <v>0</v>
      </c>
      <c r="I24" s="68">
        <f ca="1">GetFileList("P:\TP et Raccodement\FICHES CREES RACCORDEMENT\2 - SAV + COMPL + PASSAGE W XV A SAISIR DANS AX\23-03-2019\*CL PASS*.pdf")</f>
        <v>0</v>
      </c>
      <c r="J24" s="76">
        <f ca="1">GetFileList("P:\TP et Raccodement\FICHES CREES RACCORDEMENT\2 - SAV + COMPL + PASSAGE W XV A SAISIR DANS AX\23-03-2019\*SAV*.pdf")</f>
        <v>0</v>
      </c>
      <c r="K24" s="77">
        <f ca="1">GetFileList("P:\TP et Raccodement\FICHES CREES RACCORDEMENT\2 - SAV + COMPL + PASSAGE W XV A SAISIR DANS AX\23-03-2019\*COMPLEMENT*.pdf")</f>
        <v>0</v>
      </c>
      <c r="L24" s="77">
        <f ca="1">GetFileList("P:\TP et Raccodement\FICHES CREES RACCORDEMENT\2 - SAV + COMPL + PASSAGE W XV A SAISIR DANS AX\23-03-2019\*REPRISE*.pdf")</f>
        <v>0</v>
      </c>
      <c r="M24" s="78">
        <f ca="1">GetFileList("P:\TP et Raccodement\FICHES CREES RACCORDEMENT\2 - SAV + COMPL + PASSAGE W XV A SAISIR DANS AX\23-03-2019\*REMONTAGE*.pdf")</f>
        <v>0</v>
      </c>
      <c r="N24" s="61"/>
      <c r="O24" s="73">
        <f t="shared" ca="1" si="1"/>
        <v>0</v>
      </c>
    </row>
    <row r="25" spans="1:15" ht="16.5" x14ac:dyDescent="0.3">
      <c r="A25" s="88">
        <v>43548</v>
      </c>
      <c r="B25" s="89">
        <f t="shared" ca="1" si="0"/>
        <v>0</v>
      </c>
      <c r="C25" s="90">
        <f ca="1">GetFileList("P:\TP et Raccodement\FICHES CREES RACCORDEMENT\1 - RACCOS A SAISIR DANS AX\24-03-2019\*LM RACCO*.pdf")</f>
        <v>0</v>
      </c>
      <c r="D25" s="90">
        <f ca="1">GetFileList("P:\TP et Raccodement\FICHES CREES RACCORDEMENT\1 - RACCOS A SAISIR DANS AX\24-03-2019\*LR RACCO*.pdf")</f>
        <v>0</v>
      </c>
      <c r="E25" s="91">
        <f ca="1">GetFileList("P:\TP et Raccodement\FICHES CREES RACCORDEMENT\1 - RACCOS A SAISIR DANS AX\24-03-2019\*CL RACCO*.pdf")</f>
        <v>0</v>
      </c>
      <c r="F25" s="92">
        <f t="shared" ca="1" si="2"/>
        <v>0</v>
      </c>
      <c r="G25" s="90">
        <f ca="1">GetFileList("P:\TP et Raccodement\FICHES CREES RACCORDEMENT\2 - SAV + COMPL + PASSAGE W XV A SAISIR DANS AX\24-03-2019\*LM PASS*.pdf")</f>
        <v>0</v>
      </c>
      <c r="H25" s="90">
        <f ca="1">GetFileList("P:\TP et Raccodement\FICHES CREES RACCORDEMENT\2 - SAV + COMPL + PASSAGE W XV A SAISIR DANS AX\24-03-2019\*LR PASS*.pdf")</f>
        <v>0</v>
      </c>
      <c r="I25" s="91">
        <f ca="1">GetFileList("P:\TP et Raccodement\FICHES CREES RACCORDEMENT\2 - SAV + COMPL + PASSAGE W XV A SAISIR DANS AX\24-03-2019\*CL PASS*.pdf")</f>
        <v>0</v>
      </c>
      <c r="J25" s="93">
        <f ca="1">GetFileList("P:\TP et Raccodement\FICHES CREES RACCORDEMENT\2 - SAV + COMPL + PASSAGE W XV A SAISIR DANS AX\24-03-2019\*SAV*.pdf")</f>
        <v>0</v>
      </c>
      <c r="K25" s="94">
        <f ca="1">GetFileList("P:\TP et Raccodement\FICHES CREES RACCORDEMENT\2 - SAV + COMPL + PASSAGE W XV A SAISIR DANS AX\24-03-2019\*COMPLEMENT*.pdf")</f>
        <v>0</v>
      </c>
      <c r="L25" s="94">
        <f ca="1">GetFileList("P:\TP et Raccodement\FICHES CREES RACCORDEMENT\2 - SAV + COMPL + PASSAGE W XV A SAISIR DANS AX\24-03-2019\*REPRISE*.pdf")</f>
        <v>0</v>
      </c>
      <c r="M25" s="95">
        <f ca="1">GetFileList("P:\TP et Raccodement\FICHES CREES RACCORDEMENT\2 - SAV + COMPL + PASSAGE W XV A SAISIR DANS AX\24-03-2019\*REMONTAGE*.pdf")</f>
        <v>0</v>
      </c>
      <c r="N25" s="61"/>
      <c r="O25" s="73">
        <f t="shared" ca="1" si="1"/>
        <v>0</v>
      </c>
    </row>
    <row r="26" spans="1:15" ht="16.5" x14ac:dyDescent="0.3">
      <c r="A26" s="59">
        <v>43549</v>
      </c>
      <c r="B26" s="74">
        <f t="shared" ca="1" si="0"/>
        <v>0</v>
      </c>
      <c r="C26" s="67">
        <f ca="1">GetFileList("P:\TP et Raccodement\FICHES CREES RACCORDEMENT\1 - RACCOS A SAISIR DANS AX\25-03-2019\*LM RACCO*.pdf")</f>
        <v>0</v>
      </c>
      <c r="D26" s="67">
        <f ca="1">GetFileList("P:\TP et Raccodement\FICHES CREES RACCORDEMENT\1 - RACCOS A SAISIR DANS AX\25-03-2019\*LR RACCO*.pdf")</f>
        <v>0</v>
      </c>
      <c r="E26" s="68">
        <f ca="1">GetFileList("P:\TP et Raccodement\FICHES CREES RACCORDEMENT\1 - RACCOS A SAISIR DANS AX\25-03-2019\*CL RACCO*.pdf")</f>
        <v>0</v>
      </c>
      <c r="F26" s="75">
        <f t="shared" ca="1" si="2"/>
        <v>0</v>
      </c>
      <c r="G26" s="67">
        <f ca="1">GetFileList("P:\TP et Raccodement\FICHES CREES RACCORDEMENT\2 - SAV + COMPL + PASSAGE W XV A SAISIR DANS AX\25-03-2019\*LM PASS*.pdf")</f>
        <v>0</v>
      </c>
      <c r="H26" s="67">
        <f ca="1">GetFileList("P:\TP et Raccodement\FICHES CREES RACCORDEMENT\2 - SAV + COMPL + PASSAGE W XV A SAISIR DANS AX\25-03-2019\*LR PASS*.pdf")</f>
        <v>0</v>
      </c>
      <c r="I26" s="68">
        <f ca="1">GetFileList("P:\TP et Raccodement\FICHES CREES RACCORDEMENT\2 - SAV + COMPL + PASSAGE W XV A SAISIR DANS AX\25-03-2019\*CL PASS*.pdf")</f>
        <v>0</v>
      </c>
      <c r="J26" s="76">
        <f ca="1">GetFileList("P:\TP et Raccodement\FICHES CREES RACCORDEMENT\2 - SAV + COMPL + PASSAGE W XV A SAISIR DANS AX\25-03-2019\*SAV*.pdf")</f>
        <v>0</v>
      </c>
      <c r="K26" s="77">
        <f ca="1">GetFileList("P:\TP et Raccodement\FICHES CREES RACCORDEMENT\2 - SAV + COMPL + PASSAGE W XV A SAISIR DANS AX\25-03-2019\*COMPLEMENT*.pdf")</f>
        <v>0</v>
      </c>
      <c r="L26" s="77">
        <f ca="1">GetFileList("P:\TP et Raccodement\FICHES CREES RACCORDEMENT\2 - SAV + COMPL + PASSAGE W XV A SAISIR DANS AX\25-03-2019\*REPRISE*.pdf")</f>
        <v>0</v>
      </c>
      <c r="M26" s="78">
        <f ca="1">GetFileList("P:\TP et Raccodement\FICHES CREES RACCORDEMENT\2 - SAV + COMPL + PASSAGE W XV A SAISIR DANS AX\25-03-2019\*REMONTAGE*.pdf")</f>
        <v>0</v>
      </c>
      <c r="N26" s="61"/>
      <c r="O26" s="73">
        <f t="shared" ca="1" si="1"/>
        <v>0</v>
      </c>
    </row>
    <row r="27" spans="1:15" ht="16.5" x14ac:dyDescent="0.3">
      <c r="A27" s="59">
        <v>43550</v>
      </c>
      <c r="B27" s="74">
        <f t="shared" ca="1" si="0"/>
        <v>0</v>
      </c>
      <c r="C27" s="67">
        <f ca="1">GetFileList("P:\TP et Raccodement\FICHES CREES RACCORDEMENT\1 - RACCOS A SAISIR DANS AX\26-03-2019\*LM RACCO*.pdf")</f>
        <v>0</v>
      </c>
      <c r="D27" s="67">
        <f ca="1">GetFileList("P:\TP et Raccodement\FICHES CREES RACCORDEMENT\1 - RACCOS A SAISIR DANS AX\26-03-2019\*LR RACCO*.pdf")</f>
        <v>0</v>
      </c>
      <c r="E27" s="68">
        <f ca="1">GetFileList("P:\TP et Raccodement\FICHES CREES RACCORDEMENT\1 - RACCOS A SAISIR DANS AX\26-03-2019\*CL RACCO*.pdf")</f>
        <v>0</v>
      </c>
      <c r="F27" s="75">
        <f t="shared" ca="1" si="2"/>
        <v>0</v>
      </c>
      <c r="G27" s="67">
        <f ca="1">GetFileList("P:\TP et Raccodement\FICHES CREES RACCORDEMENT\2 - SAV + COMPL + PASSAGE W XV A SAISIR DANS AX\26-03-2019\*LM PASS*.pdf")</f>
        <v>0</v>
      </c>
      <c r="H27" s="67">
        <f ca="1">GetFileList("P:\TP et Raccodement\FICHES CREES RACCORDEMENT\2 - SAV + COMPL + PASSAGE W XV A SAISIR DANS AX\26-03-2019\*LR PASS*.pdf")</f>
        <v>0</v>
      </c>
      <c r="I27" s="68">
        <f ca="1">GetFileList("P:\TP et Raccodement\FICHES CREES RACCORDEMENT\2 - SAV + COMPL + PASSAGE W XV A SAISIR DANS AX\26-03-2019\*CL PASS*.pdf")</f>
        <v>0</v>
      </c>
      <c r="J27" s="76">
        <f ca="1">GetFileList("P:\TP et Raccodement\FICHES CREES RACCORDEMENT\2 - SAV + COMPL + PASSAGE W XV A SAISIR DANS AX\26-03-2019\*SAV*.pdf")</f>
        <v>0</v>
      </c>
      <c r="K27" s="77">
        <f ca="1">GetFileList("P:\TP et Raccodement\FICHES CREES RACCORDEMENT\2 - SAV + COMPL + PASSAGE W XV A SAISIR DANS AX\26-03-2019\*COMPLEMENT*.pdf")</f>
        <v>0</v>
      </c>
      <c r="L27" s="77">
        <f ca="1">GetFileList("P:\TP et Raccodement\FICHES CREES RACCORDEMENT\2 - SAV + COMPL + PASSAGE W XV A SAISIR DANS AX\26-03-2019\*REPRISE*.pdf")</f>
        <v>0</v>
      </c>
      <c r="M27" s="78">
        <f ca="1">GetFileList("P:\TP et Raccodement\FICHES CREES RACCORDEMENT\2 - SAV + COMPL + PASSAGE W XV A SAISIR DANS AX\26-03-2019\*REMONTAGE*.pdf")</f>
        <v>0</v>
      </c>
      <c r="N27" s="61"/>
      <c r="O27" s="73">
        <f t="shared" ca="1" si="1"/>
        <v>0</v>
      </c>
    </row>
    <row r="28" spans="1:15" ht="16.5" x14ac:dyDescent="0.3">
      <c r="A28" s="59">
        <v>43551</v>
      </c>
      <c r="B28" s="74">
        <f t="shared" ca="1" si="0"/>
        <v>0</v>
      </c>
      <c r="C28" s="67">
        <f ca="1">GetFileList("P:\TP et Raccodement\FICHES CREES RACCORDEMENT\1 - RACCOS A SAISIR DANS AX\27-03-2019\*LM RACCO*.pdf")</f>
        <v>0</v>
      </c>
      <c r="D28" s="67">
        <f ca="1">GetFileList("P:\TP et Raccodement\FICHES CREES RACCORDEMENT\1 - RACCOS A SAISIR DANS AX\27-03-2019\*LR RACCO*.pdf")</f>
        <v>0</v>
      </c>
      <c r="E28" s="68">
        <f ca="1">GetFileList("P:\TP et Raccodement\FICHES CREES RACCORDEMENT\1 - RACCOS A SAISIR DANS AX\27-03-2019\*CL RACCO*.pdf")</f>
        <v>0</v>
      </c>
      <c r="F28" s="75">
        <f t="shared" ca="1" si="2"/>
        <v>0</v>
      </c>
      <c r="G28" s="67">
        <f ca="1">GetFileList("P:\TP et Raccodement\FICHES CREES RACCORDEMENT\2 - SAV + COMPL + PASSAGE W XV A SAISIR DANS AX\27-03-2019\*LM PASS*.pdf")</f>
        <v>0</v>
      </c>
      <c r="H28" s="67">
        <f ca="1">GetFileList("P:\TP et Raccodement\FICHES CREES RACCORDEMENT\2 - SAV + COMPL + PASSAGE W XV A SAISIR DANS AX\27-03-2019\*LR PASS*.pdf")</f>
        <v>0</v>
      </c>
      <c r="I28" s="68">
        <f ca="1">GetFileList("P:\TP et Raccodement\FICHES CREES RACCORDEMENT\2 - SAV + COMPL + PASSAGE W XV A SAISIR DANS AX\27-03-2019\*CL PASS*.pdf")</f>
        <v>0</v>
      </c>
      <c r="J28" s="76">
        <f ca="1">GetFileList("P:\TP et Raccodement\FICHES CREES RACCORDEMENT\2 - SAV + COMPL + PASSAGE W XV A SAISIR DANS AX\27-03-2019\*SAV*.pdf")</f>
        <v>0</v>
      </c>
      <c r="K28" s="77">
        <f ca="1">GetFileList("P:\TP et Raccodement\FICHES CREES RACCORDEMENT\2 - SAV + COMPL + PASSAGE W XV A SAISIR DANS AX\27-03-2019\*COMPLEMENT*.pdf")</f>
        <v>0</v>
      </c>
      <c r="L28" s="77">
        <f ca="1">GetFileList("P:\TP et Raccodement\FICHES CREES RACCORDEMENT\2 - SAV + COMPL + PASSAGE W XV A SAISIR DANS AX\27-03-2019\*REPRISE*.pdf")</f>
        <v>0</v>
      </c>
      <c r="M28" s="78">
        <f ca="1">GetFileList("P:\TP et Raccodement\FICHES CREES RACCORDEMENT\2 - SAV + COMPL + PASSAGE W XV A SAISIR DANS AX\27-03-2019\*REMONTAGE*.pdf")</f>
        <v>0</v>
      </c>
      <c r="N28" s="61"/>
      <c r="O28" s="73">
        <f t="shared" ca="1" si="1"/>
        <v>0</v>
      </c>
    </row>
    <row r="29" spans="1:15" ht="16.5" x14ac:dyDescent="0.3">
      <c r="A29" s="59">
        <v>43552</v>
      </c>
      <c r="B29" s="74">
        <f t="shared" ca="1" si="0"/>
        <v>0</v>
      </c>
      <c r="C29" s="67">
        <f ca="1">GetFileList("P:\TP et Raccodement\FICHES CREES RACCORDEMENT\1 - RACCOS A SAISIR DANS AX\28-03-2019\*LM RACCO*.pdf")</f>
        <v>0</v>
      </c>
      <c r="D29" s="67">
        <f ca="1">GetFileList("P:\TP et Raccodement\FICHES CREES RACCORDEMENT\1 - RACCOS A SAISIR DANS AX\28-03-2019\*LR RACCO*.pdf")</f>
        <v>0</v>
      </c>
      <c r="E29" s="68">
        <f ca="1">GetFileList("P:\TP et Raccodement\FICHES CREES RACCORDEMENT\1 - RACCOS A SAISIR DANS AX\28-03-2019\*CL RACCO*.pdf")</f>
        <v>0</v>
      </c>
      <c r="F29" s="75">
        <f t="shared" ca="1" si="2"/>
        <v>0</v>
      </c>
      <c r="G29" s="67">
        <f ca="1">GetFileList("P:\TP et Raccodement\FICHES CREES RACCORDEMENT\2 - SAV + COMPL + PASSAGE W XV A SAISIR DANS AX\28-03-2019\*LM PASS*.pdf")</f>
        <v>0</v>
      </c>
      <c r="H29" s="67">
        <f ca="1">GetFileList("P:\TP et Raccodement\FICHES CREES RACCORDEMENT\2 - SAV + COMPL + PASSAGE W XV A SAISIR DANS AX\28-03-2019\*LR PASS*.pdf")</f>
        <v>0</v>
      </c>
      <c r="I29" s="68">
        <f ca="1">GetFileList("P:\TP et Raccodement\FICHES CREES RACCORDEMENT\2 - SAV + COMPL + PASSAGE W XV A SAISIR DANS AX\28-03-2019\*CL PASS*.pdf")</f>
        <v>0</v>
      </c>
      <c r="J29" s="76">
        <f ca="1">GetFileList("P:\TP et Raccodement\FICHES CREES RACCORDEMENT\2 - SAV + COMPL + PASSAGE W XV A SAISIR DANS AX\28-03-2019\*SAV*.pdf")</f>
        <v>0</v>
      </c>
      <c r="K29" s="77">
        <f ca="1">GetFileList("P:\TP et Raccodement\FICHES CREES RACCORDEMENT\2 - SAV + COMPL + PASSAGE W XV A SAISIR DANS AX\28-03-2019\*COMPLEMENT*.pdf")</f>
        <v>0</v>
      </c>
      <c r="L29" s="77">
        <f ca="1">GetFileList("P:\TP et Raccodement\FICHES CREES RACCORDEMENT\2 - SAV + COMPL + PASSAGE W XV A SAISIR DANS AX\28-03-2019\*REPRISE*.pdf")</f>
        <v>0</v>
      </c>
      <c r="M29" s="78">
        <f ca="1">GetFileList("P:\TP et Raccodement\FICHES CREES RACCORDEMENT\2 - SAV + COMPL + PASSAGE W XV A SAISIR DANS AX\28-03-2019\*REMONTAGE*.pdf")</f>
        <v>0</v>
      </c>
      <c r="N29" s="61"/>
      <c r="O29" s="73">
        <f t="shared" ca="1" si="1"/>
        <v>0</v>
      </c>
    </row>
    <row r="30" spans="1:15" ht="16.5" x14ac:dyDescent="0.3">
      <c r="A30" s="59">
        <v>43553</v>
      </c>
      <c r="B30" s="74">
        <f t="shared" ca="1" si="0"/>
        <v>0</v>
      </c>
      <c r="C30" s="67">
        <f ca="1">GetFileList("P:\TP et Raccodement\FICHES CREES RACCORDEMENT\1 - RACCOS A SAISIR DANS AX\29-03-2019\*LM RACCO*.pdf")</f>
        <v>0</v>
      </c>
      <c r="D30" s="67">
        <f ca="1">GetFileList("P:\TP et Raccodement\FICHES CREES RACCORDEMENT\1 - RACCOS A SAISIR DANS AX\29-03-2019\*LR RACCO*.pdf")</f>
        <v>0</v>
      </c>
      <c r="E30" s="68">
        <f ca="1">GetFileList("P:\TP et Raccodement\FICHES CREES RACCORDEMENT\1 - RACCOS A SAISIR DANS AX\29-03-2019\*CL RACCO*.pdf")</f>
        <v>0</v>
      </c>
      <c r="F30" s="75">
        <f t="shared" ca="1" si="2"/>
        <v>0</v>
      </c>
      <c r="G30" s="67">
        <f ca="1">GetFileList("P:\TP et Raccodement\FICHES CREES RACCORDEMENT\2 - SAV + COMPL + PASSAGE W XV A SAISIR DANS AX\29-03-2019\*LM PASS*.pdf")</f>
        <v>0</v>
      </c>
      <c r="H30" s="67">
        <f ca="1">GetFileList("P:\TP et Raccodement\FICHES CREES RACCORDEMENT\2 - SAV + COMPL + PASSAGE W XV A SAISIR DANS AX\29-03-2019\*LR PASS*.pdf")</f>
        <v>0</v>
      </c>
      <c r="I30" s="68">
        <f ca="1">GetFileList("P:\TP et Raccodement\FICHES CREES RACCORDEMENT\2 - SAV + COMPL + PASSAGE W XV A SAISIR DANS AX\29-03-2019\*CL PASS*.pdf")</f>
        <v>0</v>
      </c>
      <c r="J30" s="76">
        <f ca="1">GetFileList("P:\TP et Raccodement\FICHES CREES RACCORDEMENT\2 - SAV + COMPL + PASSAGE W XV A SAISIR DANS AX\29-03-2019\*SAV*.pdf")</f>
        <v>0</v>
      </c>
      <c r="K30" s="77">
        <f ca="1">GetFileList("P:\TP et Raccodement\FICHES CREES RACCORDEMENT\2 - SAV + COMPL + PASSAGE W XV A SAISIR DANS AX\29-03-2019\*COMPLEMENT*.pdf")</f>
        <v>0</v>
      </c>
      <c r="L30" s="77">
        <f ca="1">GetFileList("P:\TP et Raccodement\FICHES CREES RACCORDEMENT\2 - SAV + COMPL + PASSAGE W XV A SAISIR DANS AX\29-03-2019\*REPRISE*.pdf")</f>
        <v>0</v>
      </c>
      <c r="M30" s="78">
        <f ca="1">GetFileList("P:\TP et Raccodement\FICHES CREES RACCORDEMENT\2 - SAV + COMPL + PASSAGE W XV A SAISIR DANS AX\29-03-2019\*REMONTAGE*.pdf")</f>
        <v>0</v>
      </c>
      <c r="N30" s="61"/>
      <c r="O30" s="73">
        <f t="shared" ca="1" si="1"/>
        <v>0</v>
      </c>
    </row>
    <row r="31" spans="1:15" ht="16.5" x14ac:dyDescent="0.3">
      <c r="A31" s="59">
        <v>43554</v>
      </c>
      <c r="B31" s="74">
        <f t="shared" ca="1" si="0"/>
        <v>0</v>
      </c>
      <c r="C31" s="67">
        <f ca="1">GetFileList("P:\TP et Raccodement\FICHES CREES RACCORDEMENT\1 - RACCOS A SAISIR DANS AX\30-03-2019\*LM RACCO*.pdf")</f>
        <v>0</v>
      </c>
      <c r="D31" s="67">
        <f ca="1">GetFileList("P:\TP et Raccodement\FICHES CREES RACCORDEMENT\1 - RACCOS A SAISIR DANS AX\30-03-2019\*LR RACCO*.pdf")</f>
        <v>0</v>
      </c>
      <c r="E31" s="68">
        <f ca="1">GetFileList("P:\TP et Raccodement\FICHES CREES RACCORDEMENT\1 - RACCOS A SAISIR DANS AX\30-03-2019\*CL RACCO*.pdf")</f>
        <v>0</v>
      </c>
      <c r="F31" s="75">
        <f t="shared" ca="1" si="2"/>
        <v>0</v>
      </c>
      <c r="G31" s="67">
        <f ca="1">GetFileList("P:\TP et Raccodement\FICHES CREES RACCORDEMENT\2 - SAV + COMPL + PASSAGE W XV A SAISIR DANS AX\30-03-2019\*LM PASS*.pdf")</f>
        <v>0</v>
      </c>
      <c r="H31" s="67">
        <f ca="1">GetFileList("P:\TP et Raccodement\FICHES CREES RACCORDEMENT\2 - SAV + COMPL + PASSAGE W XV A SAISIR DANS AX\30-03-2019\*LR PASS*.pdf")</f>
        <v>0</v>
      </c>
      <c r="I31" s="68">
        <f ca="1">GetFileList("P:\TP et Raccodement\FICHES CREES RACCORDEMENT\2 - SAV + COMPL + PASSAGE W XV A SAISIR DANS AX\30-03-2019\*CL PASS*.pdf")</f>
        <v>0</v>
      </c>
      <c r="J31" s="76">
        <f ca="1">GetFileList("P:\TP et Raccodement\FICHES CREES RACCORDEMENT\2 - SAV + COMPL + PASSAGE W XV A SAISIR DANS AX\30-03-2019\*SAV*.pdf")</f>
        <v>0</v>
      </c>
      <c r="K31" s="77">
        <f ca="1">GetFileList("P:\TP et Raccodement\FICHES CREES RACCORDEMENT\2 - SAV + COMPL + PASSAGE W XV A SAISIR DANS AX\30-03-2019\*COMPLEMENT*.pdf")</f>
        <v>0</v>
      </c>
      <c r="L31" s="77">
        <f ca="1">GetFileList("P:\TP et Raccodement\FICHES CREES RACCORDEMENT\2 - SAV + COMPL + PASSAGE W XV A SAISIR DANS AX\30-03-2019\*REPRISE*.pdf")</f>
        <v>0</v>
      </c>
      <c r="M31" s="78">
        <f ca="1">GetFileList("P:\TP et Raccodement\FICHES CREES RACCORDEMENT\2 - SAV + COMPL + PASSAGE W XV A SAISIR DANS AX\30-03-2019\*REMONTAGE*.pdf")</f>
        <v>0</v>
      </c>
      <c r="N31" s="61"/>
      <c r="O31" s="73">
        <f t="shared" ca="1" si="1"/>
        <v>0</v>
      </c>
    </row>
    <row r="32" spans="1:15" ht="17.25" thickBot="1" x14ac:dyDescent="0.35">
      <c r="A32" s="88">
        <v>43555</v>
      </c>
      <c r="B32" s="89">
        <f t="shared" ca="1" si="0"/>
        <v>0</v>
      </c>
      <c r="C32" s="90">
        <f ca="1">GetFileList("P:\TP et Raccodement\FICHES CREES RACCORDEMENT\1 - RACCOS A SAISIR DANS AX\31-03-2019\*LM RACCO*.pdf")</f>
        <v>0</v>
      </c>
      <c r="D32" s="90">
        <f ca="1">GetFileList("P:\TP et Raccodement\FICHES CREES RACCORDEMENT\1 - RACCOS A SAISIR DANS AX\31-03-2019\*LR RACCO*.pdf")</f>
        <v>0</v>
      </c>
      <c r="E32" s="91">
        <f ca="1">GetFileList("P:\TP et Raccodement\FICHES CREES RACCORDEMENT\1 - RACCOS A SAISIR DANS AX\31-03-2019\*CL RACCO*.pdf")</f>
        <v>0</v>
      </c>
      <c r="F32" s="92">
        <f t="shared" ca="1" si="2"/>
        <v>0</v>
      </c>
      <c r="G32" s="90">
        <f ca="1">GetFileList("P:\TP et Raccodement\FICHES CREES RACCORDEMENT\2 - SAV + COMPL + PASSAGE W XV A SAISIR DANS AX\31-03-2019\*LM PASS*.pdf")</f>
        <v>0</v>
      </c>
      <c r="H32" s="90">
        <f ca="1">GetFileList("P:\TP et Raccodement\FICHES CREES RACCORDEMENT\2 - SAV + COMPL + PASSAGE W XV A SAISIR DANS AX\31-03-2019\*LR PASS*.pdf")</f>
        <v>0</v>
      </c>
      <c r="I32" s="91">
        <f ca="1">GetFileList("P:\TP et Raccodement\FICHES CREES RACCORDEMENT\2 - SAV + COMPL + PASSAGE W XV A SAISIR DANS AX\31-03-2019\*CL PASS*.pdf")</f>
        <v>0</v>
      </c>
      <c r="J32" s="96">
        <f ca="1">GetFileList("P:\TP et Raccodement\FICHES CREES RACCORDEMENT\2 - SAV + COMPL + PASSAGE W XV A SAISIR DANS AX\31-03-2019\*SAV*.pdf")</f>
        <v>0</v>
      </c>
      <c r="K32" s="97">
        <f ca="1">GetFileList("P:\TP et Raccodement\FICHES CREES RACCORDEMENT\2 - SAV + COMPL + PASSAGE W XV A SAISIR DANS AX\31-03-2019\*COMPLEMENT*.pdf")</f>
        <v>0</v>
      </c>
      <c r="L32" s="97">
        <f ca="1">GetFileList("P:\TP et Raccodement\FICHES CREES RACCORDEMENT\2 - SAV + COMPL + PASSAGE W XV A SAISIR DANS AX\31-03-2019\*REPRISE*.pdf")</f>
        <v>0</v>
      </c>
      <c r="M32" s="98">
        <f ca="1">GetFileList("P:\TP et Raccodement\FICHES CREES RACCORDEMENT\2 - SAV + COMPL + PASSAGE W XV A SAISIR DANS AX\31-03-2019\*REMONTAGE*.pdf")</f>
        <v>0</v>
      </c>
      <c r="N32" s="61"/>
      <c r="O32" s="73">
        <f t="shared" ca="1" si="1"/>
        <v>0</v>
      </c>
    </row>
    <row r="33" spans="1:15" ht="18" thickBot="1" x14ac:dyDescent="0.35">
      <c r="A33" s="136" t="s">
        <v>10</v>
      </c>
      <c r="B33" s="132">
        <f ca="1">SUM(B2:B32)</f>
        <v>0</v>
      </c>
      <c r="C33" s="133">
        <f t="shared" ref="C33:D33" ca="1" si="3">SUM(C2:C32)</f>
        <v>0</v>
      </c>
      <c r="D33" s="133">
        <f t="shared" ca="1" si="3"/>
        <v>0</v>
      </c>
      <c r="E33" s="134">
        <f ca="1">SUM(E2:E32)</f>
        <v>0</v>
      </c>
      <c r="F33" s="69">
        <f ca="1">SUM(F2:F32)</f>
        <v>0</v>
      </c>
      <c r="G33" s="70">
        <f t="shared" ref="G33:I33" ca="1" si="4">SUM(G2:G32)</f>
        <v>0</v>
      </c>
      <c r="H33" s="70">
        <f t="shared" ca="1" si="4"/>
        <v>0</v>
      </c>
      <c r="I33" s="86">
        <f t="shared" ca="1" si="4"/>
        <v>0</v>
      </c>
      <c r="J33" s="87">
        <f ca="1">SUM(J2:J32)</f>
        <v>0</v>
      </c>
      <c r="K33" s="82">
        <f t="shared" ref="K33:M33" ca="1" si="5">SUM(K2:K32)</f>
        <v>0</v>
      </c>
      <c r="L33" s="82">
        <f t="shared" ca="1" si="5"/>
        <v>0</v>
      </c>
      <c r="M33" s="83">
        <f t="shared" ca="1" si="5"/>
        <v>0</v>
      </c>
      <c r="N33" s="62"/>
      <c r="O33" s="72">
        <f ca="1">SUM(O2:O32)</f>
        <v>0</v>
      </c>
    </row>
  </sheetData>
  <conditionalFormatting sqref="B2:B32">
    <cfRule type="dataBar" priority="5">
      <dataBar>
        <cfvo type="min"/>
        <cfvo type="max"/>
        <color rgb="FF41A964"/>
      </dataBar>
      <extLst>
        <ext xmlns:x14="http://schemas.microsoft.com/office/spreadsheetml/2009/9/main" uri="{B025F937-C7B1-47D3-B67F-A62EFF666E3E}">
          <x14:id>{9261BB92-DC1E-4356-84B4-6BEB7823CB80}</x14:id>
        </ext>
      </extLst>
    </cfRule>
  </conditionalFormatting>
  <conditionalFormatting sqref="B2 B5:B9 B12:B16 B19:B23 B26:B30">
    <cfRule type="iconSet" priority="4">
      <iconSet iconSet="3Flags">
        <cfvo type="percent" val="0"/>
        <cfvo type="percent" val="33"/>
        <cfvo type="percent" val="67"/>
      </iconSet>
    </cfRule>
  </conditionalFormatting>
  <conditionalFormatting sqref="F2:F32">
    <cfRule type="dataBar" priority="3">
      <dataBar>
        <cfvo type="min"/>
        <cfvo type="max"/>
        <color rgb="FF53BD76"/>
      </dataBar>
      <extLst>
        <ext xmlns:x14="http://schemas.microsoft.com/office/spreadsheetml/2009/9/main" uri="{B025F937-C7B1-47D3-B67F-A62EFF666E3E}">
          <x14:id>{C78B8C26-9835-4292-8478-86F04FB71943}</x14:id>
        </ext>
      </extLst>
    </cfRule>
  </conditionalFormatting>
  <conditionalFormatting sqref="F2 F5:F9 F12:F16 F19:F23 F26:F30">
    <cfRule type="iconSet" priority="2">
      <iconSet iconSet="3Flags">
        <cfvo type="percent" val="0"/>
        <cfvo type="percent" val="33"/>
        <cfvo type="percent" val="67"/>
      </iconSet>
    </cfRule>
  </conditionalFormatting>
  <conditionalFormatting sqref="O2:O32">
    <cfRule type="cellIs" dxfId="12" priority="1" operator="equal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1BB92-DC1E-4356-84B4-6BEB7823CB80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B2:B32</xm:sqref>
        </x14:conditionalFormatting>
        <x14:conditionalFormatting xmlns:xm="http://schemas.microsoft.com/office/excel/2006/main">
          <x14:cfRule type="dataBar" id="{C78B8C26-9835-4292-8478-86F04FB71943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F2:F32</xm:sqref>
        </x14:conditionalFormatting>
      </x14:conditionalFormatting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7030A0"/>
  </sheetPr>
  <dimension ref="A1:P32"/>
  <sheetViews>
    <sheetView showGridLines="0" zoomScaleNormal="10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2.140625" customWidth="1"/>
    <col min="2" max="2" width="14.85546875" bestFit="1" customWidth="1"/>
    <col min="6" max="6" width="13.42578125" customWidth="1"/>
    <col min="13" max="13" width="12.28515625" bestFit="1" customWidth="1"/>
    <col min="14" max="14" width="0.85546875" customWidth="1"/>
    <col min="15" max="15" width="9.140625" style="1"/>
    <col min="16" max="16" width="10.7109375" bestFit="1" customWidth="1"/>
  </cols>
  <sheetData>
    <row r="1" spans="1:16" ht="31.5" customHeight="1" x14ac:dyDescent="0.25">
      <c r="A1" s="58" t="s">
        <v>11</v>
      </c>
      <c r="B1" s="66" t="s">
        <v>41</v>
      </c>
      <c r="C1" s="64" t="s">
        <v>1</v>
      </c>
      <c r="D1" s="64" t="s">
        <v>2</v>
      </c>
      <c r="E1" s="65" t="s">
        <v>3</v>
      </c>
      <c r="F1" s="71" t="s">
        <v>42</v>
      </c>
      <c r="G1" s="84" t="s">
        <v>5</v>
      </c>
      <c r="H1" s="84" t="s">
        <v>2</v>
      </c>
      <c r="I1" s="85" t="s">
        <v>3</v>
      </c>
      <c r="J1" s="63" t="s">
        <v>43</v>
      </c>
      <c r="K1" s="64" t="s">
        <v>44</v>
      </c>
      <c r="L1" s="64" t="s">
        <v>45</v>
      </c>
      <c r="M1" s="65" t="s">
        <v>46</v>
      </c>
      <c r="N1" s="60"/>
      <c r="O1" s="71" t="s">
        <v>10</v>
      </c>
    </row>
    <row r="2" spans="1:16" ht="16.5" x14ac:dyDescent="0.3">
      <c r="A2" s="59">
        <v>43556</v>
      </c>
      <c r="B2" s="74">
        <f ca="1">C2+D2+E2</f>
        <v>0</v>
      </c>
      <c r="C2" s="67">
        <f ca="1">GetFileList("P:\TP et Raccodement\FICHES CREES RACCORDEMENT\1 - RACCOS A SAISIR DANS AX\01-04-2019\*LM RACCO*.pdf")</f>
        <v>0</v>
      </c>
      <c r="D2" s="67">
        <f ca="1">GetFileList("P:\TP et Raccodement\FICHES CREES RACCORDEMENT\1 - RACCOS A SAISIR DANS AX\01-04-2019\*LR RACCO*.pdf")</f>
        <v>0</v>
      </c>
      <c r="E2" s="68">
        <f ca="1">GetFileList("P:\TP et Raccodement\FICHES CREES RACCORDEMENT\1 - RACCOS A SAISIR DANS AX\01-04-2019\*CL RACCO*.pdf")</f>
        <v>0</v>
      </c>
      <c r="F2" s="75">
        <f ca="1">G2+H2+I2</f>
        <v>0</v>
      </c>
      <c r="G2" s="67">
        <f ca="1">GetFileList("P:\TP et Raccodement\FICHES CREES RACCORDEMENT\2 - SAV + COMPL + PASSAGE W XV A SAISIR DANS AX\01-04-2019\*LM PASS*.pdf")</f>
        <v>0</v>
      </c>
      <c r="H2" s="67">
        <f ca="1">GetFileList("P:\TP et Raccodement\FICHES CREES RACCORDEMENT\2 - SAV + COMPL + PASSAGE W XV A SAISIR DANS AX\01-04-2019\*LR PASS*.pdf")</f>
        <v>0</v>
      </c>
      <c r="I2" s="68">
        <f ca="1">GetFileList("P:\TP et Raccodement\FICHES CREES RACCORDEMENT\2 - SAV + COMPL + PASSAGE W XV A SAISIR DANS AX\01-04-2019\*CL PASS*.pdf")</f>
        <v>0</v>
      </c>
      <c r="J2" s="76">
        <f ca="1">GetFileList("P:\TP et Raccodement\FICHES CREES RACCORDEMENT\2 - SAV + COMPL + PASSAGE W XV A SAISIR DANS AX\01-04-2019\*SAV*.pdf")</f>
        <v>0</v>
      </c>
      <c r="K2" s="77">
        <f ca="1">GetFileList("P:\TP et Raccodement\FICHES CREES RACCORDEMENT\2 - SAV + COMPL + PASSAGE W XV A SAISIR DANS AX\01-04-2019\*COMPLEMENT*.pdf")</f>
        <v>0</v>
      </c>
      <c r="L2" s="77">
        <f ca="1">GetFileList("P:\TP et Raccodement\FICHES CREES RACCORDEMENT\2 - SAV + COMPL + PASSAGE W XV A SAISIR DANS AX\01-04-2019\*REPRISE*.pdf")</f>
        <v>0</v>
      </c>
      <c r="M2" s="78">
        <f ca="1">GetFileList("P:\TP et Raccodement\FICHES CREES RACCORDEMENT\2 - SAV + COMPL + PASSAGE W XV A SAISIR DANS AX\01-04-2019\*REMONTAGE*.pdf")</f>
        <v>0</v>
      </c>
      <c r="N2" s="61"/>
      <c r="O2" s="73">
        <f ca="1">B2+F2+J2+K2+L2+M2</f>
        <v>0</v>
      </c>
      <c r="P2" s="54"/>
    </row>
    <row r="3" spans="1:16" ht="16.5" x14ac:dyDescent="0.3">
      <c r="A3" s="59">
        <v>43557</v>
      </c>
      <c r="B3" s="74">
        <f t="shared" ref="B3:B31" ca="1" si="0">C3+D3+E3</f>
        <v>0</v>
      </c>
      <c r="C3" s="67">
        <f ca="1">GetFileList("P:\TP et Raccodement\FICHES CREES RACCORDEMENT\1 - RACCOS A SAISIR DANS AX\02-04-2019\*LM RACCO*.pdf")</f>
        <v>0</v>
      </c>
      <c r="D3" s="67">
        <f ca="1">GetFileList("P:\TP et Raccodement\FICHES CREES RACCORDEMENT\1 - RACCOS A SAISIR DANS AX\02-04-2019\*LR RACCO*.pdf")</f>
        <v>0</v>
      </c>
      <c r="E3" s="68">
        <f ca="1">GetFileList("P:\TP et Raccodement\FICHES CREES RACCORDEMENT\1 - RACCOS A SAISIR DANS AX\02-04-2019\*CL RACCO*.pdf")</f>
        <v>0</v>
      </c>
      <c r="F3" s="75">
        <f ca="1">G3+H3+I3</f>
        <v>0</v>
      </c>
      <c r="G3" s="67">
        <f ca="1">GetFileList("P:\TP et Raccodement\FICHES CREES RACCORDEMENT\2 - SAV + COMPL + PASSAGE W XV A SAISIR DANS AX\02-04-2019\*LM PASS*.pdf")</f>
        <v>0</v>
      </c>
      <c r="H3" s="67">
        <f ca="1">GetFileList("P:\TP et Raccodement\FICHES CREES RACCORDEMENT\2 - SAV + COMPL + PASSAGE W XV A SAISIR DANS AX\02-04-2019\*LR PASS*.pdf")</f>
        <v>0</v>
      </c>
      <c r="I3" s="68">
        <f ca="1">GetFileList("P:\TP et Raccodement\FICHES CREES RACCORDEMENT\2 - SAV + COMPL + PASSAGE W XV A SAISIR DANS AX\02-04-2019\*CL PASS*.pdf")</f>
        <v>0</v>
      </c>
      <c r="J3" s="76">
        <f ca="1">GetFileList("P:\TP et Raccodement\FICHES CREES RACCORDEMENT\2 - SAV + COMPL + PASSAGE W XV A SAISIR DANS AX\02-04-2019\*SAV*.pdf")</f>
        <v>0</v>
      </c>
      <c r="K3" s="77">
        <f ca="1">GetFileList("P:\TP et Raccodement\FICHES CREES RACCORDEMENT\2 - SAV + COMPL + PASSAGE W XV A SAISIR DANS AX\02-04-2019\*COMPLEMENT*.pdf")</f>
        <v>0</v>
      </c>
      <c r="L3" s="77">
        <f ca="1">GetFileList("P:\TP et Raccodement\FICHES CREES RACCORDEMENT\2 - SAV + COMPL + PASSAGE W XV A SAISIR DANS AX\02-04-2019\*REPRISE*.pdf")</f>
        <v>0</v>
      </c>
      <c r="M3" s="78">
        <f ca="1">GetFileList("P:\TP et Raccodement\FICHES CREES RACCORDEMENT\2 - SAV + COMPL + PASSAGE W XV A SAISIR DANS AX\02-04-2019\*REMONTAGE*.pdf")</f>
        <v>0</v>
      </c>
      <c r="N3" s="61"/>
      <c r="O3" s="73">
        <f t="shared" ref="O3:O31" ca="1" si="1">B3+F3+J3+K3+L3+M3</f>
        <v>0</v>
      </c>
    </row>
    <row r="4" spans="1:16" ht="16.5" x14ac:dyDescent="0.3">
      <c r="A4" s="59">
        <v>43558</v>
      </c>
      <c r="B4" s="74">
        <f t="shared" ca="1" si="0"/>
        <v>0</v>
      </c>
      <c r="C4" s="67">
        <f ca="1">GetFileList("P:\TP et Raccodement\FICHES CREES RACCORDEMENT\1 - RACCOS A SAISIR DANS AX\03-04-2019\*LM RACCO*.pdf")</f>
        <v>0</v>
      </c>
      <c r="D4" s="67">
        <f ca="1">GetFileList("P:\TP et Raccodement\FICHES CREES RACCORDEMENT\1 - RACCOS A SAISIR DANS AX\03-04-2019\*LR RACCO*.pdf")</f>
        <v>0</v>
      </c>
      <c r="E4" s="68">
        <f ca="1">GetFileList("P:\TP et Raccodement\FICHES CREES RACCORDEMENT\1 - RACCOS A SAISIR DANS AX\03-04-2019\*CL RACCO*.pdf")</f>
        <v>0</v>
      </c>
      <c r="F4" s="75">
        <f t="shared" ref="F4:F31" ca="1" si="2">G4+H4+I4</f>
        <v>0</v>
      </c>
      <c r="G4" s="67">
        <f ca="1">GetFileList("P:\TP et Raccodement\FICHES CREES RACCORDEMENT\2 - SAV + COMPL + PASSAGE W XV A SAISIR DANS AX\03-04-2019\*LM PASS*.pdf")</f>
        <v>0</v>
      </c>
      <c r="H4" s="67">
        <f ca="1">GetFileList("P:\TP et Raccodement\FICHES CREES RACCORDEMENT\2 - SAV + COMPL + PASSAGE W XV A SAISIR DANS AX\03-04-2019\*LR PASS*.pdf")</f>
        <v>0</v>
      </c>
      <c r="I4" s="68">
        <f ca="1">GetFileList("P:\TP et Raccodement\FICHES CREES RACCORDEMENT\2 - SAV + COMPL + PASSAGE W XV A SAISIR DANS AX\03-04-2019\*CL PASS*.pdf")</f>
        <v>0</v>
      </c>
      <c r="J4" s="76">
        <f ca="1">GetFileList("P:\TP et Raccodement\FICHES CREES RACCORDEMENT\2 - SAV + COMPL + PASSAGE W XV A SAISIR DANS AX\03-04-2019\*SAV*.pdf")</f>
        <v>0</v>
      </c>
      <c r="K4" s="77">
        <f ca="1">GetFileList("P:\TP et Raccodement\FICHES CREES RACCORDEMENT\2 - SAV + COMPL + PASSAGE W XV A SAISIR DANS AX\03-04-2019\*COMPLEMENT*.pdf")</f>
        <v>0</v>
      </c>
      <c r="L4" s="77">
        <f ca="1">GetFileList("P:\TP et Raccodement\FICHES CREES RACCORDEMENT\2 - SAV + COMPL + PASSAGE W XV A SAISIR DANS AX\03-04-2019\*REPRISE*.pdf")</f>
        <v>0</v>
      </c>
      <c r="M4" s="78">
        <f ca="1">GetFileList("P:\TP et Raccodement\FICHES CREES RACCORDEMENT\2 - SAV + COMPL + PASSAGE W XV A SAISIR DANS AX\03-04-2019\*REMONTAGE*.pdf")</f>
        <v>0</v>
      </c>
      <c r="N4" s="61"/>
      <c r="O4" s="73">
        <f t="shared" ca="1" si="1"/>
        <v>0</v>
      </c>
    </row>
    <row r="5" spans="1:16" ht="16.5" x14ac:dyDescent="0.3">
      <c r="A5" s="59">
        <v>43559</v>
      </c>
      <c r="B5" s="74">
        <f t="shared" ca="1" si="0"/>
        <v>0</v>
      </c>
      <c r="C5" s="67">
        <f ca="1">GetFileList("P:\TP et Raccodement\FICHES CREES RACCORDEMENT\1 - RACCOS A SAISIR DANS AX\04-04-2019\*LM RACCO*.pdf")</f>
        <v>0</v>
      </c>
      <c r="D5" s="67">
        <f ca="1">GetFileList("P:\TP et Raccodement\FICHES CREES RACCORDEMENT\1 - RACCOS A SAISIR DANS AX\04-04-2019\*LR RACCO*.pdf")</f>
        <v>0</v>
      </c>
      <c r="E5" s="68">
        <f ca="1">GetFileList("P:\TP et Raccodement\FICHES CREES RACCORDEMENT\1 - RACCOS A SAISIR DANS AX\04-04-2019\*CL RACCO*.pdf")</f>
        <v>0</v>
      </c>
      <c r="F5" s="75">
        <f t="shared" ca="1" si="2"/>
        <v>0</v>
      </c>
      <c r="G5" s="67">
        <f ca="1">GetFileList("P:\TP et Raccodement\FICHES CREES RACCORDEMENT\2 - SAV + COMPL + PASSAGE W XV A SAISIR DANS AX\04-04-2019\*LM PASS*.pdf")</f>
        <v>0</v>
      </c>
      <c r="H5" s="67">
        <f ca="1">GetFileList("P:\TP et Raccodement\FICHES CREES RACCORDEMENT\2 - SAV + COMPL + PASSAGE W XV A SAISIR DANS AX\04-04-2019\*LR PASS*.pdf")</f>
        <v>0</v>
      </c>
      <c r="I5" s="68">
        <f ca="1">GetFileList("P:\TP et Raccodement\FICHES CREES RACCORDEMENT\2 - SAV + COMPL + PASSAGE W XV A SAISIR DANS AX\04-04-2019\*CL PASS*.pdf")</f>
        <v>0</v>
      </c>
      <c r="J5" s="76">
        <f ca="1">GetFileList("P:\TP et Raccodement\FICHES CREES RACCORDEMENT\2 - SAV + COMPL + PASSAGE W XV A SAISIR DANS AX\04-04-2019\*SAV*.pdf")</f>
        <v>0</v>
      </c>
      <c r="K5" s="77">
        <f ca="1">GetFileList("P:\TP et Raccodement\FICHES CREES RACCORDEMENT\2 - SAV + COMPL + PASSAGE W XV A SAISIR DANS AX\04-04-2019\*COMPLEMENT*.pdf")</f>
        <v>0</v>
      </c>
      <c r="L5" s="77">
        <f ca="1">GetFileList("P:\TP et Raccodement\FICHES CREES RACCORDEMENT\2 - SAV + COMPL + PASSAGE W XV A SAISIR DANS AX\04-04-2019\*REPRISE*.pdf")</f>
        <v>0</v>
      </c>
      <c r="M5" s="78">
        <f ca="1">GetFileList("P:\TP et Raccodement\FICHES CREES RACCORDEMENT\2 - SAV + COMPL + PASSAGE W XV A SAISIR DANS AX\04-04-2019\*REMONTAGE*.pdf")</f>
        <v>0</v>
      </c>
      <c r="N5" s="61"/>
      <c r="O5" s="73">
        <f t="shared" ca="1" si="1"/>
        <v>0</v>
      </c>
    </row>
    <row r="6" spans="1:16" ht="16.5" x14ac:dyDescent="0.3">
      <c r="A6" s="59">
        <v>43560</v>
      </c>
      <c r="B6" s="74">
        <f t="shared" ca="1" si="0"/>
        <v>0</v>
      </c>
      <c r="C6" s="67">
        <f ca="1">GetFileList("P:\TP et Raccodement\FICHES CREES RACCORDEMENT\1 - RACCOS A SAISIR DANS AX\05-04-2019\*LM RACCO*.pdf")</f>
        <v>0</v>
      </c>
      <c r="D6" s="67">
        <f ca="1">GetFileList("P:\TP et Raccodement\FICHES CREES RACCORDEMENT\1 - RACCOS A SAISIR DANS AX\05-04-2019\*LR RACCO*.pdf")</f>
        <v>0</v>
      </c>
      <c r="E6" s="68">
        <f ca="1">GetFileList("P:\TP et Raccodement\FICHES CREES RACCORDEMENT\1 - RACCOS A SAISIR DANS AX\05-04-2019\*CL RACCO*.pdf")</f>
        <v>0</v>
      </c>
      <c r="F6" s="75">
        <f t="shared" ca="1" si="2"/>
        <v>0</v>
      </c>
      <c r="G6" s="67">
        <f ca="1">GetFileList("P:\TP et Raccodement\FICHES CREES RACCORDEMENT\2 - SAV + COMPL + PASSAGE W XV A SAISIR DANS AX\05-04-2019\*LM PASS*.pdf")</f>
        <v>0</v>
      </c>
      <c r="H6" s="67">
        <f ca="1">GetFileList("P:\TP et Raccodement\FICHES CREES RACCORDEMENT\2 - SAV + COMPL + PASSAGE W XV A SAISIR DANS AX\05-04-2019\*LR PASS*.pdf")</f>
        <v>0</v>
      </c>
      <c r="I6" s="68">
        <f ca="1">GetFileList("P:\TP et Raccodement\FICHES CREES RACCORDEMENT\2 - SAV + COMPL + PASSAGE W XV A SAISIR DANS AX\05-04-2019\*CL PASS*.pdf")</f>
        <v>0</v>
      </c>
      <c r="J6" s="76">
        <f ca="1">GetFileList("P:\TP et Raccodement\FICHES CREES RACCORDEMENT\2 - SAV + COMPL + PASSAGE W XV A SAISIR DANS AX\05-04-2019\*SAV*.pdf")</f>
        <v>0</v>
      </c>
      <c r="K6" s="77">
        <f ca="1">GetFileList("P:\TP et Raccodement\FICHES CREES RACCORDEMENT\2 - SAV + COMPL + PASSAGE W XV A SAISIR DANS AX\05-04-2019\*COMPLEMENT*.pdf")</f>
        <v>0</v>
      </c>
      <c r="L6" s="77">
        <f ca="1">GetFileList("P:\TP et Raccodement\FICHES CREES RACCORDEMENT\2 - SAV + COMPL + PASSAGE W XV A SAISIR DANS AX\05-04-2019\*REPRISE*.pdf")</f>
        <v>0</v>
      </c>
      <c r="M6" s="78">
        <f ca="1">GetFileList("P:\TP et Raccodement\FICHES CREES RACCORDEMENT\2 - SAV + COMPL + PASSAGE W XV A SAISIR DANS AX\05-04-2019\*REMONTAGE*.pdf")</f>
        <v>0</v>
      </c>
      <c r="N6" s="61"/>
      <c r="O6" s="73">
        <f t="shared" ca="1" si="1"/>
        <v>0</v>
      </c>
    </row>
    <row r="7" spans="1:16" ht="16.5" x14ac:dyDescent="0.3">
      <c r="A7" s="59">
        <v>43561</v>
      </c>
      <c r="B7" s="74">
        <f t="shared" ca="1" si="0"/>
        <v>0</v>
      </c>
      <c r="C7" s="67">
        <f ca="1">GetFileList("P:\TP et Raccodement\FICHES CREES RACCORDEMENT\1 - RACCOS A SAISIR DANS AX\06-04-2019\*LM RACCO*.pdf")</f>
        <v>0</v>
      </c>
      <c r="D7" s="67">
        <f ca="1">GetFileList("P:\TP et Raccodement\FICHES CREES RACCORDEMENT\1 - RACCOS A SAISIR DANS AX\06-04-2019\*LR RACCO*.pdf")</f>
        <v>0</v>
      </c>
      <c r="E7" s="68">
        <f ca="1">GetFileList("P:\TP et Raccodement\FICHES CREES RACCORDEMENT\1 - RACCOS A SAISIR DANS AX\06-04-2019\*CL RACCO*.pdf")</f>
        <v>0</v>
      </c>
      <c r="F7" s="75">
        <f t="shared" ca="1" si="2"/>
        <v>0</v>
      </c>
      <c r="G7" s="67">
        <f ca="1">GetFileList("P:\TP et Raccodement\FICHES CREES RACCORDEMENT\2 - SAV + COMPL + PASSAGE W XV A SAISIR DANS AX\06-04-2019\*LM PASS*.pdf")</f>
        <v>0</v>
      </c>
      <c r="H7" s="67">
        <f ca="1">GetFileList("P:\TP et Raccodement\FICHES CREES RACCORDEMENT\2 - SAV + COMPL + PASSAGE W XV A SAISIR DANS AX\06-04-2019\*LR PASS*.pdf")</f>
        <v>0</v>
      </c>
      <c r="I7" s="68">
        <f ca="1">GetFileList("P:\TP et Raccodement\FICHES CREES RACCORDEMENT\2 - SAV + COMPL + PASSAGE W XV A SAISIR DANS AX\06-04-2019\*CL PASS*.pdf")</f>
        <v>0</v>
      </c>
      <c r="J7" s="76">
        <f ca="1">GetFileList("P:\TP et Raccodement\FICHES CREES RACCORDEMENT\2 - SAV + COMPL + PASSAGE W XV A SAISIR DANS AX\06-04-2019\*SAV*.pdf")</f>
        <v>0</v>
      </c>
      <c r="K7" s="77">
        <f ca="1">GetFileList("P:\TP et Raccodement\FICHES CREES RACCORDEMENT\2 - SAV + COMPL + PASSAGE W XV A SAISIR DANS AX\06-04-2019\*COMPLEMENT*.pdf")</f>
        <v>0</v>
      </c>
      <c r="L7" s="77">
        <f ca="1">GetFileList("P:\TP et Raccodement\FICHES CREES RACCORDEMENT\2 - SAV + COMPL + PASSAGE W XV A SAISIR DANS AX\06-04-2019\*REPRISE*.pdf")</f>
        <v>0</v>
      </c>
      <c r="M7" s="78">
        <f ca="1">GetFileList("P:\TP et Raccodement\FICHES CREES RACCORDEMENT\2 - SAV + COMPL + PASSAGE W XV A SAISIR DANS AX\06-04-2019\*REMONTAGE*.pdf")</f>
        <v>0</v>
      </c>
      <c r="N7" s="61"/>
      <c r="O7" s="73">
        <f t="shared" ca="1" si="1"/>
        <v>0</v>
      </c>
    </row>
    <row r="8" spans="1:16" ht="16.5" x14ac:dyDescent="0.3">
      <c r="A8" s="88">
        <v>43562</v>
      </c>
      <c r="B8" s="89">
        <f t="shared" ca="1" si="0"/>
        <v>0</v>
      </c>
      <c r="C8" s="90">
        <f ca="1">GetFileList("P:\TP et Raccodement\FICHES CREES RACCORDEMENT\1 - RACCOS A SAISIR DANS AX\07-04-2019\*LM RACCO*.pdf")</f>
        <v>0</v>
      </c>
      <c r="D8" s="90">
        <f ca="1">GetFileList("P:\TP et Raccodement\FICHES CREES RACCORDEMENT\1 - RACCOS A SAISIR DANS AX\07-04-2019\*LR RACCO*.pdf")</f>
        <v>0</v>
      </c>
      <c r="E8" s="91">
        <f ca="1">GetFileList("P:\TP et Raccodement\FICHES CREES RACCORDEMENT\1 - RACCOS A SAISIR DANS AX\07-04-2019\*CL RACCO*.pdf")</f>
        <v>0</v>
      </c>
      <c r="F8" s="92">
        <f t="shared" ca="1" si="2"/>
        <v>0</v>
      </c>
      <c r="G8" s="90">
        <f ca="1">GetFileList("P:\TP et Raccodement\FICHES CREES RACCORDEMENT\2 - SAV + COMPL + PASSAGE W XV A SAISIR DANS AX\07-04-2019\*LM PASS*.pdf")</f>
        <v>0</v>
      </c>
      <c r="H8" s="90">
        <f ca="1">GetFileList("P:\TP et Raccodement\FICHES CREES RACCORDEMENT\2 - SAV + COMPL + PASSAGE W XV A SAISIR DANS AX\07-04-2019\*LR PASS*.pdf")</f>
        <v>0</v>
      </c>
      <c r="I8" s="91">
        <f ca="1">GetFileList("P:\TP et Raccodement\FICHES CREES RACCORDEMENT\2 - SAV + COMPL + PASSAGE W XV A SAISIR DANS AX\07-04-2019\*CL PASS*.pdf")</f>
        <v>0</v>
      </c>
      <c r="J8" s="93">
        <f ca="1">GetFileList("P:\TP et Raccodement\FICHES CREES RACCORDEMENT\2 - SAV + COMPL + PASSAGE W XV A SAISIR DANS AX\07-04-2019\*SAV*.pdf")</f>
        <v>0</v>
      </c>
      <c r="K8" s="94">
        <f ca="1">GetFileList("P:\TP et Raccodement\FICHES CREES RACCORDEMENT\2 - SAV + COMPL + PASSAGE W XV A SAISIR DANS AX\07-04-2019\*COMPLEMENT*.pdf")</f>
        <v>0</v>
      </c>
      <c r="L8" s="94">
        <f ca="1">GetFileList("P:\TP et Raccodement\FICHES CREES RACCORDEMENT\2 - SAV + COMPL + PASSAGE W XV A SAISIR DANS AX\07-04-2019\*REPRISE*.pdf")</f>
        <v>0</v>
      </c>
      <c r="M8" s="95">
        <f ca="1">GetFileList("P:\TP et Raccodement\FICHES CREES RACCORDEMENT\2 - SAV + COMPL + PASSAGE W XV A SAISIR DANS AX\07-04-2019\*REMONTAGE*.pdf")</f>
        <v>0</v>
      </c>
      <c r="N8" s="61"/>
      <c r="O8" s="73">
        <f t="shared" ca="1" si="1"/>
        <v>0</v>
      </c>
    </row>
    <row r="9" spans="1:16" ht="16.5" x14ac:dyDescent="0.3">
      <c r="A9" s="59">
        <v>43563</v>
      </c>
      <c r="B9" s="74">
        <f t="shared" ca="1" si="0"/>
        <v>0</v>
      </c>
      <c r="C9" s="67">
        <f ca="1">GetFileList("P:\TP et Raccodement\FICHES CREES RACCORDEMENT\1 - RACCOS A SAISIR DANS AX\08-04-2019\*LM RACCO*.pdf")</f>
        <v>0</v>
      </c>
      <c r="D9" s="67">
        <f ca="1">GetFileList("P:\TP et Raccodement\FICHES CREES RACCORDEMENT\1 - RACCOS A SAISIR DANS AX\08-04-2019\*LR RACCO*.pdf")</f>
        <v>0</v>
      </c>
      <c r="E9" s="68">
        <f ca="1">GetFileList("P:\TP et Raccodement\FICHES CREES RACCORDEMENT\1 - RACCOS A SAISIR DANS AX\08-04-2019\*CL RACCO*.pdf")</f>
        <v>0</v>
      </c>
      <c r="F9" s="75">
        <f t="shared" ca="1" si="2"/>
        <v>0</v>
      </c>
      <c r="G9" s="67">
        <f ca="1">GetFileList("P:\TP et Raccodement\FICHES CREES RACCORDEMENT\2 - SAV + COMPL + PASSAGE W XV A SAISIR DANS AX\08-04-2019\*LM PASS*.pdf")</f>
        <v>0</v>
      </c>
      <c r="H9" s="67">
        <f ca="1">GetFileList("P:\TP et Raccodement\FICHES CREES RACCORDEMENT\2 - SAV + COMPL + PASSAGE W XV A SAISIR DANS AX\08-04-2019\*LR PASS*.pdf")</f>
        <v>0</v>
      </c>
      <c r="I9" s="68">
        <f ca="1">GetFileList("P:\TP et Raccodement\FICHES CREES RACCORDEMENT\2 - SAV + COMPL + PASSAGE W XV A SAISIR DANS AX\08-04-2019\*CL PASS*.pdf")</f>
        <v>0</v>
      </c>
      <c r="J9" s="76">
        <f ca="1">GetFileList("P:\TP et Raccodement\FICHES CREES RACCORDEMENT\2 - SAV + COMPL + PASSAGE W XV A SAISIR DANS AX\08-04-2019\*SAV*.pdf")</f>
        <v>0</v>
      </c>
      <c r="K9" s="77">
        <f ca="1">GetFileList("P:\TP et Raccodement\FICHES CREES RACCORDEMENT\2 - SAV + COMPL + PASSAGE W XV A SAISIR DANS AX\08-04-2019\*COMPLEMENT*.pdf")</f>
        <v>0</v>
      </c>
      <c r="L9" s="77">
        <f ca="1">GetFileList("P:\TP et Raccodement\FICHES CREES RACCORDEMENT\2 - SAV + COMPL + PASSAGE W XV A SAISIR DANS AX\08-04-2019\*REPRISE*.pdf")</f>
        <v>0</v>
      </c>
      <c r="M9" s="78">
        <f ca="1">GetFileList("P:\TP et Raccodement\FICHES CREES RACCORDEMENT\2 - SAV + COMPL + PASSAGE W XV A SAISIR DANS AX\08-04-2019\*REMONTAGE*.pdf")</f>
        <v>0</v>
      </c>
      <c r="N9" s="61"/>
      <c r="O9" s="73">
        <f t="shared" ca="1" si="1"/>
        <v>0</v>
      </c>
    </row>
    <row r="10" spans="1:16" ht="16.5" x14ac:dyDescent="0.3">
      <c r="A10" s="59">
        <v>43564</v>
      </c>
      <c r="B10" s="74">
        <f t="shared" ca="1" si="0"/>
        <v>0</v>
      </c>
      <c r="C10" s="67">
        <f ca="1">GetFileList("P:\TP et Raccodement\FICHES CREES RACCORDEMENT\1 - RACCOS A SAISIR DANS AX\09-04-2019\*LM RACCO*.pdf")</f>
        <v>0</v>
      </c>
      <c r="D10" s="67">
        <f ca="1">GetFileList("P:\TP et Raccodement\FICHES CREES RACCORDEMENT\1 - RACCOS A SAISIR DANS AX\09-04-2019\*LR RACCO*.pdf")</f>
        <v>0</v>
      </c>
      <c r="E10" s="68">
        <f ca="1">GetFileList("P:\TP et Raccodement\FICHES CREES RACCORDEMENT\1 - RACCOS A SAISIR DANS AX\09-04-2019\*CL RACCO*.pdf")</f>
        <v>0</v>
      </c>
      <c r="F10" s="75">
        <f t="shared" ca="1" si="2"/>
        <v>0</v>
      </c>
      <c r="G10" s="67">
        <f ca="1">GetFileList("P:\TP et Raccodement\FICHES CREES RACCORDEMENT\2 - SAV + COMPL + PASSAGE W XV A SAISIR DANS AX\09-04-2019\*LM PASS*.pdf")</f>
        <v>0</v>
      </c>
      <c r="H10" s="67">
        <f ca="1">GetFileList("P:\TP et Raccodement\FICHES CREES RACCORDEMENT\2 - SAV + COMPL + PASSAGE W XV A SAISIR DANS AX\09-04-2019\*LR PASS*.pdf")</f>
        <v>0</v>
      </c>
      <c r="I10" s="68">
        <f ca="1">GetFileList("P:\TP et Raccodement\FICHES CREES RACCORDEMENT\2 - SAV + COMPL + PASSAGE W XV A SAISIR DANS AX\09-04-2019\*CL PASS*.pdf")</f>
        <v>0</v>
      </c>
      <c r="J10" s="76">
        <f ca="1">GetFileList("P:\TP et Raccodement\FICHES CREES RACCORDEMENT\2 - SAV + COMPL + PASSAGE W XV A SAISIR DANS AX\09-04-2019\*SAV*.pdf")</f>
        <v>0</v>
      </c>
      <c r="K10" s="77">
        <f ca="1">GetFileList("P:\TP et Raccodement\FICHES CREES RACCORDEMENT\2 - SAV + COMPL + PASSAGE W XV A SAISIR DANS AX\09-04-2019\*COMPLEMENT*.pdf")</f>
        <v>0</v>
      </c>
      <c r="L10" s="77">
        <f ca="1">GetFileList("P:\TP et Raccodement\FICHES CREES RACCORDEMENT\2 - SAV + COMPL + PASSAGE W XV A SAISIR DANS AX\09-04-2019\*REPRISE*.pdf")</f>
        <v>0</v>
      </c>
      <c r="M10" s="78">
        <f ca="1">GetFileList("P:\TP et Raccodement\FICHES CREES RACCORDEMENT\2 - SAV + COMPL + PASSAGE W XV A SAISIR DANS AX\09-04-2019\*REMONTAGE*.pdf")</f>
        <v>0</v>
      </c>
      <c r="N10" s="61"/>
      <c r="O10" s="73">
        <f t="shared" ca="1" si="1"/>
        <v>0</v>
      </c>
    </row>
    <row r="11" spans="1:16" ht="16.5" x14ac:dyDescent="0.3">
      <c r="A11" s="59">
        <v>43565</v>
      </c>
      <c r="B11" s="74">
        <f t="shared" ca="1" si="0"/>
        <v>0</v>
      </c>
      <c r="C11" s="67">
        <f ca="1">GetFileList("P:\TP et Raccodement\FICHES CREES RACCORDEMENT\1 - RACCOS A SAISIR DANS AX\10-04-2019\*LM RACCO*.pdf")</f>
        <v>0</v>
      </c>
      <c r="D11" s="67">
        <f ca="1">GetFileList("P:\TP et Raccodement\FICHES CREES RACCORDEMENT\1 - RACCOS A SAISIR DANS AX\10-04-2019\*LR RACCO*.pdf")</f>
        <v>0</v>
      </c>
      <c r="E11" s="68">
        <f ca="1">GetFileList("P:\TP et Raccodement\FICHES CREES RACCORDEMENT\1 - RACCOS A SAISIR DANS AX\10-04-2019\*CL RACCO*.pdf")</f>
        <v>0</v>
      </c>
      <c r="F11" s="75">
        <f t="shared" ca="1" si="2"/>
        <v>0</v>
      </c>
      <c r="G11" s="67">
        <f ca="1">GetFileList("P:\TP et Raccodement\FICHES CREES RACCORDEMENT\2 - SAV + COMPL + PASSAGE W XV A SAISIR DANS AX\10-04-2019\*LM PASS*.pdf")</f>
        <v>0</v>
      </c>
      <c r="H11" s="67">
        <f ca="1">GetFileList("P:\TP et Raccodement\FICHES CREES RACCORDEMENT\2 - SAV + COMPL + PASSAGE W XV A SAISIR DANS AX\10-04-2019\*LR PASS*.pdf")</f>
        <v>0</v>
      </c>
      <c r="I11" s="68">
        <f ca="1">GetFileList("P:\TP et Raccodement\FICHES CREES RACCORDEMENT\2 - SAV + COMPL + PASSAGE W XV A SAISIR DANS AX\10-04-2019\*CL PASS*.pdf")</f>
        <v>0</v>
      </c>
      <c r="J11" s="76">
        <f ca="1">GetFileList("P:\TP et Raccodement\FICHES CREES RACCORDEMENT\2 - SAV + COMPL + PASSAGE W XV A SAISIR DANS AX\10-04-2019\*SAV*.pdf")</f>
        <v>0</v>
      </c>
      <c r="K11" s="77">
        <f ca="1">GetFileList("P:\TP et Raccodement\FICHES CREES RACCORDEMENT\2 - SAV + COMPL + PASSAGE W XV A SAISIR DANS AX\10-04-2019\*COMPLEMENT*.pdf")</f>
        <v>0</v>
      </c>
      <c r="L11" s="77">
        <f ca="1">GetFileList("P:\TP et Raccodement\FICHES CREES RACCORDEMENT\2 - SAV + COMPL + PASSAGE W XV A SAISIR DANS AX\10-04-2019\*REPRISE*.pdf")</f>
        <v>0</v>
      </c>
      <c r="M11" s="78">
        <f ca="1">GetFileList("P:\TP et Raccodement\FICHES CREES RACCORDEMENT\2 - SAV + COMPL + PASSAGE W XV A SAISIR DANS AX\10-04-2019\*REMONTAGE*.pdf")</f>
        <v>0</v>
      </c>
      <c r="N11" s="61"/>
      <c r="O11" s="73">
        <f t="shared" ca="1" si="1"/>
        <v>0</v>
      </c>
    </row>
    <row r="12" spans="1:16" ht="16.5" x14ac:dyDescent="0.3">
      <c r="A12" s="59">
        <v>43566</v>
      </c>
      <c r="B12" s="74">
        <f t="shared" ca="1" si="0"/>
        <v>0</v>
      </c>
      <c r="C12" s="67">
        <f ca="1">GetFileList("P:\TP et Raccodement\FICHES CREES RACCORDEMENT\1 - RACCOS A SAISIR DANS AX\11-04-2019\*LM RACCO*.pdf")</f>
        <v>0</v>
      </c>
      <c r="D12" s="67">
        <f ca="1">GetFileList("P:\TP et Raccodement\FICHES CREES RACCORDEMENT\1 - RACCOS A SAISIR DANS AX\11-04-2019\*LR RACCO*.pdf")</f>
        <v>0</v>
      </c>
      <c r="E12" s="68">
        <f ca="1">GetFileList("P:\TP et Raccodement\FICHES CREES RACCORDEMENT\1 - RACCOS A SAISIR DANS AX\11-04-2019\*CL RACCO*.pdf")</f>
        <v>0</v>
      </c>
      <c r="F12" s="75">
        <f t="shared" ca="1" si="2"/>
        <v>0</v>
      </c>
      <c r="G12" s="67">
        <f ca="1">GetFileList("P:\TP et Raccodement\FICHES CREES RACCORDEMENT\2 - SAV + COMPL + PASSAGE W XV A SAISIR DANS AX\11-04-2019\*LM PASS*.pdf")</f>
        <v>0</v>
      </c>
      <c r="H12" s="67">
        <f ca="1">GetFileList("P:\TP et Raccodement\FICHES CREES RACCORDEMENT\2 - SAV + COMPL + PASSAGE W XV A SAISIR DANS AX\11-04-2019\*LR PASS*.pdf")</f>
        <v>0</v>
      </c>
      <c r="I12" s="68">
        <f ca="1">GetFileList("P:\TP et Raccodement\FICHES CREES RACCORDEMENT\2 - SAV + COMPL + PASSAGE W XV A SAISIR DANS AX\11-04-2019\*CL PASS*.pdf")</f>
        <v>0</v>
      </c>
      <c r="J12" s="76">
        <f ca="1">GetFileList("P:\TP et Raccodement\FICHES CREES RACCORDEMENT\2 - SAV + COMPL + PASSAGE W XV A SAISIR DANS AX\11-04-2019\*SAV*.pdf")</f>
        <v>0</v>
      </c>
      <c r="K12" s="77">
        <f ca="1">GetFileList("P:\TP et Raccodement\FICHES CREES RACCORDEMENT\2 - SAV + COMPL + PASSAGE W XV A SAISIR DANS AX\11-04-2019\*COMPLEMENT*.pdf")</f>
        <v>0</v>
      </c>
      <c r="L12" s="77">
        <f ca="1">GetFileList("P:\TP et Raccodement\FICHES CREES RACCORDEMENT\2 - SAV + COMPL + PASSAGE W XV A SAISIR DANS AX\11-04-2019\*REPRISE*.pdf")</f>
        <v>0</v>
      </c>
      <c r="M12" s="78">
        <f ca="1">GetFileList("P:\TP et Raccodement\FICHES CREES RACCORDEMENT\2 - SAV + COMPL + PASSAGE W XV A SAISIR DANS AX\11-04-2019\*REMONTAGE*.pdf")</f>
        <v>0</v>
      </c>
      <c r="N12" s="61"/>
      <c r="O12" s="73">
        <f t="shared" ca="1" si="1"/>
        <v>0</v>
      </c>
    </row>
    <row r="13" spans="1:16" ht="16.5" x14ac:dyDescent="0.3">
      <c r="A13" s="59">
        <v>43567</v>
      </c>
      <c r="B13" s="74">
        <f t="shared" ca="1" si="0"/>
        <v>0</v>
      </c>
      <c r="C13" s="67">
        <f ca="1">GetFileList("P:\TP et Raccodement\FICHES CREES RACCORDEMENT\1 - RACCOS A SAISIR DANS AX\12-04-2019\*LM RACCO*.pdf")</f>
        <v>0</v>
      </c>
      <c r="D13" s="67">
        <f ca="1">GetFileList("P:\TP et Raccodement\FICHES CREES RACCORDEMENT\1 - RACCOS A SAISIR DANS AX\12-04-2019\*LR RACCO*.pdf")</f>
        <v>0</v>
      </c>
      <c r="E13" s="68">
        <f ca="1">GetFileList("P:\TP et Raccodement\FICHES CREES RACCORDEMENT\1 - RACCOS A SAISIR DANS AX\12-04-2019\*CL RACCO*.pdf")</f>
        <v>0</v>
      </c>
      <c r="F13" s="75">
        <f t="shared" ca="1" si="2"/>
        <v>0</v>
      </c>
      <c r="G13" s="67">
        <f ca="1">GetFileList("P:\TP et Raccodement\FICHES CREES RACCORDEMENT\2 - SAV + COMPL + PASSAGE W XV A SAISIR DANS AX\12-04-2019\*LM PASS*.pdf")</f>
        <v>0</v>
      </c>
      <c r="H13" s="67">
        <f ca="1">GetFileList("P:\TP et Raccodement\FICHES CREES RACCORDEMENT\2 - SAV + COMPL + PASSAGE W XV A SAISIR DANS AX\12-04-2019\*LR PASS*.pdf")</f>
        <v>0</v>
      </c>
      <c r="I13" s="68">
        <f ca="1">GetFileList("P:\TP et Raccodement\FICHES CREES RACCORDEMENT\2 - SAV + COMPL + PASSAGE W XV A SAISIR DANS AX\12-04-2019\*CL PASS*.pdf")</f>
        <v>0</v>
      </c>
      <c r="J13" s="76">
        <f ca="1">GetFileList("P:\TP et Raccodement\FICHES CREES RACCORDEMENT\2 - SAV + COMPL + PASSAGE W XV A SAISIR DANS AX\12-04-2019\*SAV*.pdf")</f>
        <v>0</v>
      </c>
      <c r="K13" s="77">
        <f ca="1">GetFileList("P:\TP et Raccodement\FICHES CREES RACCORDEMENT\2 - SAV + COMPL + PASSAGE W XV A SAISIR DANS AX\12-04-2019\*COMPLEMENT*.pdf")</f>
        <v>0</v>
      </c>
      <c r="L13" s="77">
        <f ca="1">GetFileList("P:\TP et Raccodement\FICHES CREES RACCORDEMENT\2 - SAV + COMPL + PASSAGE W XV A SAISIR DANS AX\12-04-2019\*REPRISE*.pdf")</f>
        <v>0</v>
      </c>
      <c r="M13" s="78">
        <f ca="1">GetFileList("P:\TP et Raccodement\FICHES CREES RACCORDEMENT\2 - SAV + COMPL + PASSAGE W XV A SAISIR DANS AX\12-04-2019\*REMONTAGE*.pdf")</f>
        <v>0</v>
      </c>
      <c r="N13" s="61"/>
      <c r="O13" s="73">
        <f t="shared" ca="1" si="1"/>
        <v>0</v>
      </c>
    </row>
    <row r="14" spans="1:16" ht="16.5" x14ac:dyDescent="0.3">
      <c r="A14" s="59">
        <v>43568</v>
      </c>
      <c r="B14" s="74">
        <f t="shared" ca="1" si="0"/>
        <v>0</v>
      </c>
      <c r="C14" s="67">
        <f ca="1">GetFileList("P:\TP et Raccodement\FICHES CREES RACCORDEMENT\1 - RACCOS A SAISIR DANS AX\13-04-2019\*LM RACCO*.pdf")</f>
        <v>0</v>
      </c>
      <c r="D14" s="67">
        <f ca="1">GetFileList("P:\TP et Raccodement\FICHES CREES RACCORDEMENT\1 - RACCOS A SAISIR DANS AX\13-04-2019\*LR RACCO*.pdf")</f>
        <v>0</v>
      </c>
      <c r="E14" s="68">
        <f ca="1">GetFileList("P:\TP et Raccodement\FICHES CREES RACCORDEMENT\1 - RACCOS A SAISIR DANS AX\13-04-2019\*CL RACCO*.pdf")</f>
        <v>0</v>
      </c>
      <c r="F14" s="75">
        <f t="shared" ca="1" si="2"/>
        <v>0</v>
      </c>
      <c r="G14" s="67">
        <f ca="1">GetFileList("P:\TP et Raccodement\FICHES CREES RACCORDEMENT\2 - SAV + COMPL + PASSAGE W XV A SAISIR DANS AX\13-04-2019\*LM PASS*.pdf")</f>
        <v>0</v>
      </c>
      <c r="H14" s="67">
        <f ca="1">GetFileList("P:\TP et Raccodement\FICHES CREES RACCORDEMENT\2 - SAV + COMPL + PASSAGE W XV A SAISIR DANS AX\13-04-2019\*LR PASS*.pdf")</f>
        <v>0</v>
      </c>
      <c r="I14" s="68">
        <f ca="1">GetFileList("P:\TP et Raccodement\FICHES CREES RACCORDEMENT\2 - SAV + COMPL + PASSAGE W XV A SAISIR DANS AX\13-04-2019\*CL PASS*.pdf")</f>
        <v>0</v>
      </c>
      <c r="J14" s="76">
        <f ca="1">GetFileList("P:\TP et Raccodement\FICHES CREES RACCORDEMENT\2 - SAV + COMPL + PASSAGE W XV A SAISIR DANS AX\13-04-2019\*SAV*.pdf")</f>
        <v>0</v>
      </c>
      <c r="K14" s="77">
        <f ca="1">GetFileList("P:\TP et Raccodement\FICHES CREES RACCORDEMENT\2 - SAV + COMPL + PASSAGE W XV A SAISIR DANS AX\13-04-2019\*COMPLEMENT*.pdf")</f>
        <v>0</v>
      </c>
      <c r="L14" s="77">
        <f ca="1">GetFileList("P:\TP et Raccodement\FICHES CREES RACCORDEMENT\2 - SAV + COMPL + PASSAGE W XV A SAISIR DANS AX\13-04-2019\*REPRISE*.pdf")</f>
        <v>0</v>
      </c>
      <c r="M14" s="78">
        <f ca="1">GetFileList("P:\TP et Raccodement\FICHES CREES RACCORDEMENT\2 - SAV + COMPL + PASSAGE W XV A SAISIR DANS AX\13-04-2019\*REMONTAGE*.pdf")</f>
        <v>0</v>
      </c>
      <c r="N14" s="61"/>
      <c r="O14" s="73">
        <f t="shared" ca="1" si="1"/>
        <v>0</v>
      </c>
    </row>
    <row r="15" spans="1:16" ht="16.5" x14ac:dyDescent="0.3">
      <c r="A15" s="88">
        <v>43569</v>
      </c>
      <c r="B15" s="89">
        <f t="shared" ca="1" si="0"/>
        <v>0</v>
      </c>
      <c r="C15" s="90">
        <f ca="1">GetFileList("P:\TP et Raccodement\FICHES CREES RACCORDEMENT\1 - RACCOS A SAISIR DANS AX\14-04-2019\*LM RACCO*.pdf")</f>
        <v>0</v>
      </c>
      <c r="D15" s="90">
        <f ca="1">GetFileList("P:\TP et Raccodement\FICHES CREES RACCORDEMENT\1 - RACCOS A SAISIR DANS AX\14-04-2019\*LR RACCO*.pdf")</f>
        <v>0</v>
      </c>
      <c r="E15" s="91">
        <f ca="1">GetFileList("P:\TP et Raccodement\FICHES CREES RACCORDEMENT\1 - RACCOS A SAISIR DANS AX\14-04-2019\*CL RACCO*.pdf")</f>
        <v>0</v>
      </c>
      <c r="F15" s="92">
        <f t="shared" ca="1" si="2"/>
        <v>0</v>
      </c>
      <c r="G15" s="90">
        <f ca="1">GetFileList("P:\TP et Raccodement\FICHES CREES RACCORDEMENT\2 - SAV + COMPL + PASSAGE W XV A SAISIR DANS AX\14-04-2019\*LM PASS*.pdf")</f>
        <v>0</v>
      </c>
      <c r="H15" s="90">
        <f ca="1">GetFileList("P:\TP et Raccodement\FICHES CREES RACCORDEMENT\2 - SAV + COMPL + PASSAGE W XV A SAISIR DANS AX\14-04-2019\*LR PASS*.pdf")</f>
        <v>0</v>
      </c>
      <c r="I15" s="91">
        <f ca="1">GetFileList("P:\TP et Raccodement\FICHES CREES RACCORDEMENT\2 - SAV + COMPL + PASSAGE W XV A SAISIR DANS AX\14-04-2019\*CL PASS*.pdf")</f>
        <v>0</v>
      </c>
      <c r="J15" s="93">
        <f ca="1">GetFileList("P:\TP et Raccodement\FICHES CREES RACCORDEMENT\2 - SAV + COMPL + PASSAGE W XV A SAISIR DANS AX\14-04-2019\*SAV*.pdf")</f>
        <v>0</v>
      </c>
      <c r="K15" s="94">
        <f ca="1">GetFileList("P:\TP et Raccodement\FICHES CREES RACCORDEMENT\2 - SAV + COMPL + PASSAGE W XV A SAISIR DANS AX\14-04-2019\*COMPLEMENT*.pdf")</f>
        <v>0</v>
      </c>
      <c r="L15" s="94">
        <f ca="1">GetFileList("P:\TP et Raccodement\FICHES CREES RACCORDEMENT\2 - SAV + COMPL + PASSAGE W XV A SAISIR DANS AX\14-04-2019\*REPRISE*.pdf")</f>
        <v>0</v>
      </c>
      <c r="M15" s="95">
        <f ca="1">GetFileList("P:\TP et Raccodement\FICHES CREES RACCORDEMENT\2 - SAV + COMPL + PASSAGE W XV A SAISIR DANS AX\14-04-2019\*REMONTAGE*.pdf")</f>
        <v>0</v>
      </c>
      <c r="N15" s="61"/>
      <c r="O15" s="73">
        <f t="shared" ca="1" si="1"/>
        <v>0</v>
      </c>
    </row>
    <row r="16" spans="1:16" ht="16.5" x14ac:dyDescent="0.3">
      <c r="A16" s="59">
        <v>43570</v>
      </c>
      <c r="B16" s="74">
        <f t="shared" ca="1" si="0"/>
        <v>0</v>
      </c>
      <c r="C16" s="67">
        <f ca="1">GetFileList("P:\TP et Raccodement\FICHES CREES RACCORDEMENT\1 - RACCOS A SAISIR DANS AX\15-04-2019\*LM RACCO*.pdf")</f>
        <v>0</v>
      </c>
      <c r="D16" s="67">
        <f ca="1">GetFileList("P:\TP et Raccodement\FICHES CREES RACCORDEMENT\1 - RACCOS A SAISIR DANS AX\15-04-2019\*LR RACCO*.pdf")</f>
        <v>0</v>
      </c>
      <c r="E16" s="68">
        <f ca="1">GetFileList("P:\TP et Raccodement\FICHES CREES RACCORDEMENT\1 - RACCOS A SAISIR DANS AX\15-04-2019\*CL RACCO*.pdf")</f>
        <v>0</v>
      </c>
      <c r="F16" s="75">
        <f t="shared" ca="1" si="2"/>
        <v>0</v>
      </c>
      <c r="G16" s="67">
        <f ca="1">GetFileList("P:\TP et Raccodement\FICHES CREES RACCORDEMENT\2 - SAV + COMPL + PASSAGE W XV A SAISIR DANS AX\15-04-2019\*LM PASS*.pdf")</f>
        <v>0</v>
      </c>
      <c r="H16" s="67">
        <f ca="1">GetFileList("P:\TP et Raccodement\FICHES CREES RACCORDEMENT\2 - SAV + COMPL + PASSAGE W XV A SAISIR DANS AX\15-04-2019\*LR PASS*.pdf")</f>
        <v>0</v>
      </c>
      <c r="I16" s="68">
        <f ca="1">GetFileList("P:\TP et Raccodement\FICHES CREES RACCORDEMENT\2 - SAV + COMPL + PASSAGE W XV A SAISIR DANS AX\15-04-2019\*CL PASS*.pdf")</f>
        <v>0</v>
      </c>
      <c r="J16" s="76">
        <f ca="1">GetFileList("P:\TP et Raccodement\FICHES CREES RACCORDEMENT\2 - SAV + COMPL + PASSAGE W XV A SAISIR DANS AX\15-04-2019\*SAV*.pdf")</f>
        <v>0</v>
      </c>
      <c r="K16" s="77">
        <f ca="1">GetFileList("P:\TP et Raccodement\FICHES CREES RACCORDEMENT\2 - SAV + COMPL + PASSAGE W XV A SAISIR DANS AX\15-04-2019\*COMPLEMENT*.pdf")</f>
        <v>0</v>
      </c>
      <c r="L16" s="77">
        <f ca="1">GetFileList("P:\TP et Raccodement\FICHES CREES RACCORDEMENT\2 - SAV + COMPL + PASSAGE W XV A SAISIR DANS AX\15-04-2019\*REPRISE*.pdf")</f>
        <v>0</v>
      </c>
      <c r="M16" s="78">
        <f ca="1">GetFileList("P:\TP et Raccodement\FICHES CREES RACCORDEMENT\2 - SAV + COMPL + PASSAGE W XV A SAISIR DANS AX\15-04-2019\*REMONTAGE*.pdf")</f>
        <v>0</v>
      </c>
      <c r="N16" s="61"/>
      <c r="O16" s="73">
        <f t="shared" ca="1" si="1"/>
        <v>0</v>
      </c>
    </row>
    <row r="17" spans="1:15" ht="16.5" x14ac:dyDescent="0.3">
      <c r="A17" s="59">
        <v>43571</v>
      </c>
      <c r="B17" s="74">
        <f t="shared" ca="1" si="0"/>
        <v>0</v>
      </c>
      <c r="C17" s="67">
        <f ca="1">GetFileList("P:\TP et Raccodement\FICHES CREES RACCORDEMENT\1 - RACCOS A SAISIR DANS AX\16-04-2019\*LM RACCO*.pdf")</f>
        <v>0</v>
      </c>
      <c r="D17" s="67">
        <f ca="1">GetFileList("P:\TP et Raccodement\FICHES CREES RACCORDEMENT\1 - RACCOS A SAISIR DANS AX\16-04-2019\*LR RACCO*.pdf")</f>
        <v>0</v>
      </c>
      <c r="E17" s="68">
        <f ca="1">GetFileList("P:\TP et Raccodement\FICHES CREES RACCORDEMENT\1 - RACCOS A SAISIR DANS AX\16-04-2019\*CL RACCO*.pdf")</f>
        <v>0</v>
      </c>
      <c r="F17" s="75">
        <f t="shared" ca="1" si="2"/>
        <v>0</v>
      </c>
      <c r="G17" s="67">
        <f ca="1">GetFileList("P:\TP et Raccodement\FICHES CREES RACCORDEMENT\2 - SAV + COMPL + PASSAGE W XV A SAISIR DANS AX\16-04-2019\*LM PASS*.pdf")</f>
        <v>0</v>
      </c>
      <c r="H17" s="67">
        <f ca="1">GetFileList("P:\TP et Raccodement\FICHES CREES RACCORDEMENT\2 - SAV + COMPL + PASSAGE W XV A SAISIR DANS AX\16-04-2019\*LR PASS*.pdf")</f>
        <v>0</v>
      </c>
      <c r="I17" s="68">
        <f ca="1">GetFileList("P:\TP et Raccodement\FICHES CREES RACCORDEMENT\2 - SAV + COMPL + PASSAGE W XV A SAISIR DANS AX\16-04-2019\*CL PASS*.pdf")</f>
        <v>0</v>
      </c>
      <c r="J17" s="76">
        <f ca="1">GetFileList("P:\TP et Raccodement\FICHES CREES RACCORDEMENT\2 - SAV + COMPL + PASSAGE W XV A SAISIR DANS AX\16-04-2019\*SAV*.pdf")</f>
        <v>0</v>
      </c>
      <c r="K17" s="77">
        <f ca="1">GetFileList("P:\TP et Raccodement\FICHES CREES RACCORDEMENT\2 - SAV + COMPL + PASSAGE W XV A SAISIR DANS AX\16-04-2019\*COMPLEMENT*.pdf")</f>
        <v>0</v>
      </c>
      <c r="L17" s="77">
        <f ca="1">GetFileList("P:\TP et Raccodement\FICHES CREES RACCORDEMENT\2 - SAV + COMPL + PASSAGE W XV A SAISIR DANS AX\16-04-2019\*REPRISE*.pdf")</f>
        <v>0</v>
      </c>
      <c r="M17" s="78">
        <f ca="1">GetFileList("P:\TP et Raccodement\FICHES CREES RACCORDEMENT\2 - SAV + COMPL + PASSAGE W XV A SAISIR DANS AX\16-04-2019\*REMONTAGE*.pdf")</f>
        <v>0</v>
      </c>
      <c r="N17" s="61"/>
      <c r="O17" s="73">
        <f t="shared" ca="1" si="1"/>
        <v>0</v>
      </c>
    </row>
    <row r="18" spans="1:15" ht="16.5" x14ac:dyDescent="0.3">
      <c r="A18" s="59">
        <v>43572</v>
      </c>
      <c r="B18" s="74">
        <f t="shared" ca="1" si="0"/>
        <v>0</v>
      </c>
      <c r="C18" s="67">
        <f ca="1">GetFileList("P:\TP et Raccodement\FICHES CREES RACCORDEMENT\1 - RACCOS A SAISIR DANS AX\17-04-2019\*LM RACCO*.pdf")</f>
        <v>0</v>
      </c>
      <c r="D18" s="67">
        <f ca="1">GetFileList("P:\TP et Raccodement\FICHES CREES RACCORDEMENT\1 - RACCOS A SAISIR DANS AX\17-04-2019\*LR RACCO*.pdf")</f>
        <v>0</v>
      </c>
      <c r="E18" s="68">
        <f ca="1">GetFileList("P:\TP et Raccodement\FICHES CREES RACCORDEMENT\1 - RACCOS A SAISIR DANS AX\17-04-2019\*CL RACCO*.pdf")</f>
        <v>0</v>
      </c>
      <c r="F18" s="75">
        <f t="shared" ca="1" si="2"/>
        <v>0</v>
      </c>
      <c r="G18" s="67">
        <f ca="1">GetFileList("P:\TP et Raccodement\FICHES CREES RACCORDEMENT\2 - SAV + COMPL + PASSAGE W XV A SAISIR DANS AX\17-04-2019\*LM PASS*.pdf")</f>
        <v>0</v>
      </c>
      <c r="H18" s="67">
        <f ca="1">GetFileList("P:\TP et Raccodement\FICHES CREES RACCORDEMENT\2 - SAV + COMPL + PASSAGE W XV A SAISIR DANS AX\17-04-2019\*LR PASS*.pdf")</f>
        <v>0</v>
      </c>
      <c r="I18" s="68">
        <f ca="1">GetFileList("P:\TP et Raccodement\FICHES CREES RACCORDEMENT\2 - SAV + COMPL + PASSAGE W XV A SAISIR DANS AX\17-04-2019\*CL PASS*.pdf")</f>
        <v>0</v>
      </c>
      <c r="J18" s="76">
        <f ca="1">GetFileList("P:\TP et Raccodement\FICHES CREES RACCORDEMENT\2 - SAV + COMPL + PASSAGE W XV A SAISIR DANS AX\17-04-2019\*SAV*.pdf")</f>
        <v>0</v>
      </c>
      <c r="K18" s="77">
        <f ca="1">GetFileList("P:\TP et Raccodement\FICHES CREES RACCORDEMENT\2 - SAV + COMPL + PASSAGE W XV A SAISIR DANS AX\17-04-2019\*COMPLEMENT*.pdf")</f>
        <v>0</v>
      </c>
      <c r="L18" s="77">
        <f ca="1">GetFileList("P:\TP et Raccodement\FICHES CREES RACCORDEMENT\2 - SAV + COMPL + PASSAGE W XV A SAISIR DANS AX\17-04-2019\*REPRISE*.pdf")</f>
        <v>0</v>
      </c>
      <c r="M18" s="78">
        <f ca="1">GetFileList("P:\TP et Raccodement\FICHES CREES RACCORDEMENT\2 - SAV + COMPL + PASSAGE W XV A SAISIR DANS AX\17-04-2019\*REMONTAGE*.pdf")</f>
        <v>0</v>
      </c>
      <c r="N18" s="61"/>
      <c r="O18" s="73">
        <f t="shared" ca="1" si="1"/>
        <v>0</v>
      </c>
    </row>
    <row r="19" spans="1:15" ht="16.5" x14ac:dyDescent="0.3">
      <c r="A19" s="59">
        <v>43573</v>
      </c>
      <c r="B19" s="74">
        <f t="shared" ca="1" si="0"/>
        <v>0</v>
      </c>
      <c r="C19" s="67">
        <f ca="1">GetFileList("P:\TP et Raccodement\FICHES CREES RACCORDEMENT\1 - RACCOS A SAISIR DANS AX\18-04-2019\*LM RACCO*.pdf")</f>
        <v>0</v>
      </c>
      <c r="D19" s="67">
        <f ca="1">GetFileList("P:\TP et Raccodement\FICHES CREES RACCORDEMENT\1 - RACCOS A SAISIR DANS AX\18-04-2019\*LR RACCO*.pdf")</f>
        <v>0</v>
      </c>
      <c r="E19" s="68">
        <f ca="1">GetFileList("P:\TP et Raccodement\FICHES CREES RACCORDEMENT\1 - RACCOS A SAISIR DANS AX\18-04-2019\*CL RACCO*.pdf")</f>
        <v>0</v>
      </c>
      <c r="F19" s="75">
        <f t="shared" ca="1" si="2"/>
        <v>0</v>
      </c>
      <c r="G19" s="67">
        <f ca="1">GetFileList("P:\TP et Raccodement\FICHES CREES RACCORDEMENT\2 - SAV + COMPL + PASSAGE W XV A SAISIR DANS AX\18-04-2019\*LM PASS*.pdf")</f>
        <v>0</v>
      </c>
      <c r="H19" s="67">
        <f ca="1">GetFileList("P:\TP et Raccodement\FICHES CREES RACCORDEMENT\2 - SAV + COMPL + PASSAGE W XV A SAISIR DANS AX\18-04-2019\*LR PASS*.pdf")</f>
        <v>0</v>
      </c>
      <c r="I19" s="68">
        <f ca="1">GetFileList("P:\TP et Raccodement\FICHES CREES RACCORDEMENT\2 - SAV + COMPL + PASSAGE W XV A SAISIR DANS AX\18-04-2019\*CL PASS*.pdf")</f>
        <v>0</v>
      </c>
      <c r="J19" s="76">
        <f ca="1">GetFileList("P:\TP et Raccodement\FICHES CREES RACCORDEMENT\2 - SAV + COMPL + PASSAGE W XV A SAISIR DANS AX\18-04-2019\*SAV*.pdf")</f>
        <v>0</v>
      </c>
      <c r="K19" s="77">
        <f ca="1">GetFileList("P:\TP et Raccodement\FICHES CREES RACCORDEMENT\2 - SAV + COMPL + PASSAGE W XV A SAISIR DANS AX\18-04-2019\*COMPLEMENT*.pdf")</f>
        <v>0</v>
      </c>
      <c r="L19" s="77">
        <f ca="1">GetFileList("P:\TP et Raccodement\FICHES CREES RACCORDEMENT\2 - SAV + COMPL + PASSAGE W XV A SAISIR DANS AX\18-04-2019\*REPRISE*.pdf")</f>
        <v>0</v>
      </c>
      <c r="M19" s="78">
        <f ca="1">GetFileList("P:\TP et Raccodement\FICHES CREES RACCORDEMENT\2 - SAV + COMPL + PASSAGE W XV A SAISIR DANS AX\18-04-2019\*REMONTAGE*.pdf")</f>
        <v>0</v>
      </c>
      <c r="N19" s="61"/>
      <c r="O19" s="73">
        <f t="shared" ca="1" si="1"/>
        <v>0</v>
      </c>
    </row>
    <row r="20" spans="1:15" ht="16.5" x14ac:dyDescent="0.3">
      <c r="A20" s="59">
        <v>43574</v>
      </c>
      <c r="B20" s="74">
        <f t="shared" ca="1" si="0"/>
        <v>0</v>
      </c>
      <c r="C20" s="67">
        <f ca="1">GetFileList("P:\TP et Raccodement\FICHES CREES RACCORDEMENT\1 - RACCOS A SAISIR DANS AX\19-04-2019\*LM RACCO*.pdf")</f>
        <v>0</v>
      </c>
      <c r="D20" s="67">
        <f ca="1">GetFileList("P:\TP et Raccodement\FICHES CREES RACCORDEMENT\1 - RACCOS A SAISIR DANS AX\19-04-2019\*LR RACCO*.pdf")</f>
        <v>0</v>
      </c>
      <c r="E20" s="68">
        <f ca="1">GetFileList("P:\TP et Raccodement\FICHES CREES RACCORDEMENT\1 - RACCOS A SAISIR DANS AX\19-04-2019\*CL RACCO*.pdf")</f>
        <v>0</v>
      </c>
      <c r="F20" s="75">
        <f t="shared" ca="1" si="2"/>
        <v>0</v>
      </c>
      <c r="G20" s="67">
        <f ca="1">GetFileList("P:\TP et Raccodement\FICHES CREES RACCORDEMENT\2 - SAV + COMPL + PASSAGE W XV A SAISIR DANS AX\19-04-2019\*LM PASS*.pdf")</f>
        <v>0</v>
      </c>
      <c r="H20" s="67">
        <f ca="1">GetFileList("P:\TP et Raccodement\FICHES CREES RACCORDEMENT\2 - SAV + COMPL + PASSAGE W XV A SAISIR DANS AX\19-04-2019\*LR PASS*.pdf")</f>
        <v>0</v>
      </c>
      <c r="I20" s="68">
        <f ca="1">GetFileList("P:\TP et Raccodement\FICHES CREES RACCORDEMENT\2 - SAV + COMPL + PASSAGE W XV A SAISIR DANS AX\19-04-2019\*CL PASS*.pdf")</f>
        <v>0</v>
      </c>
      <c r="J20" s="76">
        <f ca="1">GetFileList("P:\TP et Raccodement\FICHES CREES RACCORDEMENT\2 - SAV + COMPL + PASSAGE W XV A SAISIR DANS AX\19-04-2019\*SAV*.pdf")</f>
        <v>0</v>
      </c>
      <c r="K20" s="77">
        <f ca="1">GetFileList("P:\TP et Raccodement\FICHES CREES RACCORDEMENT\2 - SAV + COMPL + PASSAGE W XV A SAISIR DANS AX\19-04-2019\*COMPLEMENT*.pdf")</f>
        <v>0</v>
      </c>
      <c r="L20" s="77">
        <f ca="1">GetFileList("P:\TP et Raccodement\FICHES CREES RACCORDEMENT\2 - SAV + COMPL + PASSAGE W XV A SAISIR DANS AX\19-04-2019\*REPRISE*.pdf")</f>
        <v>0</v>
      </c>
      <c r="M20" s="78">
        <f ca="1">GetFileList("P:\TP et Raccodement\FICHES CREES RACCORDEMENT\2 - SAV + COMPL + PASSAGE W XV A SAISIR DANS AX\19-04-2019\*REMONTAGE*.pdf")</f>
        <v>0</v>
      </c>
      <c r="N20" s="61"/>
      <c r="O20" s="73">
        <f t="shared" ca="1" si="1"/>
        <v>0</v>
      </c>
    </row>
    <row r="21" spans="1:15" ht="16.5" x14ac:dyDescent="0.3">
      <c r="A21" s="59">
        <v>43575</v>
      </c>
      <c r="B21" s="74">
        <f t="shared" ca="1" si="0"/>
        <v>0</v>
      </c>
      <c r="C21" s="67">
        <f ca="1">GetFileList("P:\TP et Raccodement\FICHES CREES RACCORDEMENT\1 - RACCOS A SAISIR DANS AX\20-04-2019\*LM RACCO*.pdf")</f>
        <v>0</v>
      </c>
      <c r="D21" s="67">
        <f ca="1">GetFileList("P:\TP et Raccodement\FICHES CREES RACCORDEMENT\1 - RACCOS A SAISIR DANS AX\20-04-2019\*LR RACCO*.pdf")</f>
        <v>0</v>
      </c>
      <c r="E21" s="68">
        <f ca="1">GetFileList("P:\TP et Raccodement\FICHES CREES RACCORDEMENT\1 - RACCOS A SAISIR DANS AX\20-04-2019\*CL RACCO*.pdf")</f>
        <v>0</v>
      </c>
      <c r="F21" s="75">
        <f t="shared" ca="1" si="2"/>
        <v>0</v>
      </c>
      <c r="G21" s="67">
        <f ca="1">GetFileList("P:\TP et Raccodement\FICHES CREES RACCORDEMENT\2 - SAV + COMPL + PASSAGE W XV A SAISIR DANS AX\20-04-2019\*LM PASS*.pdf")</f>
        <v>0</v>
      </c>
      <c r="H21" s="67">
        <f ca="1">GetFileList("P:\TP et Raccodement\FICHES CREES RACCORDEMENT\2 - SAV + COMPL + PASSAGE W XV A SAISIR DANS AX\20-04-2019\*LR PASS*.pdf")</f>
        <v>0</v>
      </c>
      <c r="I21" s="68">
        <f ca="1">GetFileList("P:\TP et Raccodement\FICHES CREES RACCORDEMENT\2 - SAV + COMPL + PASSAGE W XV A SAISIR DANS AX\20-04-2019\*CL PASS*.pdf")</f>
        <v>0</v>
      </c>
      <c r="J21" s="76">
        <f ca="1">GetFileList("P:\TP et Raccodement\FICHES CREES RACCORDEMENT\2 - SAV + COMPL + PASSAGE W XV A SAISIR DANS AX\20-04-2019\*SAV*.pdf")</f>
        <v>0</v>
      </c>
      <c r="K21" s="77">
        <f ca="1">GetFileList("P:\TP et Raccodement\FICHES CREES RACCORDEMENT\2 - SAV + COMPL + PASSAGE W XV A SAISIR DANS AX\20-04-2019\*COMPLEMENT*.pdf")</f>
        <v>0</v>
      </c>
      <c r="L21" s="77">
        <f ca="1">GetFileList("P:\TP et Raccodement\FICHES CREES RACCORDEMENT\2 - SAV + COMPL + PASSAGE W XV A SAISIR DANS AX\20-04-2019\*REPRISE*.pdf")</f>
        <v>0</v>
      </c>
      <c r="M21" s="78">
        <f ca="1">GetFileList("P:\TP et Raccodement\FICHES CREES RACCORDEMENT\2 - SAV + COMPL + PASSAGE W XV A SAISIR DANS AX\20-04-2019\*REMONTAGE*.pdf")</f>
        <v>0</v>
      </c>
      <c r="N21" s="61"/>
      <c r="O21" s="73">
        <f t="shared" ca="1" si="1"/>
        <v>0</v>
      </c>
    </row>
    <row r="22" spans="1:15" ht="16.5" x14ac:dyDescent="0.3">
      <c r="A22" s="88">
        <v>43576</v>
      </c>
      <c r="B22" s="89">
        <f t="shared" ca="1" si="0"/>
        <v>0</v>
      </c>
      <c r="C22" s="90">
        <f ca="1">GetFileList("P:\TP et Raccodement\FICHES CREES RACCORDEMENT\1 - RACCOS A SAISIR DANS AX\21-04-2019\*LM RACCO*.pdf")</f>
        <v>0</v>
      </c>
      <c r="D22" s="90">
        <f ca="1">GetFileList("P:\TP et Raccodement\FICHES CREES RACCORDEMENT\1 - RACCOS A SAISIR DANS AX\21-04-2019\*LR RACCO*.pdf")</f>
        <v>0</v>
      </c>
      <c r="E22" s="91">
        <f ca="1">GetFileList("P:\TP et Raccodement\FICHES CREES RACCORDEMENT\1 - RACCOS A SAISIR DANS AX\21-04-2019\*CL RACCO*.pdf")</f>
        <v>0</v>
      </c>
      <c r="F22" s="92">
        <f t="shared" ca="1" si="2"/>
        <v>0</v>
      </c>
      <c r="G22" s="90">
        <f ca="1">GetFileList("P:\TP et Raccodement\FICHES CREES RACCORDEMENT\2 - SAV + COMPL + PASSAGE W XV A SAISIR DANS AX\21-04-2019\*LM PASS*.pdf")</f>
        <v>0</v>
      </c>
      <c r="H22" s="90">
        <f ca="1">GetFileList("P:\TP et Raccodement\FICHES CREES RACCORDEMENT\2 - SAV + COMPL + PASSAGE W XV A SAISIR DANS AX\21-04-2019\*LR PASS*.pdf")</f>
        <v>0</v>
      </c>
      <c r="I22" s="91">
        <f ca="1">GetFileList("P:\TP et Raccodement\FICHES CREES RACCORDEMENT\2 - SAV + COMPL + PASSAGE W XV A SAISIR DANS AX\21-04-2019\*CL PASS*.pdf")</f>
        <v>0</v>
      </c>
      <c r="J22" s="93">
        <f ca="1">GetFileList("P:\TP et Raccodement\FICHES CREES RACCORDEMENT\2 - SAV + COMPL + PASSAGE W XV A SAISIR DANS AX\21-04-2019\*SAV*.pdf")</f>
        <v>0</v>
      </c>
      <c r="K22" s="94">
        <f ca="1">GetFileList("P:\TP et Raccodement\FICHES CREES RACCORDEMENT\2 - SAV + COMPL + PASSAGE W XV A SAISIR DANS AX\21-04-2019\*COMPLEMENT*.pdf")</f>
        <v>0</v>
      </c>
      <c r="L22" s="94">
        <f ca="1">GetFileList("P:\TP et Raccodement\FICHES CREES RACCORDEMENT\2 - SAV + COMPL + PASSAGE W XV A SAISIR DANS AX\21-04-2019\*REPRISE*.pdf")</f>
        <v>0</v>
      </c>
      <c r="M22" s="95">
        <f ca="1">GetFileList("P:\TP et Raccodement\FICHES CREES RACCORDEMENT\2 - SAV + COMPL + PASSAGE W XV A SAISIR DANS AX\21-04-2019\*REMONTAGE*.pdf")</f>
        <v>0</v>
      </c>
      <c r="N22" s="61"/>
      <c r="O22" s="73">
        <f t="shared" ca="1" si="1"/>
        <v>0</v>
      </c>
    </row>
    <row r="23" spans="1:15" ht="16.5" x14ac:dyDescent="0.3">
      <c r="A23" s="88">
        <v>43577</v>
      </c>
      <c r="B23" s="89">
        <f t="shared" ca="1" si="0"/>
        <v>0</v>
      </c>
      <c r="C23" s="90">
        <f ca="1">GetFileList("P:\TP et Raccodement\FICHES CREES RACCORDEMENT\1 - RACCOS A SAISIR DANS AX\22-04-2019\*LM RACCO*.pdf")</f>
        <v>0</v>
      </c>
      <c r="D23" s="90">
        <f ca="1">GetFileList("P:\TP et Raccodement\FICHES CREES RACCORDEMENT\1 - RACCOS A SAISIR DANS AX\22-04-2019\*LR RACCO*.pdf")</f>
        <v>0</v>
      </c>
      <c r="E23" s="91">
        <f ca="1">GetFileList("P:\TP et Raccodement\FICHES CREES RACCORDEMENT\1 - RACCOS A SAISIR DANS AX\22-04-2019\*CL RACCO*.pdf")</f>
        <v>0</v>
      </c>
      <c r="F23" s="92">
        <f t="shared" ca="1" si="2"/>
        <v>0</v>
      </c>
      <c r="G23" s="90">
        <f ca="1">GetFileList("P:\TP et Raccodement\FICHES CREES RACCORDEMENT\2 - SAV + COMPL + PASSAGE W XV A SAISIR DANS AX\22-04-2019\*LM PASS*.pdf")</f>
        <v>0</v>
      </c>
      <c r="H23" s="90">
        <f ca="1">GetFileList("P:\TP et Raccodement\FICHES CREES RACCORDEMENT\2 - SAV + COMPL + PASSAGE W XV A SAISIR DANS AX\22-04-2019\*LR PASS*.pdf")</f>
        <v>0</v>
      </c>
      <c r="I23" s="91">
        <f ca="1">GetFileList("P:\TP et Raccodement\FICHES CREES RACCORDEMENT\2 - SAV + COMPL + PASSAGE W XV A SAISIR DANS AX\22-04-2019\*CL PASS*.pdf")</f>
        <v>0</v>
      </c>
      <c r="J23" s="93">
        <f ca="1">GetFileList("P:\TP et Raccodement\FICHES CREES RACCORDEMENT\2 - SAV + COMPL + PASSAGE W XV A SAISIR DANS AX\22-04-2019\*SAV*.pdf")</f>
        <v>0</v>
      </c>
      <c r="K23" s="94">
        <f ca="1">GetFileList("P:\TP et Raccodement\FICHES CREES RACCORDEMENT\2 - SAV + COMPL + PASSAGE W XV A SAISIR DANS AX\22-04-2019\*COMPLEMENT*.pdf")</f>
        <v>0</v>
      </c>
      <c r="L23" s="94">
        <f ca="1">GetFileList("P:\TP et Raccodement\FICHES CREES RACCORDEMENT\2 - SAV + COMPL + PASSAGE W XV A SAISIR DANS AX\22-04-2019\*REPRISE*.pdf")</f>
        <v>0</v>
      </c>
      <c r="M23" s="95">
        <f ca="1">GetFileList("P:\TP et Raccodement\FICHES CREES RACCORDEMENT\2 - SAV + COMPL + PASSAGE W XV A SAISIR DANS AX\22-04-2019\*REMONTAGE*.pdf")</f>
        <v>0</v>
      </c>
      <c r="N23" s="61"/>
      <c r="O23" s="73">
        <f t="shared" ca="1" si="1"/>
        <v>0</v>
      </c>
    </row>
    <row r="24" spans="1:15" ht="16.5" x14ac:dyDescent="0.3">
      <c r="A24" s="59">
        <v>43578</v>
      </c>
      <c r="B24" s="74">
        <f t="shared" ca="1" si="0"/>
        <v>0</v>
      </c>
      <c r="C24" s="67">
        <f ca="1">GetFileList("P:\TP et Raccodement\FICHES CREES RACCORDEMENT\1 - RACCOS A SAISIR DANS AX\23-04-2019\*LM RACCO*.pdf")</f>
        <v>0</v>
      </c>
      <c r="D24" s="67">
        <f ca="1">GetFileList("P:\TP et Raccodement\FICHES CREES RACCORDEMENT\1 - RACCOS A SAISIR DANS AX\23-04-2019\*LR RACCO*.pdf")</f>
        <v>0</v>
      </c>
      <c r="E24" s="68">
        <f ca="1">GetFileList("P:\TP et Raccodement\FICHES CREES RACCORDEMENT\1 - RACCOS A SAISIR DANS AX\23-04-2019\*CL RACCO*.pdf")</f>
        <v>0</v>
      </c>
      <c r="F24" s="75">
        <f t="shared" ca="1" si="2"/>
        <v>0</v>
      </c>
      <c r="G24" s="67">
        <f ca="1">GetFileList("P:\TP et Raccodement\FICHES CREES RACCORDEMENT\2 - SAV + COMPL + PASSAGE W XV A SAISIR DANS AX\23-04-2019\*LM PASS*.pdf")</f>
        <v>0</v>
      </c>
      <c r="H24" s="67">
        <f ca="1">GetFileList("P:\TP et Raccodement\FICHES CREES RACCORDEMENT\2 - SAV + COMPL + PASSAGE W XV A SAISIR DANS AX\23-04-2019\*LR PASS*.pdf")</f>
        <v>0</v>
      </c>
      <c r="I24" s="68">
        <f ca="1">GetFileList("P:\TP et Raccodement\FICHES CREES RACCORDEMENT\2 - SAV + COMPL + PASSAGE W XV A SAISIR DANS AX\23-04-2019\*CL PASS*.pdf")</f>
        <v>0</v>
      </c>
      <c r="J24" s="76">
        <f ca="1">GetFileList("P:\TP et Raccodement\FICHES CREES RACCORDEMENT\2 - SAV + COMPL + PASSAGE W XV A SAISIR DANS AX\23-04-2019\*SAV*.pdf")</f>
        <v>0</v>
      </c>
      <c r="K24" s="77">
        <f ca="1">GetFileList("P:\TP et Raccodement\FICHES CREES RACCORDEMENT\2 - SAV + COMPL + PASSAGE W XV A SAISIR DANS AX\23-04-2019\*COMPLEMENT*.pdf")</f>
        <v>0</v>
      </c>
      <c r="L24" s="77">
        <f ca="1">GetFileList("P:\TP et Raccodement\FICHES CREES RACCORDEMENT\2 - SAV + COMPL + PASSAGE W XV A SAISIR DANS AX\23-04-2019\*REPRISE*.pdf")</f>
        <v>0</v>
      </c>
      <c r="M24" s="78">
        <f ca="1">GetFileList("P:\TP et Raccodement\FICHES CREES RACCORDEMENT\2 - SAV + COMPL + PASSAGE W XV A SAISIR DANS AX\23-04-2019\*REMONTAGE*.pdf")</f>
        <v>0</v>
      </c>
      <c r="N24" s="61"/>
      <c r="O24" s="73">
        <f t="shared" ca="1" si="1"/>
        <v>0</v>
      </c>
    </row>
    <row r="25" spans="1:15" ht="16.5" x14ac:dyDescent="0.3">
      <c r="A25" s="59">
        <v>43579</v>
      </c>
      <c r="B25" s="74">
        <f t="shared" ca="1" si="0"/>
        <v>0</v>
      </c>
      <c r="C25" s="67">
        <f ca="1">GetFileList("P:\TP et Raccodement\FICHES CREES RACCORDEMENT\1 - RACCOS A SAISIR DANS AX\24-04-2019\*LM RACCO*.pdf")</f>
        <v>0</v>
      </c>
      <c r="D25" s="67">
        <f ca="1">GetFileList("P:\TP et Raccodement\FICHES CREES RACCORDEMENT\1 - RACCOS A SAISIR DANS AX\24-04-2019\*LR RACCO*.pdf")</f>
        <v>0</v>
      </c>
      <c r="E25" s="68">
        <f ca="1">GetFileList("P:\TP et Raccodement\FICHES CREES RACCORDEMENT\1 - RACCOS A SAISIR DANS AX\24-04-2019\*CL RACCO*.pdf")</f>
        <v>0</v>
      </c>
      <c r="F25" s="75">
        <f t="shared" ca="1" si="2"/>
        <v>0</v>
      </c>
      <c r="G25" s="67">
        <f ca="1">GetFileList("P:\TP et Raccodement\FICHES CREES RACCORDEMENT\2 - SAV + COMPL + PASSAGE W XV A SAISIR DANS AX\24-04-2019\*LM PASS*.pdf")</f>
        <v>0</v>
      </c>
      <c r="H25" s="67">
        <f ca="1">GetFileList("P:\TP et Raccodement\FICHES CREES RACCORDEMENT\2 - SAV + COMPL + PASSAGE W XV A SAISIR DANS AX\24-04-2019\*LR PASS*.pdf")</f>
        <v>0</v>
      </c>
      <c r="I25" s="68">
        <f ca="1">GetFileList("P:\TP et Raccodement\FICHES CREES RACCORDEMENT\2 - SAV + COMPL + PASSAGE W XV A SAISIR DANS AX\24-04-2019\*CL PASS*.pdf")</f>
        <v>0</v>
      </c>
      <c r="J25" s="76">
        <f ca="1">GetFileList("P:\TP et Raccodement\FICHES CREES RACCORDEMENT\2 - SAV + COMPL + PASSAGE W XV A SAISIR DANS AX\24-04-2019\*SAV*.pdf")</f>
        <v>0</v>
      </c>
      <c r="K25" s="77">
        <f ca="1">GetFileList("P:\TP et Raccodement\FICHES CREES RACCORDEMENT\2 - SAV + COMPL + PASSAGE W XV A SAISIR DANS AX\24-04-2019\*COMPLEMENT*.pdf")</f>
        <v>0</v>
      </c>
      <c r="L25" s="77">
        <f ca="1">GetFileList("P:\TP et Raccodement\FICHES CREES RACCORDEMENT\2 - SAV + COMPL + PASSAGE W XV A SAISIR DANS AX\24-04-2019\*REPRISE*.pdf")</f>
        <v>0</v>
      </c>
      <c r="M25" s="78">
        <f ca="1">GetFileList("P:\TP et Raccodement\FICHES CREES RACCORDEMENT\2 - SAV + COMPL + PASSAGE W XV A SAISIR DANS AX\24-04-2019\*REMONTAGE*.pdf")</f>
        <v>0</v>
      </c>
      <c r="N25" s="61"/>
      <c r="O25" s="73">
        <f t="shared" ca="1" si="1"/>
        <v>0</v>
      </c>
    </row>
    <row r="26" spans="1:15" ht="16.5" x14ac:dyDescent="0.3">
      <c r="A26" s="59">
        <v>43580</v>
      </c>
      <c r="B26" s="74">
        <f t="shared" ca="1" si="0"/>
        <v>0</v>
      </c>
      <c r="C26" s="67">
        <f ca="1">GetFileList("P:\TP et Raccodement\FICHES CREES RACCORDEMENT\1 - RACCOS A SAISIR DANS AX\25-04-2019\*LM RACCO*.pdf")</f>
        <v>0</v>
      </c>
      <c r="D26" s="67">
        <f ca="1">GetFileList("P:\TP et Raccodement\FICHES CREES RACCORDEMENT\1 - RACCOS A SAISIR DANS AX\25-04-2019\*LR RACCO*.pdf")</f>
        <v>0</v>
      </c>
      <c r="E26" s="68">
        <f ca="1">GetFileList("P:\TP et Raccodement\FICHES CREES RACCORDEMENT\1 - RACCOS A SAISIR DANS AX\25-04-2019\*CL RACCO*.pdf")</f>
        <v>0</v>
      </c>
      <c r="F26" s="75">
        <f t="shared" ca="1" si="2"/>
        <v>0</v>
      </c>
      <c r="G26" s="67">
        <f ca="1">GetFileList("P:\TP et Raccodement\FICHES CREES RACCORDEMENT\2 - SAV + COMPL + PASSAGE W XV A SAISIR DANS AX\25-04-2019\*LM PASS*.pdf")</f>
        <v>0</v>
      </c>
      <c r="H26" s="67">
        <f ca="1">GetFileList("P:\TP et Raccodement\FICHES CREES RACCORDEMENT\2 - SAV + COMPL + PASSAGE W XV A SAISIR DANS AX\25-04-2019\*LR PASS*.pdf")</f>
        <v>0</v>
      </c>
      <c r="I26" s="68">
        <f ca="1">GetFileList("P:\TP et Raccodement\FICHES CREES RACCORDEMENT\2 - SAV + COMPL + PASSAGE W XV A SAISIR DANS AX\25-04-2019\*CL PASS*.pdf")</f>
        <v>0</v>
      </c>
      <c r="J26" s="76">
        <f ca="1">GetFileList("P:\TP et Raccodement\FICHES CREES RACCORDEMENT\2 - SAV + COMPL + PASSAGE W XV A SAISIR DANS AX\25-04-2019\*SAV*.pdf")</f>
        <v>0</v>
      </c>
      <c r="K26" s="77">
        <f ca="1">GetFileList("P:\TP et Raccodement\FICHES CREES RACCORDEMENT\2 - SAV + COMPL + PASSAGE W XV A SAISIR DANS AX\25-04-2019\*COMPLEMENT*.pdf")</f>
        <v>0</v>
      </c>
      <c r="L26" s="77">
        <f ca="1">GetFileList("P:\TP et Raccodement\FICHES CREES RACCORDEMENT\2 - SAV + COMPL + PASSAGE W XV A SAISIR DANS AX\25-04-2019\*REPRISE*.pdf")</f>
        <v>0</v>
      </c>
      <c r="M26" s="78">
        <f ca="1">GetFileList("P:\TP et Raccodement\FICHES CREES RACCORDEMENT\2 - SAV + COMPL + PASSAGE W XV A SAISIR DANS AX\25-04-2019\*REMONTAGE*.pdf")</f>
        <v>0</v>
      </c>
      <c r="N26" s="61"/>
      <c r="O26" s="73">
        <f t="shared" ca="1" si="1"/>
        <v>0</v>
      </c>
    </row>
    <row r="27" spans="1:15" ht="16.5" x14ac:dyDescent="0.3">
      <c r="A27" s="59">
        <v>43581</v>
      </c>
      <c r="B27" s="74">
        <f t="shared" ca="1" si="0"/>
        <v>0</v>
      </c>
      <c r="C27" s="67">
        <f ca="1">GetFileList("P:\TP et Raccodement\FICHES CREES RACCORDEMENT\1 - RACCOS A SAISIR DANS AX\26-04-2019\*LM RACCO*.pdf")</f>
        <v>0</v>
      </c>
      <c r="D27" s="67">
        <f ca="1">GetFileList("P:\TP et Raccodement\FICHES CREES RACCORDEMENT\1 - RACCOS A SAISIR DANS AX\26-04-2019\*LR RACCO*.pdf")</f>
        <v>0</v>
      </c>
      <c r="E27" s="68">
        <f ca="1">GetFileList("P:\TP et Raccodement\FICHES CREES RACCORDEMENT\1 - RACCOS A SAISIR DANS AX\26-04-2019\*CL RACCO*.pdf")</f>
        <v>0</v>
      </c>
      <c r="F27" s="75">
        <f t="shared" ca="1" si="2"/>
        <v>0</v>
      </c>
      <c r="G27" s="67">
        <f ca="1">GetFileList("P:\TP et Raccodement\FICHES CREES RACCORDEMENT\2 - SAV + COMPL + PASSAGE W XV A SAISIR DANS AX\26-04-2019\*LM PASS*.pdf")</f>
        <v>0</v>
      </c>
      <c r="H27" s="67">
        <f ca="1">GetFileList("P:\TP et Raccodement\FICHES CREES RACCORDEMENT\2 - SAV + COMPL + PASSAGE W XV A SAISIR DANS AX\26-04-2019\*LR PASS*.pdf")</f>
        <v>0</v>
      </c>
      <c r="I27" s="68">
        <f ca="1">GetFileList("P:\TP et Raccodement\FICHES CREES RACCORDEMENT\2 - SAV + COMPL + PASSAGE W XV A SAISIR DANS AX\26-04-2019\*CL PASS*.pdf")</f>
        <v>0</v>
      </c>
      <c r="J27" s="76">
        <f ca="1">GetFileList("P:\TP et Raccodement\FICHES CREES RACCORDEMENT\2 - SAV + COMPL + PASSAGE W XV A SAISIR DANS AX\26-04-2019\*SAV*.pdf")</f>
        <v>0</v>
      </c>
      <c r="K27" s="77">
        <f ca="1">GetFileList("P:\TP et Raccodement\FICHES CREES RACCORDEMENT\2 - SAV + COMPL + PASSAGE W XV A SAISIR DANS AX\26-04-2019\*COMPLEMENT*.pdf")</f>
        <v>0</v>
      </c>
      <c r="L27" s="77">
        <f ca="1">GetFileList("P:\TP et Raccodement\FICHES CREES RACCORDEMENT\2 - SAV + COMPL + PASSAGE W XV A SAISIR DANS AX\26-04-2019\*REPRISE*.pdf")</f>
        <v>0</v>
      </c>
      <c r="M27" s="78">
        <f ca="1">GetFileList("P:\TP et Raccodement\FICHES CREES RACCORDEMENT\2 - SAV + COMPL + PASSAGE W XV A SAISIR DANS AX\26-04-2019\*REMONTAGE*.pdf")</f>
        <v>0</v>
      </c>
      <c r="N27" s="61"/>
      <c r="O27" s="73">
        <f t="shared" ca="1" si="1"/>
        <v>0</v>
      </c>
    </row>
    <row r="28" spans="1:15" ht="16.5" x14ac:dyDescent="0.3">
      <c r="A28" s="59">
        <v>43582</v>
      </c>
      <c r="B28" s="74">
        <f t="shared" ca="1" si="0"/>
        <v>0</v>
      </c>
      <c r="C28" s="67">
        <f ca="1">GetFileList("P:\TP et Raccodement\FICHES CREES RACCORDEMENT\1 - RACCOS A SAISIR DANS AX\27-04-2019\*LM RACCO*.pdf")</f>
        <v>0</v>
      </c>
      <c r="D28" s="67">
        <f ca="1">GetFileList("P:\TP et Raccodement\FICHES CREES RACCORDEMENT\1 - RACCOS A SAISIR DANS AX\27-04-2019\*LR RACCO*.pdf")</f>
        <v>0</v>
      </c>
      <c r="E28" s="68">
        <f ca="1">GetFileList("P:\TP et Raccodement\FICHES CREES RACCORDEMENT\1 - RACCOS A SAISIR DANS AX\27-04-2019\*CL RACCO*.pdf")</f>
        <v>0</v>
      </c>
      <c r="F28" s="75">
        <f t="shared" ca="1" si="2"/>
        <v>0</v>
      </c>
      <c r="G28" s="67">
        <f ca="1">GetFileList("P:\TP et Raccodement\FICHES CREES RACCORDEMENT\2 - SAV + COMPL + PASSAGE W XV A SAISIR DANS AX\27-04-2019\*LM PASS*.pdf")</f>
        <v>0</v>
      </c>
      <c r="H28" s="67">
        <f ca="1">GetFileList("P:\TP et Raccodement\FICHES CREES RACCORDEMENT\2 - SAV + COMPL + PASSAGE W XV A SAISIR DANS AX\27-04-2019\*LR PASS*.pdf")</f>
        <v>0</v>
      </c>
      <c r="I28" s="68">
        <f ca="1">GetFileList("P:\TP et Raccodement\FICHES CREES RACCORDEMENT\2 - SAV + COMPL + PASSAGE W XV A SAISIR DANS AX\27-04-2019\*CL PASS*.pdf")</f>
        <v>0</v>
      </c>
      <c r="J28" s="76">
        <f ca="1">GetFileList("P:\TP et Raccodement\FICHES CREES RACCORDEMENT\2 - SAV + COMPL + PASSAGE W XV A SAISIR DANS AX\27-04-2019\*SAV*.pdf")</f>
        <v>0</v>
      </c>
      <c r="K28" s="77">
        <f ca="1">GetFileList("P:\TP et Raccodement\FICHES CREES RACCORDEMENT\2 - SAV + COMPL + PASSAGE W XV A SAISIR DANS AX\27-04-2019\*COMPLEMENT*.pdf")</f>
        <v>0</v>
      </c>
      <c r="L28" s="77">
        <f ca="1">GetFileList("P:\TP et Raccodement\FICHES CREES RACCORDEMENT\2 - SAV + COMPL + PASSAGE W XV A SAISIR DANS AX\27-04-2019\*REPRISE*.pdf")</f>
        <v>0</v>
      </c>
      <c r="M28" s="78">
        <f ca="1">GetFileList("P:\TP et Raccodement\FICHES CREES RACCORDEMENT\2 - SAV + COMPL + PASSAGE W XV A SAISIR DANS AX\27-04-2019\*REMONTAGE*.pdf")</f>
        <v>0</v>
      </c>
      <c r="N28" s="61"/>
      <c r="O28" s="73">
        <f t="shared" ca="1" si="1"/>
        <v>0</v>
      </c>
    </row>
    <row r="29" spans="1:15" ht="16.5" x14ac:dyDescent="0.3">
      <c r="A29" s="88">
        <v>43583</v>
      </c>
      <c r="B29" s="89">
        <f t="shared" ca="1" si="0"/>
        <v>0</v>
      </c>
      <c r="C29" s="90">
        <f ca="1">GetFileList("P:\TP et Raccodement\FICHES CREES RACCORDEMENT\1 - RACCOS A SAISIR DANS AX\28-04-2019\*LM RACCO*.pdf")</f>
        <v>0</v>
      </c>
      <c r="D29" s="90">
        <f ca="1">GetFileList("P:\TP et Raccodement\FICHES CREES RACCORDEMENT\1 - RACCOS A SAISIR DANS AX\28-04-2019\*LR RACCO*.pdf")</f>
        <v>0</v>
      </c>
      <c r="E29" s="91">
        <f ca="1">GetFileList("P:\TP et Raccodement\FICHES CREES RACCORDEMENT\1 - RACCOS A SAISIR DANS AX\28-04-2019\*CL RACCO*.pdf")</f>
        <v>0</v>
      </c>
      <c r="F29" s="92">
        <f t="shared" ca="1" si="2"/>
        <v>0</v>
      </c>
      <c r="G29" s="90">
        <f ca="1">GetFileList("P:\TP et Raccodement\FICHES CREES RACCORDEMENT\2 - SAV + COMPL + PASSAGE W XV A SAISIR DANS AX\28-04-2019\*LM PASS*.pdf")</f>
        <v>0</v>
      </c>
      <c r="H29" s="90">
        <f ca="1">GetFileList("P:\TP et Raccodement\FICHES CREES RACCORDEMENT\2 - SAV + COMPL + PASSAGE W XV A SAISIR DANS AX\28-04-2019\*LR PASS*.pdf")</f>
        <v>0</v>
      </c>
      <c r="I29" s="91">
        <f ca="1">GetFileList("P:\TP et Raccodement\FICHES CREES RACCORDEMENT\2 - SAV + COMPL + PASSAGE W XV A SAISIR DANS AX\28-04-2019\*CL PASS*.pdf")</f>
        <v>0</v>
      </c>
      <c r="J29" s="93">
        <f ca="1">GetFileList("P:\TP et Raccodement\FICHES CREES RACCORDEMENT\2 - SAV + COMPL + PASSAGE W XV A SAISIR DANS AX\28-04-2019\*SAV*.pdf")</f>
        <v>0</v>
      </c>
      <c r="K29" s="94">
        <f ca="1">GetFileList("P:\TP et Raccodement\FICHES CREES RACCORDEMENT\2 - SAV + COMPL + PASSAGE W XV A SAISIR DANS AX\28-04-2019\*COMPLEMENT*.pdf")</f>
        <v>0</v>
      </c>
      <c r="L29" s="94">
        <f ca="1">GetFileList("P:\TP et Raccodement\FICHES CREES RACCORDEMENT\2 - SAV + COMPL + PASSAGE W XV A SAISIR DANS AX\28-04-2019\*REPRISE*.pdf")</f>
        <v>0</v>
      </c>
      <c r="M29" s="95">
        <f ca="1">GetFileList("P:\TP et Raccodement\FICHES CREES RACCORDEMENT\2 - SAV + COMPL + PASSAGE W XV A SAISIR DANS AX\28-04-2019\*REMONTAGE*.pdf")</f>
        <v>0</v>
      </c>
      <c r="N29" s="61"/>
      <c r="O29" s="73">
        <f t="shared" ca="1" si="1"/>
        <v>0</v>
      </c>
    </row>
    <row r="30" spans="1:15" ht="16.5" x14ac:dyDescent="0.3">
      <c r="A30" s="59">
        <v>43584</v>
      </c>
      <c r="B30" s="74">
        <f t="shared" ca="1" si="0"/>
        <v>0</v>
      </c>
      <c r="C30" s="67">
        <f ca="1">GetFileList("P:\TP et Raccodement\FICHES CREES RACCORDEMENT\1 - RACCOS A SAISIR DANS AX\29-04-2019\*LM RACCO*.pdf")</f>
        <v>0</v>
      </c>
      <c r="D30" s="67">
        <f ca="1">GetFileList("P:\TP et Raccodement\FICHES CREES RACCORDEMENT\1 - RACCOS A SAISIR DANS AX\29-04-2019\*LR RACCO*.pdf")</f>
        <v>0</v>
      </c>
      <c r="E30" s="68">
        <f ca="1">GetFileList("P:\TP et Raccodement\FICHES CREES RACCORDEMENT\1 - RACCOS A SAISIR DANS AX\29-04-2019\*CL RACCO*.pdf")</f>
        <v>0</v>
      </c>
      <c r="F30" s="75">
        <f t="shared" ca="1" si="2"/>
        <v>0</v>
      </c>
      <c r="G30" s="67">
        <f ca="1">GetFileList("P:\TP et Raccodement\FICHES CREES RACCORDEMENT\2 - SAV + COMPL + PASSAGE W XV A SAISIR DANS AX\29-04-2019\*LM PASS*.pdf")</f>
        <v>0</v>
      </c>
      <c r="H30" s="67">
        <f ca="1">GetFileList("P:\TP et Raccodement\FICHES CREES RACCORDEMENT\2 - SAV + COMPL + PASSAGE W XV A SAISIR DANS AX\29-04-2019\*LR PASS*.pdf")</f>
        <v>0</v>
      </c>
      <c r="I30" s="68">
        <f ca="1">GetFileList("P:\TP et Raccodement\FICHES CREES RACCORDEMENT\2 - SAV + COMPL + PASSAGE W XV A SAISIR DANS AX\29-04-2019\*CL PASS*.pdf")</f>
        <v>0</v>
      </c>
      <c r="J30" s="76">
        <f ca="1">GetFileList("P:\TP et Raccodement\FICHES CREES RACCORDEMENT\2 - SAV + COMPL + PASSAGE W XV A SAISIR DANS AX\29-04-2019\*SAV*.pdf")</f>
        <v>0</v>
      </c>
      <c r="K30" s="77">
        <f ca="1">GetFileList("P:\TP et Raccodement\FICHES CREES RACCORDEMENT\2 - SAV + COMPL + PASSAGE W XV A SAISIR DANS AX\29-04-2019\*COMPLEMENT*.pdf")</f>
        <v>0</v>
      </c>
      <c r="L30" s="77">
        <f ca="1">GetFileList("P:\TP et Raccodement\FICHES CREES RACCORDEMENT\2 - SAV + COMPL + PASSAGE W XV A SAISIR DANS AX\29-04-2019\*REPRISE*.pdf")</f>
        <v>0</v>
      </c>
      <c r="M30" s="78">
        <f ca="1">GetFileList("P:\TP et Raccodement\FICHES CREES RACCORDEMENT\2 - SAV + COMPL + PASSAGE W XV A SAISIR DANS AX\29-04-2019\*REMONTAGE*.pdf")</f>
        <v>0</v>
      </c>
      <c r="N30" s="61"/>
      <c r="O30" s="73">
        <f t="shared" ca="1" si="1"/>
        <v>0</v>
      </c>
    </row>
    <row r="31" spans="1:15" ht="17.25" thickBot="1" x14ac:dyDescent="0.35">
      <c r="A31" s="59">
        <v>43585</v>
      </c>
      <c r="B31" s="74">
        <f t="shared" ca="1" si="0"/>
        <v>0</v>
      </c>
      <c r="C31" s="67">
        <f ca="1">GetFileList("P:\TP et Raccodement\FICHES CREES RACCORDEMENT\1 - RACCOS A SAISIR DANS AX\30-04-2019\*LM RACCO*.pdf")</f>
        <v>0</v>
      </c>
      <c r="D31" s="67">
        <f ca="1">GetFileList("P:\TP et Raccodement\FICHES CREES RACCORDEMENT\1 - RACCOS A SAISIR DANS AX\30-04-2019\*LR RACCO*.pdf")</f>
        <v>0</v>
      </c>
      <c r="E31" s="68">
        <f ca="1">GetFileList("P:\TP et Raccodement\FICHES CREES RACCORDEMENT\1 - RACCOS A SAISIR DANS AX\30-04-2019\*CL RACCO*.pdf")</f>
        <v>0</v>
      </c>
      <c r="F31" s="75">
        <f t="shared" ca="1" si="2"/>
        <v>0</v>
      </c>
      <c r="G31" s="67">
        <f ca="1">GetFileList("P:\TP et Raccodement\FICHES CREES RACCORDEMENT\2 - SAV + COMPL + PASSAGE W XV A SAISIR DANS AX\30-04-2019\*LM PASS*.pdf")</f>
        <v>0</v>
      </c>
      <c r="H31" s="67">
        <f ca="1">GetFileList("P:\TP et Raccodement\FICHES CREES RACCORDEMENT\2 - SAV + COMPL + PASSAGE W XV A SAISIR DANS AX\30-04-2019\*LR PASS*.pdf")</f>
        <v>0</v>
      </c>
      <c r="I31" s="68">
        <f ca="1">GetFileList("P:\TP et Raccodement\FICHES CREES RACCORDEMENT\2 - SAV + COMPL + PASSAGE W XV A SAISIR DANS AX\30-04-2019\*CL PASS*.pdf")</f>
        <v>0</v>
      </c>
      <c r="J31" s="76">
        <f ca="1">GetFileList("P:\TP et Raccodement\FICHES CREES RACCORDEMENT\2 - SAV + COMPL + PASSAGE W XV A SAISIR DANS AX\30-04-2019\*SAV*.pdf")</f>
        <v>0</v>
      </c>
      <c r="K31" s="77">
        <f ca="1">GetFileList("P:\TP et Raccodement\FICHES CREES RACCORDEMENT\2 - SAV + COMPL + PASSAGE W XV A SAISIR DANS AX\30-04-2019\*COMPLEMENT*.pdf")</f>
        <v>0</v>
      </c>
      <c r="L31" s="77">
        <f ca="1">GetFileList("P:\TP et Raccodement\FICHES CREES RACCORDEMENT\2 - SAV + COMPL + PASSAGE W XV A SAISIR DANS AX\30-04-2019\*REPRISE*.pdf")</f>
        <v>0</v>
      </c>
      <c r="M31" s="78">
        <f ca="1">GetFileList("P:\TP et Raccodement\FICHES CREES RACCORDEMENT\2 - SAV + COMPL + PASSAGE W XV A SAISIR DANS AX\30-04-2019\*REMONTAGE*.pdf")</f>
        <v>0</v>
      </c>
      <c r="N31" s="61"/>
      <c r="O31" s="73">
        <f t="shared" ca="1" si="1"/>
        <v>0</v>
      </c>
    </row>
    <row r="32" spans="1:15" ht="18" thickBot="1" x14ac:dyDescent="0.35">
      <c r="A32" s="136" t="s">
        <v>10</v>
      </c>
      <c r="B32" s="132">
        <f t="shared" ref="B32:M32" ca="1" si="3">SUM(B2:B31)</f>
        <v>0</v>
      </c>
      <c r="C32" s="133">
        <f t="shared" ca="1" si="3"/>
        <v>0</v>
      </c>
      <c r="D32" s="133">
        <f t="shared" ca="1" si="3"/>
        <v>0</v>
      </c>
      <c r="E32" s="134">
        <f t="shared" ca="1" si="3"/>
        <v>0</v>
      </c>
      <c r="F32" s="69">
        <f t="shared" ca="1" si="3"/>
        <v>0</v>
      </c>
      <c r="G32" s="70">
        <f t="shared" ca="1" si="3"/>
        <v>0</v>
      </c>
      <c r="H32" s="70">
        <f t="shared" ca="1" si="3"/>
        <v>0</v>
      </c>
      <c r="I32" s="86">
        <f t="shared" ca="1" si="3"/>
        <v>0</v>
      </c>
      <c r="J32" s="87">
        <f t="shared" ca="1" si="3"/>
        <v>0</v>
      </c>
      <c r="K32" s="82">
        <f t="shared" ca="1" si="3"/>
        <v>0</v>
      </c>
      <c r="L32" s="82">
        <f t="shared" ca="1" si="3"/>
        <v>0</v>
      </c>
      <c r="M32" s="83">
        <f t="shared" ca="1" si="3"/>
        <v>0</v>
      </c>
      <c r="N32" s="62"/>
      <c r="O32" s="72">
        <f ca="1">SUM(O2:O31)</f>
        <v>0</v>
      </c>
    </row>
  </sheetData>
  <conditionalFormatting sqref="O2:O31">
    <cfRule type="cellIs" dxfId="11" priority="1" operator="equal">
      <formula>0</formula>
    </cfRule>
  </conditionalFormatting>
  <conditionalFormatting sqref="B2:B31">
    <cfRule type="dataBar" priority="18">
      <dataBar>
        <cfvo type="min"/>
        <cfvo type="max"/>
        <color rgb="FF41A964"/>
      </dataBar>
      <extLst>
        <ext xmlns:x14="http://schemas.microsoft.com/office/spreadsheetml/2009/9/main" uri="{B025F937-C7B1-47D3-B67F-A62EFF666E3E}">
          <x14:id>{D921D4B2-C74B-46C7-96E4-0AE0631B0F8E}</x14:id>
        </ext>
      </extLst>
    </cfRule>
  </conditionalFormatting>
  <conditionalFormatting sqref="B2:B6 B9:B13 B16:B20 B24:B27 B30:B31">
    <cfRule type="iconSet" priority="19">
      <iconSet iconSet="3Flags">
        <cfvo type="percent" val="0"/>
        <cfvo type="percent" val="33"/>
        <cfvo type="percent" val="67"/>
      </iconSet>
    </cfRule>
  </conditionalFormatting>
  <conditionalFormatting sqref="F2:F31">
    <cfRule type="dataBar" priority="24">
      <dataBar>
        <cfvo type="min"/>
        <cfvo type="max"/>
        <color rgb="FF53BD76"/>
      </dataBar>
      <extLst>
        <ext xmlns:x14="http://schemas.microsoft.com/office/spreadsheetml/2009/9/main" uri="{B025F937-C7B1-47D3-B67F-A62EFF666E3E}">
          <x14:id>{94B001BA-7643-4E4D-BF15-442664E8B2CB}</x14:id>
        </ext>
      </extLst>
    </cfRule>
  </conditionalFormatting>
  <conditionalFormatting sqref="F2:F6 F9:F13 F16:F20 F24:F27 F30:F31">
    <cfRule type="iconSet" priority="25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921D4B2-C74B-46C7-96E4-0AE0631B0F8E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B2:B31</xm:sqref>
        </x14:conditionalFormatting>
        <x14:conditionalFormatting xmlns:xm="http://schemas.microsoft.com/office/excel/2006/main">
          <x14:cfRule type="dataBar" id="{94B001BA-7643-4E4D-BF15-442664E8B2CB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F2:F31</xm:sqref>
        </x14:conditionalFormatting>
      </x14:conditionalFormatting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7030A0"/>
  </sheetPr>
  <dimension ref="A1:P33"/>
  <sheetViews>
    <sheetView showGridLines="0" zoomScaleNormal="10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2.140625" customWidth="1"/>
    <col min="2" max="2" width="14.85546875" bestFit="1" customWidth="1"/>
    <col min="6" max="6" width="13.42578125" customWidth="1"/>
    <col min="13" max="13" width="12.28515625" bestFit="1" customWidth="1"/>
    <col min="14" max="14" width="0.85546875" customWidth="1"/>
    <col min="15" max="15" width="9.140625" style="1"/>
    <col min="16" max="16" width="10.7109375" bestFit="1" customWidth="1"/>
  </cols>
  <sheetData>
    <row r="1" spans="1:16" ht="31.5" customHeight="1" x14ac:dyDescent="0.25">
      <c r="A1" s="58" t="s">
        <v>11</v>
      </c>
      <c r="B1" s="66" t="s">
        <v>41</v>
      </c>
      <c r="C1" s="64" t="s">
        <v>1</v>
      </c>
      <c r="D1" s="64" t="s">
        <v>2</v>
      </c>
      <c r="E1" s="65" t="s">
        <v>3</v>
      </c>
      <c r="F1" s="71" t="s">
        <v>42</v>
      </c>
      <c r="G1" s="84" t="s">
        <v>5</v>
      </c>
      <c r="H1" s="84" t="s">
        <v>2</v>
      </c>
      <c r="I1" s="85" t="s">
        <v>3</v>
      </c>
      <c r="J1" s="63" t="s">
        <v>43</v>
      </c>
      <c r="K1" s="64" t="s">
        <v>44</v>
      </c>
      <c r="L1" s="64" t="s">
        <v>45</v>
      </c>
      <c r="M1" s="65" t="s">
        <v>46</v>
      </c>
      <c r="N1" s="60"/>
      <c r="O1" s="71" t="s">
        <v>10</v>
      </c>
    </row>
    <row r="2" spans="1:16" ht="16.5" x14ac:dyDescent="0.3">
      <c r="A2" s="88">
        <v>43586</v>
      </c>
      <c r="B2" s="89">
        <f ca="1">C2+D2+E2</f>
        <v>0</v>
      </c>
      <c r="C2" s="90">
        <f ca="1">GetFileList("P:\TP et Raccodement\FICHES CREES RACCORDEMENT\1 - RACCOS A SAISIR DANS AX\01-05-2019\*LM RACCO*.pdf")</f>
        <v>0</v>
      </c>
      <c r="D2" s="90">
        <f ca="1">GetFileList("P:\TP et Raccodement\FICHES CREES RACCORDEMENT\1 - RACCOS A SAISIR DANS AX\01-05-2019\*LR RACCO*.pdf")</f>
        <v>0</v>
      </c>
      <c r="E2" s="91">
        <f ca="1">GetFileList("P:\TP et Raccodement\FICHES CREES RACCORDEMENT\1 - RACCOS A SAISIR DANS AX\01-05-2019\*CL RACCO*.pdf")</f>
        <v>0</v>
      </c>
      <c r="F2" s="92">
        <f ca="1">G2+H2+I2</f>
        <v>0</v>
      </c>
      <c r="G2" s="90">
        <f ca="1">GetFileList("P:\TP et Raccodement\FICHES CREES RACCORDEMENT\2 - SAV + COMPL + PASSAGE W XV A SAISIR DANS AX\01-05-2019\*LM PASS*.pdf")</f>
        <v>0</v>
      </c>
      <c r="H2" s="90">
        <f ca="1">GetFileList("P:\TP et Raccodement\FICHES CREES RACCORDEMENT\2 - SAV + COMPL + PASSAGE W XV A SAISIR DANS AX\01-05-2019\*LR PASS*.pdf")</f>
        <v>0</v>
      </c>
      <c r="I2" s="91">
        <f ca="1">GetFileList("P:\TP et Raccodement\FICHES CREES RACCORDEMENT\2 - SAV + COMPL + PASSAGE W XV A SAISIR DANS AX\01-05-2019\*CL PASS*.pdf")</f>
        <v>0</v>
      </c>
      <c r="J2" s="93">
        <f ca="1">GetFileList("P:\TP et Raccodement\FICHES CREES RACCORDEMENT\2 - SAV + COMPL + PASSAGE W XV A SAISIR DANS AX\01-05-2019\*SAV*.pdf")</f>
        <v>0</v>
      </c>
      <c r="K2" s="94">
        <f ca="1">GetFileList("P:\TP et Raccodement\FICHES CREES RACCORDEMENT\2 - SAV + COMPL + PASSAGE W XV A SAISIR DANS AX\01-05-2019\*COMPLEMENT*.pdf")</f>
        <v>0</v>
      </c>
      <c r="L2" s="94">
        <f ca="1">GetFileList("P:\TP et Raccodement\FICHES CREES RACCORDEMENT\2 - SAV + COMPL + PASSAGE W XV A SAISIR DANS AX\01-05-2019\*REPRISE*.pdf")</f>
        <v>0</v>
      </c>
      <c r="M2" s="95">
        <f ca="1">GetFileList("P:\TP et Raccodement\FICHES CREES RACCORDEMENT\2 - SAV + COMPL + PASSAGE W XV A SAISIR DANS AX\01-05-2019\*REMONTAGE*.pdf")</f>
        <v>0</v>
      </c>
      <c r="N2" s="61"/>
      <c r="O2" s="73">
        <f ca="1">B2+F2+J2+K2+L2+M2</f>
        <v>0</v>
      </c>
      <c r="P2" s="54"/>
    </row>
    <row r="3" spans="1:16" ht="16.5" x14ac:dyDescent="0.3">
      <c r="A3" s="59">
        <v>43587</v>
      </c>
      <c r="B3" s="74">
        <f t="shared" ref="B3:B32" ca="1" si="0">C3+D3+E3</f>
        <v>0</v>
      </c>
      <c r="C3" s="67">
        <f ca="1">GetFileList("P:\TP et Raccodement\FICHES CREES RACCORDEMENT\1 - RACCOS A SAISIR DANS AX\02-05-2019\*LM RACCO*.pdf")</f>
        <v>0</v>
      </c>
      <c r="D3" s="67">
        <f ca="1">GetFileList("P:\TP et Raccodement\FICHES CREES RACCORDEMENT\1 - RACCOS A SAISIR DANS AX\02-05-2019\*LR RACCO*.pdf")</f>
        <v>0</v>
      </c>
      <c r="E3" s="68">
        <f ca="1">GetFileList("P:\TP et Raccodement\FICHES CREES RACCORDEMENT\1 - RACCOS A SAISIR DANS AX\02-05-2019\*CL RACCO*.pdf")</f>
        <v>0</v>
      </c>
      <c r="F3" s="75">
        <f ca="1">G3+H3+I3</f>
        <v>0</v>
      </c>
      <c r="G3" s="67">
        <f ca="1">GetFileList("P:\TP et Raccodement\FICHES CREES RACCORDEMENT\2 - SAV + COMPL + PASSAGE W XV A SAISIR DANS AX\02-05-2019\*LM PASS*.pdf")</f>
        <v>0</v>
      </c>
      <c r="H3" s="67">
        <f ca="1">GetFileList("P:\TP et Raccodement\FICHES CREES RACCORDEMENT\2 - SAV + COMPL + PASSAGE W XV A SAISIR DANS AX\02-05-2019\*LR PASS*.pdf")</f>
        <v>0</v>
      </c>
      <c r="I3" s="68">
        <f ca="1">GetFileList("P:\TP et Raccodement\FICHES CREES RACCORDEMENT\2 - SAV + COMPL + PASSAGE W XV A SAISIR DANS AX\02-05-2019\*CL PASS*.pdf")</f>
        <v>0</v>
      </c>
      <c r="J3" s="76">
        <f ca="1">GetFileList("P:\TP et Raccodement\FICHES CREES RACCORDEMENT\2 - SAV + COMPL + PASSAGE W XV A SAISIR DANS AX\02-05-2019\*SAV*.pdf")</f>
        <v>0</v>
      </c>
      <c r="K3" s="77">
        <f ca="1">GetFileList("P:\TP et Raccodement\FICHES CREES RACCORDEMENT\2 - SAV + COMPL + PASSAGE W XV A SAISIR DANS AX\02-05-2019\*COMPLEMENT*.pdf")</f>
        <v>0</v>
      </c>
      <c r="L3" s="77">
        <f ca="1">GetFileList("P:\TP et Raccodement\FICHES CREES RACCORDEMENT\2 - SAV + COMPL + PASSAGE W XV A SAISIR DANS AX\02-05-2019\*REPRISE*.pdf")</f>
        <v>0</v>
      </c>
      <c r="M3" s="78">
        <f ca="1">GetFileList("P:\TP et Raccodement\FICHES CREES RACCORDEMENT\2 - SAV + COMPL + PASSAGE W XV A SAISIR DANS AX\02-05-2019\*REMONTAGE*.pdf")</f>
        <v>0</v>
      </c>
      <c r="N3" s="61"/>
      <c r="O3" s="73">
        <f t="shared" ref="O3:O32" ca="1" si="1">B3+F3+J3+K3+L3+M3</f>
        <v>0</v>
      </c>
    </row>
    <row r="4" spans="1:16" ht="16.5" x14ac:dyDescent="0.3">
      <c r="A4" s="59">
        <v>43588</v>
      </c>
      <c r="B4" s="74">
        <f t="shared" ca="1" si="0"/>
        <v>0</v>
      </c>
      <c r="C4" s="67">
        <f ca="1">GetFileList("P:\TP et Raccodement\FICHES CREES RACCORDEMENT\1 - RACCOS A SAISIR DANS AX\03-05-2019\*LM RACCO*.pdf")</f>
        <v>0</v>
      </c>
      <c r="D4" s="67">
        <f ca="1">GetFileList("P:\TP et Raccodement\FICHES CREES RACCORDEMENT\1 - RACCOS A SAISIR DANS AX\03-05-2019\*LR RACCO*.pdf")</f>
        <v>0</v>
      </c>
      <c r="E4" s="68">
        <f ca="1">GetFileList("P:\TP et Raccodement\FICHES CREES RACCORDEMENT\1 - RACCOS A SAISIR DANS AX\03-05-2019\*CL RACCO*.pdf")</f>
        <v>0</v>
      </c>
      <c r="F4" s="75">
        <f t="shared" ref="F4:F32" ca="1" si="2">G4+H4+I4</f>
        <v>0</v>
      </c>
      <c r="G4" s="67">
        <f ca="1">GetFileList("P:\TP et Raccodement\FICHES CREES RACCORDEMENT\2 - SAV + COMPL + PASSAGE W XV A SAISIR DANS AX\03-05-2019\*LM PASS*.pdf")</f>
        <v>0</v>
      </c>
      <c r="H4" s="67">
        <f ca="1">GetFileList("P:\TP et Raccodement\FICHES CREES RACCORDEMENT\2 - SAV + COMPL + PASSAGE W XV A SAISIR DANS AX\03-05-2019\*LR PASS*.pdf")</f>
        <v>0</v>
      </c>
      <c r="I4" s="68">
        <f ca="1">GetFileList("P:\TP et Raccodement\FICHES CREES RACCORDEMENT\2 - SAV + COMPL + PASSAGE W XV A SAISIR DANS AX\03-05-2019\*CL PASS*.pdf")</f>
        <v>0</v>
      </c>
      <c r="J4" s="76">
        <f ca="1">GetFileList("P:\TP et Raccodement\FICHES CREES RACCORDEMENT\2 - SAV + COMPL + PASSAGE W XV A SAISIR DANS AX\03-05-2019\*SAV*.pdf")</f>
        <v>0</v>
      </c>
      <c r="K4" s="77">
        <f ca="1">GetFileList("P:\TP et Raccodement\FICHES CREES RACCORDEMENT\2 - SAV + COMPL + PASSAGE W XV A SAISIR DANS AX\03-05-2019\*COMPLEMENT*.pdf")</f>
        <v>0</v>
      </c>
      <c r="L4" s="77">
        <f ca="1">GetFileList("P:\TP et Raccodement\FICHES CREES RACCORDEMENT\2 - SAV + COMPL + PASSAGE W XV A SAISIR DANS AX\03-05-2019\*REPRISE*.pdf")</f>
        <v>0</v>
      </c>
      <c r="M4" s="78">
        <f ca="1">GetFileList("P:\TP et Raccodement\FICHES CREES RACCORDEMENT\2 - SAV + COMPL + PASSAGE W XV A SAISIR DANS AX\03-05-2019\*REMONTAGE*.pdf")</f>
        <v>0</v>
      </c>
      <c r="N4" s="61"/>
      <c r="O4" s="73">
        <f t="shared" ca="1" si="1"/>
        <v>0</v>
      </c>
    </row>
    <row r="5" spans="1:16" ht="16.5" x14ac:dyDescent="0.3">
      <c r="A5" s="59">
        <v>43589</v>
      </c>
      <c r="B5" s="74">
        <f t="shared" ca="1" si="0"/>
        <v>0</v>
      </c>
      <c r="C5" s="67">
        <f ca="1">GetFileList("P:\TP et Raccodement\FICHES CREES RACCORDEMENT\1 - RACCOS A SAISIR DANS AX\04-05-2019\*LM RACCO*.pdf")</f>
        <v>0</v>
      </c>
      <c r="D5" s="67">
        <f ca="1">GetFileList("P:\TP et Raccodement\FICHES CREES RACCORDEMENT\1 - RACCOS A SAISIR DANS AX\04-05-2019\*LR RACCO*.pdf")</f>
        <v>0</v>
      </c>
      <c r="E5" s="68">
        <f ca="1">GetFileList("P:\TP et Raccodement\FICHES CREES RACCORDEMENT\1 - RACCOS A SAISIR DANS AX\04-05-2019\*CL RACCO*.pdf")</f>
        <v>0</v>
      </c>
      <c r="F5" s="75">
        <f t="shared" ca="1" si="2"/>
        <v>0</v>
      </c>
      <c r="G5" s="67">
        <f ca="1">GetFileList("P:\TP et Raccodement\FICHES CREES RACCORDEMENT\2 - SAV + COMPL + PASSAGE W XV A SAISIR DANS AX\04-05-2019\*LM PASS*.pdf")</f>
        <v>0</v>
      </c>
      <c r="H5" s="67">
        <f ca="1">GetFileList("P:\TP et Raccodement\FICHES CREES RACCORDEMENT\2 - SAV + COMPL + PASSAGE W XV A SAISIR DANS AX\04-05-2019\*LR PASS*.pdf")</f>
        <v>0</v>
      </c>
      <c r="I5" s="68">
        <f ca="1">GetFileList("P:\TP et Raccodement\FICHES CREES RACCORDEMENT\2 - SAV + COMPL + PASSAGE W XV A SAISIR DANS AX\04-05-2019\*CL PASS*.pdf")</f>
        <v>0</v>
      </c>
      <c r="J5" s="76">
        <f ca="1">GetFileList("P:\TP et Raccodement\FICHES CREES RACCORDEMENT\2 - SAV + COMPL + PASSAGE W XV A SAISIR DANS AX\04-05-2019\*SAV*.pdf")</f>
        <v>0</v>
      </c>
      <c r="K5" s="77">
        <f ca="1">GetFileList("P:\TP et Raccodement\FICHES CREES RACCORDEMENT\2 - SAV + COMPL + PASSAGE W XV A SAISIR DANS AX\04-05-2019\*COMPLEMENT*.pdf")</f>
        <v>0</v>
      </c>
      <c r="L5" s="77">
        <f ca="1">GetFileList("P:\TP et Raccodement\FICHES CREES RACCORDEMENT\2 - SAV + COMPL + PASSAGE W XV A SAISIR DANS AX\04-05-2019\*REPRISE*.pdf")</f>
        <v>0</v>
      </c>
      <c r="M5" s="78">
        <f ca="1">GetFileList("P:\TP et Raccodement\FICHES CREES RACCORDEMENT\2 - SAV + COMPL + PASSAGE W XV A SAISIR DANS AX\04-05-2019\*REMONTAGE*.pdf")</f>
        <v>0</v>
      </c>
      <c r="N5" s="61"/>
      <c r="O5" s="73">
        <f t="shared" ca="1" si="1"/>
        <v>0</v>
      </c>
    </row>
    <row r="6" spans="1:16" ht="16.5" x14ac:dyDescent="0.3">
      <c r="A6" s="88">
        <v>43590</v>
      </c>
      <c r="B6" s="89">
        <f t="shared" ca="1" si="0"/>
        <v>0</v>
      </c>
      <c r="C6" s="90">
        <f ca="1">GetFileList("P:\TP et Raccodement\FICHES CREES RACCORDEMENT\1 - RACCOS A SAISIR DANS AX\05-05-2019\*LM RACCO*.pdf")</f>
        <v>0</v>
      </c>
      <c r="D6" s="90">
        <f ca="1">GetFileList("P:\TP et Raccodement\FICHES CREES RACCORDEMENT\1 - RACCOS A SAISIR DANS AX\05-05-2019\*LR RACCO*.pdf")</f>
        <v>0</v>
      </c>
      <c r="E6" s="91">
        <f ca="1">GetFileList("P:\TP et Raccodement\FICHES CREES RACCORDEMENT\1 - RACCOS A SAISIR DANS AX\05-05-2019\*CL RACCO*.pdf")</f>
        <v>0</v>
      </c>
      <c r="F6" s="92">
        <f t="shared" ca="1" si="2"/>
        <v>0</v>
      </c>
      <c r="G6" s="90">
        <f ca="1">GetFileList("P:\TP et Raccodement\FICHES CREES RACCORDEMENT\2 - SAV + COMPL + PASSAGE W XV A SAISIR DANS AX\05-05-2019\*LM PASS*.pdf")</f>
        <v>0</v>
      </c>
      <c r="H6" s="90">
        <f ca="1">GetFileList("P:\TP et Raccodement\FICHES CREES RACCORDEMENT\2 - SAV + COMPL + PASSAGE W XV A SAISIR DANS AX\05-05-2019\*LR PASS*.pdf")</f>
        <v>0</v>
      </c>
      <c r="I6" s="91">
        <f ca="1">GetFileList("P:\TP et Raccodement\FICHES CREES RACCORDEMENT\2 - SAV + COMPL + PASSAGE W XV A SAISIR DANS AX\05-05-2019\*CL PASS*.pdf")</f>
        <v>0</v>
      </c>
      <c r="J6" s="93">
        <f ca="1">GetFileList("P:\TP et Raccodement\FICHES CREES RACCORDEMENT\2 - SAV + COMPL + PASSAGE W XV A SAISIR DANS AX\05-05-2019\*SAV*.pdf")</f>
        <v>0</v>
      </c>
      <c r="K6" s="94">
        <f ca="1">GetFileList("P:\TP et Raccodement\FICHES CREES RACCORDEMENT\2 - SAV + COMPL + PASSAGE W XV A SAISIR DANS AX\05-05-2019\*COMPLEMENT*.pdf")</f>
        <v>0</v>
      </c>
      <c r="L6" s="94">
        <f ca="1">GetFileList("P:\TP et Raccodement\FICHES CREES RACCORDEMENT\2 - SAV + COMPL + PASSAGE W XV A SAISIR DANS AX\05-05-2019\*REPRISE*.pdf")</f>
        <v>0</v>
      </c>
      <c r="M6" s="95">
        <f ca="1">GetFileList("P:\TP et Raccodement\FICHES CREES RACCORDEMENT\2 - SAV + COMPL + PASSAGE W XV A SAISIR DANS AX\05-05-2019\*REMONTAGE*.pdf")</f>
        <v>0</v>
      </c>
      <c r="N6" s="61"/>
      <c r="O6" s="73">
        <f t="shared" ca="1" si="1"/>
        <v>0</v>
      </c>
    </row>
    <row r="7" spans="1:16" ht="16.5" x14ac:dyDescent="0.3">
      <c r="A7" s="59">
        <v>43591</v>
      </c>
      <c r="B7" s="74">
        <f t="shared" ca="1" si="0"/>
        <v>0</v>
      </c>
      <c r="C7" s="67">
        <f ca="1">GetFileList("P:\TP et Raccodement\FICHES CREES RACCORDEMENT\1 - RACCOS A SAISIR DANS AX\06-05-2019\*LM RACCO*.pdf")</f>
        <v>0</v>
      </c>
      <c r="D7" s="67">
        <f ca="1">GetFileList("P:\TP et Raccodement\FICHES CREES RACCORDEMENT\1 - RACCOS A SAISIR DANS AX\06-05-2019\*LR RACCO*.pdf")</f>
        <v>0</v>
      </c>
      <c r="E7" s="68">
        <f ca="1">GetFileList("P:\TP et Raccodement\FICHES CREES RACCORDEMENT\1 - RACCOS A SAISIR DANS AX\06-05-2019\*CL RACCO*.pdf")</f>
        <v>0</v>
      </c>
      <c r="F7" s="75">
        <f t="shared" ca="1" si="2"/>
        <v>0</v>
      </c>
      <c r="G7" s="67">
        <f ca="1">GetFileList("P:\TP et Raccodement\FICHES CREES RACCORDEMENT\2 - SAV + COMPL + PASSAGE W XV A SAISIR DANS AX\06-05-2019\*LM PASS*.pdf")</f>
        <v>0</v>
      </c>
      <c r="H7" s="67">
        <f ca="1">GetFileList("P:\TP et Raccodement\FICHES CREES RACCORDEMENT\2 - SAV + COMPL + PASSAGE W XV A SAISIR DANS AX\06-05-2019\*LR PASS*.pdf")</f>
        <v>0</v>
      </c>
      <c r="I7" s="68">
        <f ca="1">GetFileList("P:\TP et Raccodement\FICHES CREES RACCORDEMENT\2 - SAV + COMPL + PASSAGE W XV A SAISIR DANS AX\06-05-2019\*CL PASS*.pdf")</f>
        <v>0</v>
      </c>
      <c r="J7" s="76">
        <f ca="1">GetFileList("P:\TP et Raccodement\FICHES CREES RACCORDEMENT\2 - SAV + COMPL + PASSAGE W XV A SAISIR DANS AX\06-05-2019\*SAV*.pdf")</f>
        <v>0</v>
      </c>
      <c r="K7" s="77">
        <f ca="1">GetFileList("P:\TP et Raccodement\FICHES CREES RACCORDEMENT\2 - SAV + COMPL + PASSAGE W XV A SAISIR DANS AX\06-05-2019\*COMPLEMENT*.pdf")</f>
        <v>0</v>
      </c>
      <c r="L7" s="77">
        <f ca="1">GetFileList("P:\TP et Raccodement\FICHES CREES RACCORDEMENT\2 - SAV + COMPL + PASSAGE W XV A SAISIR DANS AX\06-05-2019\*REPRISE*.pdf")</f>
        <v>0</v>
      </c>
      <c r="M7" s="78">
        <f ca="1">GetFileList("P:\TP et Raccodement\FICHES CREES RACCORDEMENT\2 - SAV + COMPL + PASSAGE W XV A SAISIR DANS AX\06-05-2019\*REMONTAGE*.pdf")</f>
        <v>0</v>
      </c>
      <c r="N7" s="61"/>
      <c r="O7" s="73">
        <f t="shared" ca="1" si="1"/>
        <v>0</v>
      </c>
    </row>
    <row r="8" spans="1:16" ht="16.5" x14ac:dyDescent="0.3">
      <c r="A8" s="59">
        <v>43592</v>
      </c>
      <c r="B8" s="74">
        <f t="shared" ca="1" si="0"/>
        <v>0</v>
      </c>
      <c r="C8" s="67">
        <f ca="1">GetFileList("P:\TP et Raccodement\FICHES CREES RACCORDEMENT\1 - RACCOS A SAISIR DANS AX\07-05-2019\*LM RACCO*.pdf")</f>
        <v>0</v>
      </c>
      <c r="D8" s="67">
        <f ca="1">GetFileList("P:\TP et Raccodement\FICHES CREES RACCORDEMENT\1 - RACCOS A SAISIR DANS AX\07-05-2019\*LR RACCO*.pdf")</f>
        <v>0</v>
      </c>
      <c r="E8" s="68">
        <f ca="1">GetFileList("P:\TP et Raccodement\FICHES CREES RACCORDEMENT\1 - RACCOS A SAISIR DANS AX\07-05-2019\*CL RACCO*.pdf")</f>
        <v>0</v>
      </c>
      <c r="F8" s="75">
        <f t="shared" ca="1" si="2"/>
        <v>0</v>
      </c>
      <c r="G8" s="67">
        <f ca="1">GetFileList("P:\TP et Raccodement\FICHES CREES RACCORDEMENT\2 - SAV + COMPL + PASSAGE W XV A SAISIR DANS AX\07-05-2019\*LM PASS*.pdf")</f>
        <v>0</v>
      </c>
      <c r="H8" s="67">
        <f ca="1">GetFileList("P:\TP et Raccodement\FICHES CREES RACCORDEMENT\2 - SAV + COMPL + PASSAGE W XV A SAISIR DANS AX\07-05-2019\*LR PASS*.pdf")</f>
        <v>0</v>
      </c>
      <c r="I8" s="68">
        <f ca="1">GetFileList("P:\TP et Raccodement\FICHES CREES RACCORDEMENT\2 - SAV + COMPL + PASSAGE W XV A SAISIR DANS AX\07-05-2019\*CL PASS*.pdf")</f>
        <v>0</v>
      </c>
      <c r="J8" s="76">
        <f ca="1">GetFileList("P:\TP et Raccodement\FICHES CREES RACCORDEMENT\2 - SAV + COMPL + PASSAGE W XV A SAISIR DANS AX\07-05-2019\*SAV*.pdf")</f>
        <v>0</v>
      </c>
      <c r="K8" s="77">
        <f ca="1">GetFileList("P:\TP et Raccodement\FICHES CREES RACCORDEMENT\2 - SAV + COMPL + PASSAGE W XV A SAISIR DANS AX\07-05-2019\*COMPLEMENT*.pdf")</f>
        <v>0</v>
      </c>
      <c r="L8" s="77">
        <f ca="1">GetFileList("P:\TP et Raccodement\FICHES CREES RACCORDEMENT\2 - SAV + COMPL + PASSAGE W XV A SAISIR DANS AX\07-05-2019\*REPRISE*.pdf")</f>
        <v>0</v>
      </c>
      <c r="M8" s="78">
        <f ca="1">GetFileList("P:\TP et Raccodement\FICHES CREES RACCORDEMENT\2 - SAV + COMPL + PASSAGE W XV A SAISIR DANS AX\07-05-2019\*REMONTAGE*.pdf")</f>
        <v>0</v>
      </c>
      <c r="N8" s="61"/>
      <c r="O8" s="73">
        <f t="shared" ca="1" si="1"/>
        <v>0</v>
      </c>
    </row>
    <row r="9" spans="1:16" ht="16.5" x14ac:dyDescent="0.3">
      <c r="A9" s="88">
        <v>43593</v>
      </c>
      <c r="B9" s="89">
        <f t="shared" ca="1" si="0"/>
        <v>0</v>
      </c>
      <c r="C9" s="90">
        <f ca="1">GetFileList("P:\TP et Raccodement\FICHES CREES RACCORDEMENT\1 - RACCOS A SAISIR DANS AX\08-05-2019\*LM RACCO*.pdf")</f>
        <v>0</v>
      </c>
      <c r="D9" s="90">
        <f ca="1">GetFileList("P:\TP et Raccodement\FICHES CREES RACCORDEMENT\1 - RACCOS A SAISIR DANS AX\08-05-2019\*LR RACCO*.pdf")</f>
        <v>0</v>
      </c>
      <c r="E9" s="91">
        <f ca="1">GetFileList("P:\TP et Raccodement\FICHES CREES RACCORDEMENT\1 - RACCOS A SAISIR DANS AX\08-05-2019\*CL RACCO*.pdf")</f>
        <v>0</v>
      </c>
      <c r="F9" s="92">
        <f t="shared" ca="1" si="2"/>
        <v>0</v>
      </c>
      <c r="G9" s="90">
        <f ca="1">GetFileList("P:\TP et Raccodement\FICHES CREES RACCORDEMENT\2 - SAV + COMPL + PASSAGE W XV A SAISIR DANS AX\08-05-2019\*LM PASS*.pdf")</f>
        <v>0</v>
      </c>
      <c r="H9" s="90">
        <f ca="1">GetFileList("P:\TP et Raccodement\FICHES CREES RACCORDEMENT\2 - SAV + COMPL + PASSAGE W XV A SAISIR DANS AX\08-05-2019\*LR PASS*.pdf")</f>
        <v>0</v>
      </c>
      <c r="I9" s="91">
        <f ca="1">GetFileList("P:\TP et Raccodement\FICHES CREES RACCORDEMENT\2 - SAV + COMPL + PASSAGE W XV A SAISIR DANS AX\08-05-2019\*CL PASS*.pdf")</f>
        <v>0</v>
      </c>
      <c r="J9" s="93">
        <f ca="1">GetFileList("P:\TP et Raccodement\FICHES CREES RACCORDEMENT\2 - SAV + COMPL + PASSAGE W XV A SAISIR DANS AX\08-05-2019\*SAV*.pdf")</f>
        <v>0</v>
      </c>
      <c r="K9" s="94">
        <f ca="1">GetFileList("P:\TP et Raccodement\FICHES CREES RACCORDEMENT\2 - SAV + COMPL + PASSAGE W XV A SAISIR DANS AX\08-05-2019\*COMPLEMENT*.pdf")</f>
        <v>0</v>
      </c>
      <c r="L9" s="94">
        <f ca="1">GetFileList("P:\TP et Raccodement\FICHES CREES RACCORDEMENT\2 - SAV + COMPL + PASSAGE W XV A SAISIR DANS AX\08-05-2019\*REPRISE*.pdf")</f>
        <v>0</v>
      </c>
      <c r="M9" s="95">
        <f ca="1">GetFileList("P:\TP et Raccodement\FICHES CREES RACCORDEMENT\2 - SAV + COMPL + PASSAGE W XV A SAISIR DANS AX\08-05-2019\*REMONTAGE*.pdf")</f>
        <v>0</v>
      </c>
      <c r="N9" s="61"/>
      <c r="O9" s="73">
        <f t="shared" ca="1" si="1"/>
        <v>0</v>
      </c>
    </row>
    <row r="10" spans="1:16" ht="16.5" x14ac:dyDescent="0.3">
      <c r="A10" s="59">
        <v>43594</v>
      </c>
      <c r="B10" s="74">
        <f t="shared" ca="1" si="0"/>
        <v>0</v>
      </c>
      <c r="C10" s="67">
        <f ca="1">GetFileList("P:\TP et Raccodement\FICHES CREES RACCORDEMENT\1 - RACCOS A SAISIR DANS AX\09-05-2019\*LM RACCO*.pdf")</f>
        <v>0</v>
      </c>
      <c r="D10" s="67">
        <f ca="1">GetFileList("P:\TP et Raccodement\FICHES CREES RACCORDEMENT\1 - RACCOS A SAISIR DANS AX\09-05-2019\*LR RACCO*.pdf")</f>
        <v>0</v>
      </c>
      <c r="E10" s="68">
        <f ca="1">GetFileList("P:\TP et Raccodement\FICHES CREES RACCORDEMENT\1 - RACCOS A SAISIR DANS AX\09-05-2019\*CL RACCO*.pdf")</f>
        <v>0</v>
      </c>
      <c r="F10" s="75">
        <f t="shared" ca="1" si="2"/>
        <v>0</v>
      </c>
      <c r="G10" s="67">
        <f ca="1">GetFileList("P:\TP et Raccodement\FICHES CREES RACCORDEMENT\2 - SAV + COMPL + PASSAGE W XV A SAISIR DANS AX\09-05-2019\*LM PASS*.pdf")</f>
        <v>0</v>
      </c>
      <c r="H10" s="67">
        <f ca="1">GetFileList("P:\TP et Raccodement\FICHES CREES RACCORDEMENT\2 - SAV + COMPL + PASSAGE W XV A SAISIR DANS AX\09-05-2019\*LR PASS*.pdf")</f>
        <v>0</v>
      </c>
      <c r="I10" s="68">
        <f ca="1">GetFileList("P:\TP et Raccodement\FICHES CREES RACCORDEMENT\2 - SAV + COMPL + PASSAGE W XV A SAISIR DANS AX\09-05-2019\*CL PASS*.pdf")</f>
        <v>0</v>
      </c>
      <c r="J10" s="76">
        <f ca="1">GetFileList("P:\TP et Raccodement\FICHES CREES RACCORDEMENT\2 - SAV + COMPL + PASSAGE W XV A SAISIR DANS AX\09-05-2019\*SAV*.pdf")</f>
        <v>0</v>
      </c>
      <c r="K10" s="77">
        <f ca="1">GetFileList("P:\TP et Raccodement\FICHES CREES RACCORDEMENT\2 - SAV + COMPL + PASSAGE W XV A SAISIR DANS AX\09-05-2019\*COMPLEMENT*.pdf")</f>
        <v>0</v>
      </c>
      <c r="L10" s="77">
        <f ca="1">GetFileList("P:\TP et Raccodement\FICHES CREES RACCORDEMENT\2 - SAV + COMPL + PASSAGE W XV A SAISIR DANS AX\09-05-2019\*REPRISE*.pdf")</f>
        <v>0</v>
      </c>
      <c r="M10" s="78">
        <f ca="1">GetFileList("P:\TP et Raccodement\FICHES CREES RACCORDEMENT\2 - SAV + COMPL + PASSAGE W XV A SAISIR DANS AX\09-05-2019\*REMONTAGE*.pdf")</f>
        <v>0</v>
      </c>
      <c r="N10" s="61"/>
      <c r="O10" s="73">
        <f t="shared" ca="1" si="1"/>
        <v>0</v>
      </c>
    </row>
    <row r="11" spans="1:16" ht="16.5" x14ac:dyDescent="0.3">
      <c r="A11" s="59">
        <v>43595</v>
      </c>
      <c r="B11" s="74">
        <f t="shared" ca="1" si="0"/>
        <v>0</v>
      </c>
      <c r="C11" s="67">
        <f ca="1">GetFileList("P:\TP et Raccodement\FICHES CREES RACCORDEMENT\1 - RACCOS A SAISIR DANS AX\10-05-2019\*LM RACCO*.pdf")</f>
        <v>0</v>
      </c>
      <c r="D11" s="67">
        <f ca="1">GetFileList("P:\TP et Raccodement\FICHES CREES RACCORDEMENT\1 - RACCOS A SAISIR DANS AX\10-05-2019\*LR RACCO*.pdf")</f>
        <v>0</v>
      </c>
      <c r="E11" s="68">
        <f ca="1">GetFileList("P:\TP et Raccodement\FICHES CREES RACCORDEMENT\1 - RACCOS A SAISIR DANS AX\10-05-2019\*CL RACCO*.pdf")</f>
        <v>0</v>
      </c>
      <c r="F11" s="75">
        <f t="shared" ca="1" si="2"/>
        <v>0</v>
      </c>
      <c r="G11" s="67">
        <f ca="1">GetFileList("P:\TP et Raccodement\FICHES CREES RACCORDEMENT\2 - SAV + COMPL + PASSAGE W XV A SAISIR DANS AX\10-05-2019\*LM PASS*.pdf")</f>
        <v>0</v>
      </c>
      <c r="H11" s="67">
        <f ca="1">GetFileList("P:\TP et Raccodement\FICHES CREES RACCORDEMENT\2 - SAV + COMPL + PASSAGE W XV A SAISIR DANS AX\10-05-2019\*LR PASS*.pdf")</f>
        <v>0</v>
      </c>
      <c r="I11" s="68">
        <f ca="1">GetFileList("P:\TP et Raccodement\FICHES CREES RACCORDEMENT\2 - SAV + COMPL + PASSAGE W XV A SAISIR DANS AX\10-05-2019\*CL PASS*.pdf")</f>
        <v>0</v>
      </c>
      <c r="J11" s="76">
        <f ca="1">GetFileList("P:\TP et Raccodement\FICHES CREES RACCORDEMENT\2 - SAV + COMPL + PASSAGE W XV A SAISIR DANS AX\10-05-2019\*SAV*.pdf")</f>
        <v>0</v>
      </c>
      <c r="K11" s="77">
        <f ca="1">GetFileList("P:\TP et Raccodement\FICHES CREES RACCORDEMENT\2 - SAV + COMPL + PASSAGE W XV A SAISIR DANS AX\10-05-2019\*COMPLEMENT*.pdf")</f>
        <v>0</v>
      </c>
      <c r="L11" s="77">
        <f ca="1">GetFileList("P:\TP et Raccodement\FICHES CREES RACCORDEMENT\2 - SAV + COMPL + PASSAGE W XV A SAISIR DANS AX\10-05-2019\*REPRISE*.pdf")</f>
        <v>0</v>
      </c>
      <c r="M11" s="78">
        <f ca="1">GetFileList("P:\TP et Raccodement\FICHES CREES RACCORDEMENT\2 - SAV + COMPL + PASSAGE W XV A SAISIR DANS AX\10-05-2019\*REMONTAGE*.pdf")</f>
        <v>0</v>
      </c>
      <c r="N11" s="61"/>
      <c r="O11" s="73">
        <f t="shared" ca="1" si="1"/>
        <v>0</v>
      </c>
    </row>
    <row r="12" spans="1:16" ht="16.5" x14ac:dyDescent="0.3">
      <c r="A12" s="59">
        <v>43596</v>
      </c>
      <c r="B12" s="74">
        <f t="shared" ca="1" si="0"/>
        <v>0</v>
      </c>
      <c r="C12" s="67">
        <f ca="1">GetFileList("P:\TP et Raccodement\FICHES CREES RACCORDEMENT\1 - RACCOS A SAISIR DANS AX\11-05-2019\*LM RACCO*.pdf")</f>
        <v>0</v>
      </c>
      <c r="D12" s="67">
        <f ca="1">GetFileList("P:\TP et Raccodement\FICHES CREES RACCORDEMENT\1 - RACCOS A SAISIR DANS AX\11-05-2019\*LR RACCO*.pdf")</f>
        <v>0</v>
      </c>
      <c r="E12" s="68">
        <f ca="1">GetFileList("P:\TP et Raccodement\FICHES CREES RACCORDEMENT\1 - RACCOS A SAISIR DANS AX\11-05-2019\*CL RACCO*.pdf")</f>
        <v>0</v>
      </c>
      <c r="F12" s="75">
        <f t="shared" ca="1" si="2"/>
        <v>0</v>
      </c>
      <c r="G12" s="67">
        <f ca="1">GetFileList("P:\TP et Raccodement\FICHES CREES RACCORDEMENT\2 - SAV + COMPL + PASSAGE W XV A SAISIR DANS AX\11-05-2019\*LM PASS*.pdf")</f>
        <v>0</v>
      </c>
      <c r="H12" s="67">
        <f ca="1">GetFileList("P:\TP et Raccodement\FICHES CREES RACCORDEMENT\2 - SAV + COMPL + PASSAGE W XV A SAISIR DANS AX\11-05-2019\*LR PASS*.pdf")</f>
        <v>0</v>
      </c>
      <c r="I12" s="68">
        <f ca="1">GetFileList("P:\TP et Raccodement\FICHES CREES RACCORDEMENT\2 - SAV + COMPL + PASSAGE W XV A SAISIR DANS AX\11-05-2019\*CL PASS*.pdf")</f>
        <v>0</v>
      </c>
      <c r="J12" s="76">
        <f ca="1">GetFileList("P:\TP et Raccodement\FICHES CREES RACCORDEMENT\2 - SAV + COMPL + PASSAGE W XV A SAISIR DANS AX\11-05-2019\*SAV*.pdf")</f>
        <v>0</v>
      </c>
      <c r="K12" s="77">
        <f ca="1">GetFileList("P:\TP et Raccodement\FICHES CREES RACCORDEMENT\2 - SAV + COMPL + PASSAGE W XV A SAISIR DANS AX\11-05-2019\*COMPLEMENT*.pdf")</f>
        <v>0</v>
      </c>
      <c r="L12" s="77">
        <f ca="1">GetFileList("P:\TP et Raccodement\FICHES CREES RACCORDEMENT\2 - SAV + COMPL + PASSAGE W XV A SAISIR DANS AX\11-05-2019\*REPRISE*.pdf")</f>
        <v>0</v>
      </c>
      <c r="M12" s="78">
        <f ca="1">GetFileList("P:\TP et Raccodement\FICHES CREES RACCORDEMENT\2 - SAV + COMPL + PASSAGE W XV A SAISIR DANS AX\11-05-2019\*REMONTAGE*.pdf")</f>
        <v>0</v>
      </c>
      <c r="N12" s="61"/>
      <c r="O12" s="73">
        <f t="shared" ca="1" si="1"/>
        <v>0</v>
      </c>
    </row>
    <row r="13" spans="1:16" ht="16.5" x14ac:dyDescent="0.3">
      <c r="A13" s="88">
        <v>43597</v>
      </c>
      <c r="B13" s="89">
        <f t="shared" ca="1" si="0"/>
        <v>0</v>
      </c>
      <c r="C13" s="90">
        <f ca="1">GetFileList("P:\TP et Raccodement\FICHES CREES RACCORDEMENT\1 - RACCOS A SAISIR DANS AX\12-05-2019\*LM RACCO*.pdf")</f>
        <v>0</v>
      </c>
      <c r="D13" s="90">
        <f ca="1">GetFileList("P:\TP et Raccodement\FICHES CREES RACCORDEMENT\1 - RACCOS A SAISIR DANS AX\12-05-2019\*LR RACCO*.pdf")</f>
        <v>0</v>
      </c>
      <c r="E13" s="91">
        <f ca="1">GetFileList("P:\TP et Raccodement\FICHES CREES RACCORDEMENT\1 - RACCOS A SAISIR DANS AX\12-05-2019\*CL RACCO*.pdf")</f>
        <v>0</v>
      </c>
      <c r="F13" s="92">
        <f t="shared" ca="1" si="2"/>
        <v>0</v>
      </c>
      <c r="G13" s="90">
        <f ca="1">GetFileList("P:\TP et Raccodement\FICHES CREES RACCORDEMENT\2 - SAV + COMPL + PASSAGE W XV A SAISIR DANS AX\12-05-2019\*LM PASS*.pdf")</f>
        <v>0</v>
      </c>
      <c r="H13" s="90">
        <f ca="1">GetFileList("P:\TP et Raccodement\FICHES CREES RACCORDEMENT\2 - SAV + COMPL + PASSAGE W XV A SAISIR DANS AX\12-05-2019\*LR PASS*.pdf")</f>
        <v>0</v>
      </c>
      <c r="I13" s="91">
        <f ca="1">GetFileList("P:\TP et Raccodement\FICHES CREES RACCORDEMENT\2 - SAV + COMPL + PASSAGE W XV A SAISIR DANS AX\12-05-2019\*CL PASS*.pdf")</f>
        <v>0</v>
      </c>
      <c r="J13" s="93">
        <f ca="1">GetFileList("P:\TP et Raccodement\FICHES CREES RACCORDEMENT\2 - SAV + COMPL + PASSAGE W XV A SAISIR DANS AX\12-05-2019\*SAV*.pdf")</f>
        <v>0</v>
      </c>
      <c r="K13" s="94">
        <f ca="1">GetFileList("P:\TP et Raccodement\FICHES CREES RACCORDEMENT\2 - SAV + COMPL + PASSAGE W XV A SAISIR DANS AX\12-05-2019\*COMPLEMENT*.pdf")</f>
        <v>0</v>
      </c>
      <c r="L13" s="94">
        <f ca="1">GetFileList("P:\TP et Raccodement\FICHES CREES RACCORDEMENT\2 - SAV + COMPL + PASSAGE W XV A SAISIR DANS AX\12-05-2019\*REPRISE*.pdf")</f>
        <v>0</v>
      </c>
      <c r="M13" s="95">
        <f ca="1">GetFileList("P:\TP et Raccodement\FICHES CREES RACCORDEMENT\2 - SAV + COMPL + PASSAGE W XV A SAISIR DANS AX\12-05-2019\*REMONTAGE*.pdf")</f>
        <v>0</v>
      </c>
      <c r="N13" s="61"/>
      <c r="O13" s="73">
        <f t="shared" ca="1" si="1"/>
        <v>0</v>
      </c>
    </row>
    <row r="14" spans="1:16" ht="16.5" x14ac:dyDescent="0.3">
      <c r="A14" s="59">
        <v>43598</v>
      </c>
      <c r="B14" s="74">
        <f t="shared" ca="1" si="0"/>
        <v>0</v>
      </c>
      <c r="C14" s="67">
        <f ca="1">GetFileList("P:\TP et Raccodement\FICHES CREES RACCORDEMENT\1 - RACCOS A SAISIR DANS AX\13-05-2019\*LM RACCO*.pdf")</f>
        <v>0</v>
      </c>
      <c r="D14" s="67">
        <f ca="1">GetFileList("P:\TP et Raccodement\FICHES CREES RACCORDEMENT\1 - RACCOS A SAISIR DANS AX\13-05-2019\*LR RACCO*.pdf")</f>
        <v>0</v>
      </c>
      <c r="E14" s="68">
        <f ca="1">GetFileList("P:\TP et Raccodement\FICHES CREES RACCORDEMENT\1 - RACCOS A SAISIR DANS AX\13-05-2019\*CL RACCO*.pdf")</f>
        <v>0</v>
      </c>
      <c r="F14" s="75">
        <f t="shared" ca="1" si="2"/>
        <v>0</v>
      </c>
      <c r="G14" s="67">
        <f ca="1">GetFileList("P:\TP et Raccodement\FICHES CREES RACCORDEMENT\2 - SAV + COMPL + PASSAGE W XV A SAISIR DANS AX\13-05-2019\*LM PASS*.pdf")</f>
        <v>0</v>
      </c>
      <c r="H14" s="67">
        <f ca="1">GetFileList("P:\TP et Raccodement\FICHES CREES RACCORDEMENT\2 - SAV + COMPL + PASSAGE W XV A SAISIR DANS AX\13-05-2019\*LR PASS*.pdf")</f>
        <v>0</v>
      </c>
      <c r="I14" s="68">
        <f ca="1">GetFileList("P:\TP et Raccodement\FICHES CREES RACCORDEMENT\2 - SAV + COMPL + PASSAGE W XV A SAISIR DANS AX\13-05-2019\*CL PASS*.pdf")</f>
        <v>0</v>
      </c>
      <c r="J14" s="76">
        <f ca="1">GetFileList("P:\TP et Raccodement\FICHES CREES RACCORDEMENT\2 - SAV + COMPL + PASSAGE W XV A SAISIR DANS AX\13-05-2019\*SAV*.pdf")</f>
        <v>0</v>
      </c>
      <c r="K14" s="77">
        <f ca="1">GetFileList("P:\TP et Raccodement\FICHES CREES RACCORDEMENT\2 - SAV + COMPL + PASSAGE W XV A SAISIR DANS AX\13-05-2019\*COMPLEMENT*.pdf")</f>
        <v>0</v>
      </c>
      <c r="L14" s="77">
        <f ca="1">GetFileList("P:\TP et Raccodement\FICHES CREES RACCORDEMENT\2 - SAV + COMPL + PASSAGE W XV A SAISIR DANS AX\13-05-2019\*REPRISE*.pdf")</f>
        <v>0</v>
      </c>
      <c r="M14" s="78">
        <f ca="1">GetFileList("P:\TP et Raccodement\FICHES CREES RACCORDEMENT\2 - SAV + COMPL + PASSAGE W XV A SAISIR DANS AX\13-05-2019\*REMONTAGE*.pdf")</f>
        <v>0</v>
      </c>
      <c r="N14" s="61"/>
      <c r="O14" s="73">
        <f t="shared" ca="1" si="1"/>
        <v>0</v>
      </c>
    </row>
    <row r="15" spans="1:16" ht="16.5" x14ac:dyDescent="0.3">
      <c r="A15" s="59">
        <v>43599</v>
      </c>
      <c r="B15" s="74">
        <f t="shared" ca="1" si="0"/>
        <v>0</v>
      </c>
      <c r="C15" s="67">
        <f ca="1">GetFileList("P:\TP et Raccodement\FICHES CREES RACCORDEMENT\1 - RACCOS A SAISIR DANS AX\14-05-2019\*LM RACCO*.pdf")</f>
        <v>0</v>
      </c>
      <c r="D15" s="67">
        <f ca="1">GetFileList("P:\TP et Raccodement\FICHES CREES RACCORDEMENT\1 - RACCOS A SAISIR DANS AX\14-05-2019\*LR RACCO*.pdf")</f>
        <v>0</v>
      </c>
      <c r="E15" s="68">
        <f ca="1">GetFileList("P:\TP et Raccodement\FICHES CREES RACCORDEMENT\1 - RACCOS A SAISIR DANS AX\14-05-2019\*CL RACCO*.pdf")</f>
        <v>0</v>
      </c>
      <c r="F15" s="75">
        <f t="shared" ca="1" si="2"/>
        <v>0</v>
      </c>
      <c r="G15" s="67">
        <f ca="1">GetFileList("P:\TP et Raccodement\FICHES CREES RACCORDEMENT\2 - SAV + COMPL + PASSAGE W XV A SAISIR DANS AX\14-05-2019\*LM PASS*.pdf")</f>
        <v>0</v>
      </c>
      <c r="H15" s="67">
        <f ca="1">GetFileList("P:\TP et Raccodement\FICHES CREES RACCORDEMENT\2 - SAV + COMPL + PASSAGE W XV A SAISIR DANS AX\14-05-2019\*LR PASS*.pdf")</f>
        <v>0</v>
      </c>
      <c r="I15" s="68">
        <f ca="1">GetFileList("P:\TP et Raccodement\FICHES CREES RACCORDEMENT\2 - SAV + COMPL + PASSAGE W XV A SAISIR DANS AX\14-05-2019\*CL PASS*.pdf")</f>
        <v>0</v>
      </c>
      <c r="J15" s="76">
        <f ca="1">GetFileList("P:\TP et Raccodement\FICHES CREES RACCORDEMENT\2 - SAV + COMPL + PASSAGE W XV A SAISIR DANS AX\14-05-2019\*SAV*.pdf")</f>
        <v>0</v>
      </c>
      <c r="K15" s="77">
        <f ca="1">GetFileList("P:\TP et Raccodement\FICHES CREES RACCORDEMENT\2 - SAV + COMPL + PASSAGE W XV A SAISIR DANS AX\14-05-2019\*COMPLEMENT*.pdf")</f>
        <v>0</v>
      </c>
      <c r="L15" s="77">
        <f ca="1">GetFileList("P:\TP et Raccodement\FICHES CREES RACCORDEMENT\2 - SAV + COMPL + PASSAGE W XV A SAISIR DANS AX\14-05-2019\*REPRISE*.pdf")</f>
        <v>0</v>
      </c>
      <c r="M15" s="78">
        <f ca="1">GetFileList("P:\TP et Raccodement\FICHES CREES RACCORDEMENT\2 - SAV + COMPL + PASSAGE W XV A SAISIR DANS AX\14-05-2019\*REMONTAGE*.pdf")</f>
        <v>0</v>
      </c>
      <c r="N15" s="61"/>
      <c r="O15" s="73">
        <f t="shared" ca="1" si="1"/>
        <v>0</v>
      </c>
    </row>
    <row r="16" spans="1:16" ht="16.5" x14ac:dyDescent="0.3">
      <c r="A16" s="59">
        <v>43600</v>
      </c>
      <c r="B16" s="74">
        <f t="shared" ca="1" si="0"/>
        <v>0</v>
      </c>
      <c r="C16" s="67">
        <f ca="1">GetFileList("P:\TP et Raccodement\FICHES CREES RACCORDEMENT\1 - RACCOS A SAISIR DANS AX\15-05-2019\*LM RACCO*.pdf")</f>
        <v>0</v>
      </c>
      <c r="D16" s="67">
        <f ca="1">GetFileList("P:\TP et Raccodement\FICHES CREES RACCORDEMENT\1 - RACCOS A SAISIR DANS AX\15-05-2019\*LR RACCO*.pdf")</f>
        <v>0</v>
      </c>
      <c r="E16" s="68">
        <f ca="1">GetFileList("P:\TP et Raccodement\FICHES CREES RACCORDEMENT\1 - RACCOS A SAISIR DANS AX\15-05-2019\*CL RACCO*.pdf")</f>
        <v>0</v>
      </c>
      <c r="F16" s="75">
        <f t="shared" ca="1" si="2"/>
        <v>0</v>
      </c>
      <c r="G16" s="67">
        <f ca="1">GetFileList("P:\TP et Raccodement\FICHES CREES RACCORDEMENT\2 - SAV + COMPL + PASSAGE W XV A SAISIR DANS AX\15-05-2019\*LM PASS*.pdf")</f>
        <v>0</v>
      </c>
      <c r="H16" s="67">
        <f ca="1">GetFileList("P:\TP et Raccodement\FICHES CREES RACCORDEMENT\2 - SAV + COMPL + PASSAGE W XV A SAISIR DANS AX\15-05-2019\*LR PASS*.pdf")</f>
        <v>0</v>
      </c>
      <c r="I16" s="68">
        <f ca="1">GetFileList("P:\TP et Raccodement\FICHES CREES RACCORDEMENT\2 - SAV + COMPL + PASSAGE W XV A SAISIR DANS AX\15-05-2019\*CL PASS*.pdf")</f>
        <v>0</v>
      </c>
      <c r="J16" s="76">
        <f ca="1">GetFileList("P:\TP et Raccodement\FICHES CREES RACCORDEMENT\2 - SAV + COMPL + PASSAGE W XV A SAISIR DANS AX\15-05-2019\*SAV*.pdf")</f>
        <v>0</v>
      </c>
      <c r="K16" s="77">
        <f ca="1">GetFileList("P:\TP et Raccodement\FICHES CREES RACCORDEMENT\2 - SAV + COMPL + PASSAGE W XV A SAISIR DANS AX\15-05-2019\*COMPLEMENT*.pdf")</f>
        <v>0</v>
      </c>
      <c r="L16" s="77">
        <f ca="1">GetFileList("P:\TP et Raccodement\FICHES CREES RACCORDEMENT\2 - SAV + COMPL + PASSAGE W XV A SAISIR DANS AX\15-05-2019\*REPRISE*.pdf")</f>
        <v>0</v>
      </c>
      <c r="M16" s="78">
        <f ca="1">GetFileList("P:\TP et Raccodement\FICHES CREES RACCORDEMENT\2 - SAV + COMPL + PASSAGE W XV A SAISIR DANS AX\15-05-2019\*REMONTAGE*.pdf")</f>
        <v>0</v>
      </c>
      <c r="N16" s="61"/>
      <c r="O16" s="73">
        <f t="shared" ca="1" si="1"/>
        <v>0</v>
      </c>
    </row>
    <row r="17" spans="1:15" ht="16.5" x14ac:dyDescent="0.3">
      <c r="A17" s="59">
        <v>43601</v>
      </c>
      <c r="B17" s="74">
        <f t="shared" ca="1" si="0"/>
        <v>0</v>
      </c>
      <c r="C17" s="67">
        <f ca="1">GetFileList("P:\TP et Raccodement\FICHES CREES RACCORDEMENT\1 - RACCOS A SAISIR DANS AX\16-05-2019\*LM RACCO*.pdf")</f>
        <v>0</v>
      </c>
      <c r="D17" s="67">
        <f ca="1">GetFileList("P:\TP et Raccodement\FICHES CREES RACCORDEMENT\1 - RACCOS A SAISIR DANS AX\16-05-2019\*LR RACCO*.pdf")</f>
        <v>0</v>
      </c>
      <c r="E17" s="68">
        <f ca="1">GetFileList("P:\TP et Raccodement\FICHES CREES RACCORDEMENT\1 - RACCOS A SAISIR DANS AX\16-05-2019\*CL RACCO*.pdf")</f>
        <v>0</v>
      </c>
      <c r="F17" s="75">
        <f t="shared" ca="1" si="2"/>
        <v>0</v>
      </c>
      <c r="G17" s="67">
        <f ca="1">GetFileList("P:\TP et Raccodement\FICHES CREES RACCORDEMENT\2 - SAV + COMPL + PASSAGE W XV A SAISIR DANS AX\16-05-2019\*LM PASS*.pdf")</f>
        <v>0</v>
      </c>
      <c r="H17" s="67">
        <f ca="1">GetFileList("P:\TP et Raccodement\FICHES CREES RACCORDEMENT\2 - SAV + COMPL + PASSAGE W XV A SAISIR DANS AX\16-05-2019\*LR PASS*.pdf")</f>
        <v>0</v>
      </c>
      <c r="I17" s="68">
        <f ca="1">GetFileList("P:\TP et Raccodement\FICHES CREES RACCORDEMENT\2 - SAV + COMPL + PASSAGE W XV A SAISIR DANS AX\16-05-2019\*CL PASS*.pdf")</f>
        <v>0</v>
      </c>
      <c r="J17" s="76">
        <f ca="1">GetFileList("P:\TP et Raccodement\FICHES CREES RACCORDEMENT\2 - SAV + COMPL + PASSAGE W XV A SAISIR DANS AX\16-05-2019\*SAV*.pdf")</f>
        <v>0</v>
      </c>
      <c r="K17" s="77">
        <f ca="1">GetFileList("P:\TP et Raccodement\FICHES CREES RACCORDEMENT\2 - SAV + COMPL + PASSAGE W XV A SAISIR DANS AX\16-05-2019\*COMPLEMENT*.pdf")</f>
        <v>0</v>
      </c>
      <c r="L17" s="77">
        <f ca="1">GetFileList("P:\TP et Raccodement\FICHES CREES RACCORDEMENT\2 - SAV + COMPL + PASSAGE W XV A SAISIR DANS AX\16-05-2019\*REPRISE*.pdf")</f>
        <v>0</v>
      </c>
      <c r="M17" s="78">
        <f ca="1">GetFileList("P:\TP et Raccodement\FICHES CREES RACCORDEMENT\2 - SAV + COMPL + PASSAGE W XV A SAISIR DANS AX\16-05-2019\*REMONTAGE*.pdf")</f>
        <v>0</v>
      </c>
      <c r="N17" s="61"/>
      <c r="O17" s="73">
        <f t="shared" ca="1" si="1"/>
        <v>0</v>
      </c>
    </row>
    <row r="18" spans="1:15" ht="16.5" x14ac:dyDescent="0.3">
      <c r="A18" s="59">
        <v>43602</v>
      </c>
      <c r="B18" s="74">
        <f t="shared" ca="1" si="0"/>
        <v>0</v>
      </c>
      <c r="C18" s="67">
        <f ca="1">GetFileList("P:\TP et Raccodement\FICHES CREES RACCORDEMENT\1 - RACCOS A SAISIR DANS AX\17-05-2019\*LM RACCO*.pdf")</f>
        <v>0</v>
      </c>
      <c r="D18" s="67">
        <f ca="1">GetFileList("P:\TP et Raccodement\FICHES CREES RACCORDEMENT\1 - RACCOS A SAISIR DANS AX\17-05-2019\*LR RACCO*.pdf")</f>
        <v>0</v>
      </c>
      <c r="E18" s="68">
        <f ca="1">GetFileList("P:\TP et Raccodement\FICHES CREES RACCORDEMENT\1 - RACCOS A SAISIR DANS AX\17-05-2019\*CL RACCO*.pdf")</f>
        <v>0</v>
      </c>
      <c r="F18" s="75">
        <f t="shared" ca="1" si="2"/>
        <v>0</v>
      </c>
      <c r="G18" s="67">
        <f ca="1">GetFileList("P:\TP et Raccodement\FICHES CREES RACCORDEMENT\2 - SAV + COMPL + PASSAGE W XV A SAISIR DANS AX\17-05-2019\*LM PASS*.pdf")</f>
        <v>0</v>
      </c>
      <c r="H18" s="67">
        <f ca="1">GetFileList("P:\TP et Raccodement\FICHES CREES RACCORDEMENT\2 - SAV + COMPL + PASSAGE W XV A SAISIR DANS AX\17-05-2019\*LR PASS*.pdf")</f>
        <v>0</v>
      </c>
      <c r="I18" s="68">
        <f ca="1">GetFileList("P:\TP et Raccodement\FICHES CREES RACCORDEMENT\2 - SAV + COMPL + PASSAGE W XV A SAISIR DANS AX\17-05-2019\*CL PASS*.pdf")</f>
        <v>0</v>
      </c>
      <c r="J18" s="76">
        <f ca="1">GetFileList("P:\TP et Raccodement\FICHES CREES RACCORDEMENT\2 - SAV + COMPL + PASSAGE W XV A SAISIR DANS AX\17-05-2019\*SAV*.pdf")</f>
        <v>0</v>
      </c>
      <c r="K18" s="77">
        <f ca="1">GetFileList("P:\TP et Raccodement\FICHES CREES RACCORDEMENT\2 - SAV + COMPL + PASSAGE W XV A SAISIR DANS AX\17-05-2019\*COMPLEMENT*.pdf")</f>
        <v>0</v>
      </c>
      <c r="L18" s="77">
        <f ca="1">GetFileList("P:\TP et Raccodement\FICHES CREES RACCORDEMENT\2 - SAV + COMPL + PASSAGE W XV A SAISIR DANS AX\17-05-2019\*REPRISE*.pdf")</f>
        <v>0</v>
      </c>
      <c r="M18" s="78">
        <f ca="1">GetFileList("P:\TP et Raccodement\FICHES CREES RACCORDEMENT\2 - SAV + COMPL + PASSAGE W XV A SAISIR DANS AX\17-05-2019\*REMONTAGE*.pdf")</f>
        <v>0</v>
      </c>
      <c r="N18" s="61"/>
      <c r="O18" s="73">
        <f t="shared" ca="1" si="1"/>
        <v>0</v>
      </c>
    </row>
    <row r="19" spans="1:15" ht="16.5" x14ac:dyDescent="0.3">
      <c r="A19" s="59">
        <v>43603</v>
      </c>
      <c r="B19" s="74">
        <f t="shared" ca="1" si="0"/>
        <v>0</v>
      </c>
      <c r="C19" s="67">
        <f ca="1">GetFileList("P:\TP et Raccodement\FICHES CREES RACCORDEMENT\1 - RACCOS A SAISIR DANS AX\18-05-2019\*LM RACCO*.pdf")</f>
        <v>0</v>
      </c>
      <c r="D19" s="67">
        <f ca="1">GetFileList("P:\TP et Raccodement\FICHES CREES RACCORDEMENT\1 - RACCOS A SAISIR DANS AX\18-05-2019\*LR RACCO*.pdf")</f>
        <v>0</v>
      </c>
      <c r="E19" s="68">
        <f ca="1">GetFileList("P:\TP et Raccodement\FICHES CREES RACCORDEMENT\1 - RACCOS A SAISIR DANS AX\18-05-2019\*CL RACCO*.pdf")</f>
        <v>0</v>
      </c>
      <c r="F19" s="75">
        <f t="shared" ca="1" si="2"/>
        <v>0</v>
      </c>
      <c r="G19" s="67">
        <f ca="1">GetFileList("P:\TP et Raccodement\FICHES CREES RACCORDEMENT\2 - SAV + COMPL + PASSAGE W XV A SAISIR DANS AX\18-05-2019\*LM PASS*.pdf")</f>
        <v>0</v>
      </c>
      <c r="H19" s="67">
        <f ca="1">GetFileList("P:\TP et Raccodement\FICHES CREES RACCORDEMENT\2 - SAV + COMPL + PASSAGE W XV A SAISIR DANS AX\18-05-2019\*LR PASS*.pdf")</f>
        <v>0</v>
      </c>
      <c r="I19" s="68">
        <f ca="1">GetFileList("P:\TP et Raccodement\FICHES CREES RACCORDEMENT\2 - SAV + COMPL + PASSAGE W XV A SAISIR DANS AX\18-05-2019\*CL PASS*.pdf")</f>
        <v>0</v>
      </c>
      <c r="J19" s="76">
        <f ca="1">GetFileList("P:\TP et Raccodement\FICHES CREES RACCORDEMENT\2 - SAV + COMPL + PASSAGE W XV A SAISIR DANS AX\18-05-2019\*SAV*.pdf")</f>
        <v>0</v>
      </c>
      <c r="K19" s="77">
        <f ca="1">GetFileList("P:\TP et Raccodement\FICHES CREES RACCORDEMENT\2 - SAV + COMPL + PASSAGE W XV A SAISIR DANS AX\18-05-2019\*COMPLEMENT*.pdf")</f>
        <v>0</v>
      </c>
      <c r="L19" s="77">
        <f ca="1">GetFileList("P:\TP et Raccodement\FICHES CREES RACCORDEMENT\2 - SAV + COMPL + PASSAGE W XV A SAISIR DANS AX\18-05-2019\*REPRISE*.pdf")</f>
        <v>0</v>
      </c>
      <c r="M19" s="78">
        <f ca="1">GetFileList("P:\TP et Raccodement\FICHES CREES RACCORDEMENT\2 - SAV + COMPL + PASSAGE W XV A SAISIR DANS AX\18-05-2019\*REMONTAGE*.pdf")</f>
        <v>0</v>
      </c>
      <c r="N19" s="61"/>
      <c r="O19" s="73">
        <f t="shared" ca="1" si="1"/>
        <v>0</v>
      </c>
    </row>
    <row r="20" spans="1:15" ht="16.5" x14ac:dyDescent="0.3">
      <c r="A20" s="88">
        <v>43604</v>
      </c>
      <c r="B20" s="89">
        <f t="shared" ca="1" si="0"/>
        <v>0</v>
      </c>
      <c r="C20" s="90">
        <f ca="1">GetFileList("P:\TP et Raccodement\FICHES CREES RACCORDEMENT\1 - RACCOS A SAISIR DANS AX\19-05-2019\*LM RACCO*.pdf")</f>
        <v>0</v>
      </c>
      <c r="D20" s="90">
        <f ca="1">GetFileList("P:\TP et Raccodement\FICHES CREES RACCORDEMENT\1 - RACCOS A SAISIR DANS AX\19-05-2019\*LR RACCO*.pdf")</f>
        <v>0</v>
      </c>
      <c r="E20" s="91">
        <f ca="1">GetFileList("P:\TP et Raccodement\FICHES CREES RACCORDEMENT\1 - RACCOS A SAISIR DANS AX\19-05-2019\*CL RACCO*.pdf")</f>
        <v>0</v>
      </c>
      <c r="F20" s="92">
        <f t="shared" ca="1" si="2"/>
        <v>0</v>
      </c>
      <c r="G20" s="90">
        <f ca="1">GetFileList("P:\TP et Raccodement\FICHES CREES RACCORDEMENT\2 - SAV + COMPL + PASSAGE W XV A SAISIR DANS AX\19-05-2019\*LM PASS*.pdf")</f>
        <v>0</v>
      </c>
      <c r="H20" s="90">
        <f ca="1">GetFileList("P:\TP et Raccodement\FICHES CREES RACCORDEMENT\2 - SAV + COMPL + PASSAGE W XV A SAISIR DANS AX\19-05-2019\*LR PASS*.pdf")</f>
        <v>0</v>
      </c>
      <c r="I20" s="91">
        <f ca="1">GetFileList("P:\TP et Raccodement\FICHES CREES RACCORDEMENT\2 - SAV + COMPL + PASSAGE W XV A SAISIR DANS AX\19-05-2019\*CL PASS*.pdf")</f>
        <v>0</v>
      </c>
      <c r="J20" s="93">
        <f ca="1">GetFileList("P:\TP et Raccodement\FICHES CREES RACCORDEMENT\2 - SAV + COMPL + PASSAGE W XV A SAISIR DANS AX\19-05-2019\*SAV*.pdf")</f>
        <v>0</v>
      </c>
      <c r="K20" s="94">
        <f ca="1">GetFileList("P:\TP et Raccodement\FICHES CREES RACCORDEMENT\2 - SAV + COMPL + PASSAGE W XV A SAISIR DANS AX\19-05-2019\*COMPLEMENT*.pdf")</f>
        <v>0</v>
      </c>
      <c r="L20" s="94">
        <f ca="1">GetFileList("P:\TP et Raccodement\FICHES CREES RACCORDEMENT\2 - SAV + COMPL + PASSAGE W XV A SAISIR DANS AX\19-05-2019\*REPRISE*.pdf")</f>
        <v>0</v>
      </c>
      <c r="M20" s="95">
        <f ca="1">GetFileList("P:\TP et Raccodement\FICHES CREES RACCORDEMENT\2 - SAV + COMPL + PASSAGE W XV A SAISIR DANS AX\19-05-2019\*REMONTAGE*.pdf")</f>
        <v>0</v>
      </c>
      <c r="N20" s="61"/>
      <c r="O20" s="73">
        <f t="shared" ca="1" si="1"/>
        <v>0</v>
      </c>
    </row>
    <row r="21" spans="1:15" ht="16.5" x14ac:dyDescent="0.3">
      <c r="A21" s="59">
        <v>43605</v>
      </c>
      <c r="B21" s="74">
        <f t="shared" ca="1" si="0"/>
        <v>0</v>
      </c>
      <c r="C21" s="67">
        <f ca="1">GetFileList("P:\TP et Raccodement\FICHES CREES RACCORDEMENT\1 - RACCOS A SAISIR DANS AX\20-05-2019\*LM RACCO*.pdf")</f>
        <v>0</v>
      </c>
      <c r="D21" s="67">
        <f ca="1">GetFileList("P:\TP et Raccodement\FICHES CREES RACCORDEMENT\1 - RACCOS A SAISIR DANS AX\20-05-2019\*LR RACCO*.pdf")</f>
        <v>0</v>
      </c>
      <c r="E21" s="68">
        <f ca="1">GetFileList("P:\TP et Raccodement\FICHES CREES RACCORDEMENT\1 - RACCOS A SAISIR DANS AX\20-05-2019\*CL RACCO*.pdf")</f>
        <v>0</v>
      </c>
      <c r="F21" s="75">
        <f t="shared" ca="1" si="2"/>
        <v>0</v>
      </c>
      <c r="G21" s="67">
        <f ca="1">GetFileList("P:\TP et Raccodement\FICHES CREES RACCORDEMENT\2 - SAV + COMPL + PASSAGE W XV A SAISIR DANS AX\20-05-2019\*LM PASS*.pdf")</f>
        <v>0</v>
      </c>
      <c r="H21" s="67">
        <f ca="1">GetFileList("P:\TP et Raccodement\FICHES CREES RACCORDEMENT\2 - SAV + COMPL + PASSAGE W XV A SAISIR DANS AX\20-05-2019\*LR PASS*.pdf")</f>
        <v>0</v>
      </c>
      <c r="I21" s="68">
        <f ca="1">GetFileList("P:\TP et Raccodement\FICHES CREES RACCORDEMENT\2 - SAV + COMPL + PASSAGE W XV A SAISIR DANS AX\20-05-2019\*CL PASS*.pdf")</f>
        <v>0</v>
      </c>
      <c r="J21" s="76">
        <f ca="1">GetFileList("P:\TP et Raccodement\FICHES CREES RACCORDEMENT\2 - SAV + COMPL + PASSAGE W XV A SAISIR DANS AX\20-05-2019\*SAV*.pdf")</f>
        <v>0</v>
      </c>
      <c r="K21" s="77">
        <f ca="1">GetFileList("P:\TP et Raccodement\FICHES CREES RACCORDEMENT\2 - SAV + COMPL + PASSAGE W XV A SAISIR DANS AX\20-05-2019\*COMPLEMENT*.pdf")</f>
        <v>0</v>
      </c>
      <c r="L21" s="77">
        <f ca="1">GetFileList("P:\TP et Raccodement\FICHES CREES RACCORDEMENT\2 - SAV + COMPL + PASSAGE W XV A SAISIR DANS AX\20-05-2019\*REPRISE*.pdf")</f>
        <v>0</v>
      </c>
      <c r="M21" s="78">
        <f ca="1">GetFileList("P:\TP et Raccodement\FICHES CREES RACCORDEMENT\2 - SAV + COMPL + PASSAGE W XV A SAISIR DANS AX\20-05-2019\*REMONTAGE*.pdf")</f>
        <v>0</v>
      </c>
      <c r="N21" s="61"/>
      <c r="O21" s="73">
        <f t="shared" ca="1" si="1"/>
        <v>0</v>
      </c>
    </row>
    <row r="22" spans="1:15" ht="16.5" x14ac:dyDescent="0.3">
      <c r="A22" s="59">
        <v>43606</v>
      </c>
      <c r="B22" s="74">
        <f t="shared" ca="1" si="0"/>
        <v>0</v>
      </c>
      <c r="C22" s="67">
        <f ca="1">GetFileList("P:\TP et Raccodement\FICHES CREES RACCORDEMENT\1 - RACCOS A SAISIR DANS AX\21-05-2019\*LM RACCO*.pdf")</f>
        <v>0</v>
      </c>
      <c r="D22" s="67">
        <f ca="1">GetFileList("P:\TP et Raccodement\FICHES CREES RACCORDEMENT\1 - RACCOS A SAISIR DANS AX\21-05-2019\*LR RACCO*.pdf")</f>
        <v>0</v>
      </c>
      <c r="E22" s="68">
        <f ca="1">GetFileList("P:\TP et Raccodement\FICHES CREES RACCORDEMENT\1 - RACCOS A SAISIR DANS AX\21-05-2019\*CL RACCO*.pdf")</f>
        <v>0</v>
      </c>
      <c r="F22" s="75">
        <f t="shared" ca="1" si="2"/>
        <v>0</v>
      </c>
      <c r="G22" s="67">
        <f ca="1">GetFileList("P:\TP et Raccodement\FICHES CREES RACCORDEMENT\2 - SAV + COMPL + PASSAGE W XV A SAISIR DANS AX\21-05-2019\*LM PASS*.pdf")</f>
        <v>0</v>
      </c>
      <c r="H22" s="67">
        <f ca="1">GetFileList("P:\TP et Raccodement\FICHES CREES RACCORDEMENT\2 - SAV + COMPL + PASSAGE W XV A SAISIR DANS AX\21-05-2019\*LR PASS*.pdf")</f>
        <v>0</v>
      </c>
      <c r="I22" s="68">
        <f ca="1">GetFileList("P:\TP et Raccodement\FICHES CREES RACCORDEMENT\2 - SAV + COMPL + PASSAGE W XV A SAISIR DANS AX\21-05-2019\*CL PASS*.pdf")</f>
        <v>0</v>
      </c>
      <c r="J22" s="76">
        <f ca="1">GetFileList("P:\TP et Raccodement\FICHES CREES RACCORDEMENT\2 - SAV + COMPL + PASSAGE W XV A SAISIR DANS AX\21-05-2019\*SAV*.pdf")</f>
        <v>0</v>
      </c>
      <c r="K22" s="77">
        <f ca="1">GetFileList("P:\TP et Raccodement\FICHES CREES RACCORDEMENT\2 - SAV + COMPL + PASSAGE W XV A SAISIR DANS AX\21-05-2019\*COMPLEMENT*.pdf")</f>
        <v>0</v>
      </c>
      <c r="L22" s="77">
        <f ca="1">GetFileList("P:\TP et Raccodement\FICHES CREES RACCORDEMENT\2 - SAV + COMPL + PASSAGE W XV A SAISIR DANS AX\21-05-2019\*REPRISE*.pdf")</f>
        <v>0</v>
      </c>
      <c r="M22" s="78">
        <f ca="1">GetFileList("P:\TP et Raccodement\FICHES CREES RACCORDEMENT\2 - SAV + COMPL + PASSAGE W XV A SAISIR DANS AX\21-05-2019\*REMONTAGE*.pdf")</f>
        <v>0</v>
      </c>
      <c r="N22" s="61"/>
      <c r="O22" s="73">
        <f t="shared" ca="1" si="1"/>
        <v>0</v>
      </c>
    </row>
    <row r="23" spans="1:15" ht="16.5" x14ac:dyDescent="0.3">
      <c r="A23" s="59">
        <v>43607</v>
      </c>
      <c r="B23" s="74">
        <f t="shared" ca="1" si="0"/>
        <v>0</v>
      </c>
      <c r="C23" s="67">
        <f ca="1">GetFileList("P:\TP et Raccodement\FICHES CREES RACCORDEMENT\1 - RACCOS A SAISIR DANS AX\22-05-2019\*LM RACCO*.pdf")</f>
        <v>0</v>
      </c>
      <c r="D23" s="67">
        <f ca="1">GetFileList("P:\TP et Raccodement\FICHES CREES RACCORDEMENT\1 - RACCOS A SAISIR DANS AX\22-05-2019\*LR RACCO*.pdf")</f>
        <v>0</v>
      </c>
      <c r="E23" s="68">
        <f ca="1">GetFileList("P:\TP et Raccodement\FICHES CREES RACCORDEMENT\1 - RACCOS A SAISIR DANS AX\22-05-2019\*CL RACCO*.pdf")</f>
        <v>0</v>
      </c>
      <c r="F23" s="75">
        <f t="shared" ca="1" si="2"/>
        <v>0</v>
      </c>
      <c r="G23" s="67">
        <f ca="1">GetFileList("P:\TP et Raccodement\FICHES CREES RACCORDEMENT\2 - SAV + COMPL + PASSAGE W XV A SAISIR DANS AX\22-05-2019\*LM PASS*.pdf")</f>
        <v>0</v>
      </c>
      <c r="H23" s="67">
        <f ca="1">GetFileList("P:\TP et Raccodement\FICHES CREES RACCORDEMENT\2 - SAV + COMPL + PASSAGE W XV A SAISIR DANS AX\22-05-2019\*LR PASS*.pdf")</f>
        <v>0</v>
      </c>
      <c r="I23" s="68">
        <f ca="1">GetFileList("P:\TP et Raccodement\FICHES CREES RACCORDEMENT\2 - SAV + COMPL + PASSAGE W XV A SAISIR DANS AX\22-05-2019\*CL PASS*.pdf")</f>
        <v>0</v>
      </c>
      <c r="J23" s="76">
        <f ca="1">GetFileList("P:\TP et Raccodement\FICHES CREES RACCORDEMENT\2 - SAV + COMPL + PASSAGE W XV A SAISIR DANS AX\22-05-2019\*SAV*.pdf")</f>
        <v>0</v>
      </c>
      <c r="K23" s="77">
        <f ca="1">GetFileList("P:\TP et Raccodement\FICHES CREES RACCORDEMENT\2 - SAV + COMPL + PASSAGE W XV A SAISIR DANS AX\22-05-2019\*COMPLEMENT*.pdf")</f>
        <v>0</v>
      </c>
      <c r="L23" s="77">
        <f ca="1">GetFileList("P:\TP et Raccodement\FICHES CREES RACCORDEMENT\2 - SAV + COMPL + PASSAGE W XV A SAISIR DANS AX\22-05-2019\*REPRISE*.pdf")</f>
        <v>0</v>
      </c>
      <c r="M23" s="78">
        <f ca="1">GetFileList("P:\TP et Raccodement\FICHES CREES RACCORDEMENT\2 - SAV + COMPL + PASSAGE W XV A SAISIR DANS AX\22-05-2019\*REMONTAGE*.pdf")</f>
        <v>0</v>
      </c>
      <c r="N23" s="61"/>
      <c r="O23" s="73">
        <f t="shared" ca="1" si="1"/>
        <v>0</v>
      </c>
    </row>
    <row r="24" spans="1:15" ht="16.5" x14ac:dyDescent="0.3">
      <c r="A24" s="59">
        <v>43608</v>
      </c>
      <c r="B24" s="74">
        <f t="shared" ca="1" si="0"/>
        <v>0</v>
      </c>
      <c r="C24" s="67">
        <f ca="1">GetFileList("P:\TP et Raccodement\FICHES CREES RACCORDEMENT\1 - RACCOS A SAISIR DANS AX\23-05-2019\*LM RACCO*.pdf")</f>
        <v>0</v>
      </c>
      <c r="D24" s="67">
        <f ca="1">GetFileList("P:\TP et Raccodement\FICHES CREES RACCORDEMENT\1 - RACCOS A SAISIR DANS AX\23-05-2019\*LR RACCO*.pdf")</f>
        <v>0</v>
      </c>
      <c r="E24" s="68">
        <f ca="1">GetFileList("P:\TP et Raccodement\FICHES CREES RACCORDEMENT\1 - RACCOS A SAISIR DANS AX\23-05-2019\*CL RACCO*.pdf")</f>
        <v>0</v>
      </c>
      <c r="F24" s="75">
        <f t="shared" ca="1" si="2"/>
        <v>0</v>
      </c>
      <c r="G24" s="67">
        <f ca="1">GetFileList("P:\TP et Raccodement\FICHES CREES RACCORDEMENT\2 - SAV + COMPL + PASSAGE W XV A SAISIR DANS AX\23-05-2019\*LM PASS*.pdf")</f>
        <v>0</v>
      </c>
      <c r="H24" s="67">
        <f ca="1">GetFileList("P:\TP et Raccodement\FICHES CREES RACCORDEMENT\2 - SAV + COMPL + PASSAGE W XV A SAISIR DANS AX\23-05-2019\*LR PASS*.pdf")</f>
        <v>0</v>
      </c>
      <c r="I24" s="68">
        <f ca="1">GetFileList("P:\TP et Raccodement\FICHES CREES RACCORDEMENT\2 - SAV + COMPL + PASSAGE W XV A SAISIR DANS AX\23-05-2019\*CL PASS*.pdf")</f>
        <v>0</v>
      </c>
      <c r="J24" s="76">
        <f ca="1">GetFileList("P:\TP et Raccodement\FICHES CREES RACCORDEMENT\2 - SAV + COMPL + PASSAGE W XV A SAISIR DANS AX\23-05-2019\*SAV*.pdf")</f>
        <v>0</v>
      </c>
      <c r="K24" s="77">
        <f ca="1">GetFileList("P:\TP et Raccodement\FICHES CREES RACCORDEMENT\2 - SAV + COMPL + PASSAGE W XV A SAISIR DANS AX\23-05-2019\*COMPLEMENT*.pdf")</f>
        <v>0</v>
      </c>
      <c r="L24" s="77">
        <f ca="1">GetFileList("P:\TP et Raccodement\FICHES CREES RACCORDEMENT\2 - SAV + COMPL + PASSAGE W XV A SAISIR DANS AX\23-05-2019\*REPRISE*.pdf")</f>
        <v>0</v>
      </c>
      <c r="M24" s="78">
        <f ca="1">GetFileList("P:\TP et Raccodement\FICHES CREES RACCORDEMENT\2 - SAV + COMPL + PASSAGE W XV A SAISIR DANS AX\23-05-2019\*REMONTAGE*.pdf")</f>
        <v>0</v>
      </c>
      <c r="N24" s="61"/>
      <c r="O24" s="73">
        <f t="shared" ca="1" si="1"/>
        <v>0</v>
      </c>
    </row>
    <row r="25" spans="1:15" ht="16.5" x14ac:dyDescent="0.3">
      <c r="A25" s="59">
        <v>43609</v>
      </c>
      <c r="B25" s="74">
        <f t="shared" ca="1" si="0"/>
        <v>0</v>
      </c>
      <c r="C25" s="67">
        <f ca="1">GetFileList("P:\TP et Raccodement\FICHES CREES RACCORDEMENT\1 - RACCOS A SAISIR DANS AX\24-05-2019\*LM RACCO*.pdf")</f>
        <v>0</v>
      </c>
      <c r="D25" s="67">
        <f ca="1">GetFileList("P:\TP et Raccodement\FICHES CREES RACCORDEMENT\1 - RACCOS A SAISIR DANS AX\24-05-2019\*LR RACCO*.pdf")</f>
        <v>0</v>
      </c>
      <c r="E25" s="68">
        <f ca="1">GetFileList("P:\TP et Raccodement\FICHES CREES RACCORDEMENT\1 - RACCOS A SAISIR DANS AX\24-05-2019\*CL RACCO*.pdf")</f>
        <v>0</v>
      </c>
      <c r="F25" s="75">
        <f t="shared" ca="1" si="2"/>
        <v>0</v>
      </c>
      <c r="G25" s="67">
        <f ca="1">GetFileList("P:\TP et Raccodement\FICHES CREES RACCORDEMENT\2 - SAV + COMPL + PASSAGE W XV A SAISIR DANS AX\24-05-2019\*LM PASS*.pdf")</f>
        <v>0</v>
      </c>
      <c r="H25" s="67">
        <f ca="1">GetFileList("P:\TP et Raccodement\FICHES CREES RACCORDEMENT\2 - SAV + COMPL + PASSAGE W XV A SAISIR DANS AX\24-05-2019\*LR PASS*.pdf")</f>
        <v>0</v>
      </c>
      <c r="I25" s="68">
        <f ca="1">GetFileList("P:\TP et Raccodement\FICHES CREES RACCORDEMENT\2 - SAV + COMPL + PASSAGE W XV A SAISIR DANS AX\24-05-2019\*CL PASS*.pdf")</f>
        <v>0</v>
      </c>
      <c r="J25" s="76">
        <f ca="1">GetFileList("P:\TP et Raccodement\FICHES CREES RACCORDEMENT\2 - SAV + COMPL + PASSAGE W XV A SAISIR DANS AX\24-05-2019\*SAV*.pdf")</f>
        <v>0</v>
      </c>
      <c r="K25" s="77">
        <f ca="1">GetFileList("P:\TP et Raccodement\FICHES CREES RACCORDEMENT\2 - SAV + COMPL + PASSAGE W XV A SAISIR DANS AX\24-05-2019\*COMPLEMENT*.pdf")</f>
        <v>0</v>
      </c>
      <c r="L25" s="77">
        <f ca="1">GetFileList("P:\TP et Raccodement\FICHES CREES RACCORDEMENT\2 - SAV + COMPL + PASSAGE W XV A SAISIR DANS AX\24-05-2019\*REPRISE*.pdf")</f>
        <v>0</v>
      </c>
      <c r="M25" s="78">
        <f ca="1">GetFileList("P:\TP et Raccodement\FICHES CREES RACCORDEMENT\2 - SAV + COMPL + PASSAGE W XV A SAISIR DANS AX\24-05-2019\*REMONTAGE*.pdf")</f>
        <v>0</v>
      </c>
      <c r="N25" s="61"/>
      <c r="O25" s="73">
        <f t="shared" ca="1" si="1"/>
        <v>0</v>
      </c>
    </row>
    <row r="26" spans="1:15" ht="16.5" x14ac:dyDescent="0.3">
      <c r="A26" s="59">
        <v>43610</v>
      </c>
      <c r="B26" s="74">
        <f t="shared" ca="1" si="0"/>
        <v>0</v>
      </c>
      <c r="C26" s="67">
        <f ca="1">GetFileList("P:\TP et Raccodement\FICHES CREES RACCORDEMENT\1 - RACCOS A SAISIR DANS AX\25-05-2019\*LM RACCO*.pdf")</f>
        <v>0</v>
      </c>
      <c r="D26" s="67">
        <f ca="1">GetFileList("P:\TP et Raccodement\FICHES CREES RACCORDEMENT\1 - RACCOS A SAISIR DANS AX\25-05-2019\*LR RACCO*.pdf")</f>
        <v>0</v>
      </c>
      <c r="E26" s="68">
        <f ca="1">GetFileList("P:\TP et Raccodement\FICHES CREES RACCORDEMENT\1 - RACCOS A SAISIR DANS AX\25-05-2019\*CL RACCO*.pdf")</f>
        <v>0</v>
      </c>
      <c r="F26" s="75">
        <f t="shared" ca="1" si="2"/>
        <v>0</v>
      </c>
      <c r="G26" s="67">
        <f ca="1">GetFileList("P:\TP et Raccodement\FICHES CREES RACCORDEMENT\2 - SAV + COMPL + PASSAGE W XV A SAISIR DANS AX\25-05-2019\*LM PASS*.pdf")</f>
        <v>0</v>
      </c>
      <c r="H26" s="67">
        <f ca="1">GetFileList("P:\TP et Raccodement\FICHES CREES RACCORDEMENT\2 - SAV + COMPL + PASSAGE W XV A SAISIR DANS AX\25-05-2019\*LR PASS*.pdf")</f>
        <v>0</v>
      </c>
      <c r="I26" s="68">
        <f ca="1">GetFileList("P:\TP et Raccodement\FICHES CREES RACCORDEMENT\2 - SAV + COMPL + PASSAGE W XV A SAISIR DANS AX\25-05-2019\*CL PASS*.pdf")</f>
        <v>0</v>
      </c>
      <c r="J26" s="76">
        <f ca="1">GetFileList("P:\TP et Raccodement\FICHES CREES RACCORDEMENT\2 - SAV + COMPL + PASSAGE W XV A SAISIR DANS AX\25-05-2019\*SAV*.pdf")</f>
        <v>0</v>
      </c>
      <c r="K26" s="77">
        <f ca="1">GetFileList("P:\TP et Raccodement\FICHES CREES RACCORDEMENT\2 - SAV + COMPL + PASSAGE W XV A SAISIR DANS AX\25-05-2019\*COMPLEMENT*.pdf")</f>
        <v>0</v>
      </c>
      <c r="L26" s="77">
        <f ca="1">GetFileList("P:\TP et Raccodement\FICHES CREES RACCORDEMENT\2 - SAV + COMPL + PASSAGE W XV A SAISIR DANS AX\25-05-2019\*REPRISE*.pdf")</f>
        <v>0</v>
      </c>
      <c r="M26" s="78">
        <f ca="1">GetFileList("P:\TP et Raccodement\FICHES CREES RACCORDEMENT\2 - SAV + COMPL + PASSAGE W XV A SAISIR DANS AX\25-05-2019\*REMONTAGE*.pdf")</f>
        <v>0</v>
      </c>
      <c r="N26" s="61"/>
      <c r="O26" s="73">
        <f t="shared" ca="1" si="1"/>
        <v>0</v>
      </c>
    </row>
    <row r="27" spans="1:15" ht="16.5" x14ac:dyDescent="0.3">
      <c r="A27" s="88">
        <v>43611</v>
      </c>
      <c r="B27" s="89">
        <f t="shared" ca="1" si="0"/>
        <v>0</v>
      </c>
      <c r="C27" s="90">
        <f ca="1">GetFileList("P:\TP et Raccodement\FICHES CREES RACCORDEMENT\1 - RACCOS A SAISIR DANS AX\26-05-2019\*LM RACCO*.pdf")</f>
        <v>0</v>
      </c>
      <c r="D27" s="90">
        <f ca="1">GetFileList("P:\TP et Raccodement\FICHES CREES RACCORDEMENT\1 - RACCOS A SAISIR DANS AX\26-05-2019\*LR RACCO*.pdf")</f>
        <v>0</v>
      </c>
      <c r="E27" s="91">
        <f ca="1">GetFileList("P:\TP et Raccodement\FICHES CREES RACCORDEMENT\1 - RACCOS A SAISIR DANS AX\26-05-2019\*CL RACCO*.pdf")</f>
        <v>0</v>
      </c>
      <c r="F27" s="92">
        <f t="shared" ca="1" si="2"/>
        <v>0</v>
      </c>
      <c r="G27" s="90">
        <f ca="1">GetFileList("P:\TP et Raccodement\FICHES CREES RACCORDEMENT\2 - SAV + COMPL + PASSAGE W XV A SAISIR DANS AX\26-05-2019\*LM PASS*.pdf")</f>
        <v>0</v>
      </c>
      <c r="H27" s="90">
        <f ca="1">GetFileList("P:\TP et Raccodement\FICHES CREES RACCORDEMENT\2 - SAV + COMPL + PASSAGE W XV A SAISIR DANS AX\26-05-2019\*LR PASS*.pdf")</f>
        <v>0</v>
      </c>
      <c r="I27" s="91">
        <f ca="1">GetFileList("P:\TP et Raccodement\FICHES CREES RACCORDEMENT\2 - SAV + COMPL + PASSAGE W XV A SAISIR DANS AX\26-05-2019\*CL PASS*.pdf")</f>
        <v>0</v>
      </c>
      <c r="J27" s="93">
        <f ca="1">GetFileList("P:\TP et Raccodement\FICHES CREES RACCORDEMENT\2 - SAV + COMPL + PASSAGE W XV A SAISIR DANS AX\26-05-2019\*SAV*.pdf")</f>
        <v>0</v>
      </c>
      <c r="K27" s="94">
        <f ca="1">GetFileList("P:\TP et Raccodement\FICHES CREES RACCORDEMENT\2 - SAV + COMPL + PASSAGE W XV A SAISIR DANS AX\26-05-2019\*COMPLEMENT*.pdf")</f>
        <v>0</v>
      </c>
      <c r="L27" s="94">
        <f ca="1">GetFileList("P:\TP et Raccodement\FICHES CREES RACCORDEMENT\2 - SAV + COMPL + PASSAGE W XV A SAISIR DANS AX\26-05-2019\*REPRISE*.pdf")</f>
        <v>0</v>
      </c>
      <c r="M27" s="95">
        <f ca="1">GetFileList("P:\TP et Raccodement\FICHES CREES RACCORDEMENT\2 - SAV + COMPL + PASSAGE W XV A SAISIR DANS AX\26-05-2019\*REMONTAGE*.pdf")</f>
        <v>0</v>
      </c>
      <c r="N27" s="61"/>
      <c r="O27" s="73">
        <f t="shared" ca="1" si="1"/>
        <v>0</v>
      </c>
    </row>
    <row r="28" spans="1:15" ht="16.5" x14ac:dyDescent="0.3">
      <c r="A28" s="59">
        <v>43612</v>
      </c>
      <c r="B28" s="74">
        <f t="shared" ca="1" si="0"/>
        <v>0</v>
      </c>
      <c r="C28" s="67">
        <f ca="1">GetFileList("P:\TP et Raccodement\FICHES CREES RACCORDEMENT\1 - RACCOS A SAISIR DANS AX\27-05-2019\*LM RACCO*.pdf")</f>
        <v>0</v>
      </c>
      <c r="D28" s="67">
        <f ca="1">GetFileList("P:\TP et Raccodement\FICHES CREES RACCORDEMENT\1 - RACCOS A SAISIR DANS AX\27-05-2019\*LR RACCO*.pdf")</f>
        <v>0</v>
      </c>
      <c r="E28" s="68">
        <f ca="1">GetFileList("P:\TP et Raccodement\FICHES CREES RACCORDEMENT\1 - RACCOS A SAISIR DANS AX\27-05-2019\*CL RACCO*.pdf")</f>
        <v>0</v>
      </c>
      <c r="F28" s="75">
        <f t="shared" ca="1" si="2"/>
        <v>0</v>
      </c>
      <c r="G28" s="67">
        <f ca="1">GetFileList("P:\TP et Raccodement\FICHES CREES RACCORDEMENT\2 - SAV + COMPL + PASSAGE W XV A SAISIR DANS AX\27-05-2019\*LM PASS*.pdf")</f>
        <v>0</v>
      </c>
      <c r="H28" s="67">
        <f ca="1">GetFileList("P:\TP et Raccodement\FICHES CREES RACCORDEMENT\2 - SAV + COMPL + PASSAGE W XV A SAISIR DANS AX\27-05-2019\*LR PASS*.pdf")</f>
        <v>0</v>
      </c>
      <c r="I28" s="68">
        <f ca="1">GetFileList("P:\TP et Raccodement\FICHES CREES RACCORDEMENT\2 - SAV + COMPL + PASSAGE W XV A SAISIR DANS AX\27-05-2019\*CL PASS*.pdf")</f>
        <v>0</v>
      </c>
      <c r="J28" s="76">
        <f ca="1">GetFileList("P:\TP et Raccodement\FICHES CREES RACCORDEMENT\2 - SAV + COMPL + PASSAGE W XV A SAISIR DANS AX\27-05-2019\*SAV*.pdf")</f>
        <v>0</v>
      </c>
      <c r="K28" s="77">
        <f ca="1">GetFileList("P:\TP et Raccodement\FICHES CREES RACCORDEMENT\2 - SAV + COMPL + PASSAGE W XV A SAISIR DANS AX\27-05-2019\*COMPLEMENT*.pdf")</f>
        <v>0</v>
      </c>
      <c r="L28" s="77">
        <f ca="1">GetFileList("P:\TP et Raccodement\FICHES CREES RACCORDEMENT\2 - SAV + COMPL + PASSAGE W XV A SAISIR DANS AX\27-05-2019\*REPRISE*.pdf")</f>
        <v>0</v>
      </c>
      <c r="M28" s="78">
        <f ca="1">GetFileList("P:\TP et Raccodement\FICHES CREES RACCORDEMENT\2 - SAV + COMPL + PASSAGE W XV A SAISIR DANS AX\27-05-2019\*REMONTAGE*.pdf")</f>
        <v>0</v>
      </c>
      <c r="N28" s="61"/>
      <c r="O28" s="73">
        <f t="shared" ca="1" si="1"/>
        <v>0</v>
      </c>
    </row>
    <row r="29" spans="1:15" ht="16.5" x14ac:dyDescent="0.3">
      <c r="A29" s="59">
        <v>43613</v>
      </c>
      <c r="B29" s="74">
        <f t="shared" ca="1" si="0"/>
        <v>0</v>
      </c>
      <c r="C29" s="67">
        <f ca="1">GetFileList("P:\TP et Raccodement\FICHES CREES RACCORDEMENT\1 - RACCOS A SAISIR DANS AX\28-05-2019\*LM RACCO*.pdf")</f>
        <v>0</v>
      </c>
      <c r="D29" s="67">
        <f ca="1">GetFileList("P:\TP et Raccodement\FICHES CREES RACCORDEMENT\1 - RACCOS A SAISIR DANS AX\28-05-2019\*LR RACCO*.pdf")</f>
        <v>0</v>
      </c>
      <c r="E29" s="68">
        <f ca="1">GetFileList("P:\TP et Raccodement\FICHES CREES RACCORDEMENT\1 - RACCOS A SAISIR DANS AX\28-05-2019\*CL RACCO*.pdf")</f>
        <v>0</v>
      </c>
      <c r="F29" s="75">
        <f t="shared" ca="1" si="2"/>
        <v>0</v>
      </c>
      <c r="G29" s="67">
        <f ca="1">GetFileList("P:\TP et Raccodement\FICHES CREES RACCORDEMENT\2 - SAV + COMPL + PASSAGE W XV A SAISIR DANS AX\28-05-2019\*LM PASS*.pdf")</f>
        <v>0</v>
      </c>
      <c r="H29" s="67">
        <f ca="1">GetFileList("P:\TP et Raccodement\FICHES CREES RACCORDEMENT\2 - SAV + COMPL + PASSAGE W XV A SAISIR DANS AX\28-05-2019\*LR PASS*.pdf")</f>
        <v>0</v>
      </c>
      <c r="I29" s="68">
        <f ca="1">GetFileList("P:\TP et Raccodement\FICHES CREES RACCORDEMENT\2 - SAV + COMPL + PASSAGE W XV A SAISIR DANS AX\28-05-2019\*CL PASS*.pdf")</f>
        <v>0</v>
      </c>
      <c r="J29" s="76">
        <f ca="1">GetFileList("P:\TP et Raccodement\FICHES CREES RACCORDEMENT\2 - SAV + COMPL + PASSAGE W XV A SAISIR DANS AX\28-05-2019\*SAV*.pdf")</f>
        <v>0</v>
      </c>
      <c r="K29" s="77">
        <f ca="1">GetFileList("P:\TP et Raccodement\FICHES CREES RACCORDEMENT\2 - SAV + COMPL + PASSAGE W XV A SAISIR DANS AX\28-05-2019\*COMPLEMENT*.pdf")</f>
        <v>0</v>
      </c>
      <c r="L29" s="77">
        <f ca="1">GetFileList("P:\TP et Raccodement\FICHES CREES RACCORDEMENT\2 - SAV + COMPL + PASSAGE W XV A SAISIR DANS AX\28-05-2019\*REPRISE*.pdf")</f>
        <v>0</v>
      </c>
      <c r="M29" s="78">
        <f ca="1">GetFileList("P:\TP et Raccodement\FICHES CREES RACCORDEMENT\2 - SAV + COMPL + PASSAGE W XV A SAISIR DANS AX\28-05-2019\*REMONTAGE*.pdf")</f>
        <v>0</v>
      </c>
      <c r="N29" s="61"/>
      <c r="O29" s="73">
        <f t="shared" ca="1" si="1"/>
        <v>0</v>
      </c>
    </row>
    <row r="30" spans="1:15" ht="16.5" x14ac:dyDescent="0.3">
      <c r="A30" s="59">
        <v>43614</v>
      </c>
      <c r="B30" s="74">
        <f t="shared" ca="1" si="0"/>
        <v>0</v>
      </c>
      <c r="C30" s="67">
        <f ca="1">GetFileList("P:\TP et Raccodement\FICHES CREES RACCORDEMENT\1 - RACCOS A SAISIR DANS AX\29-05-2019\*LM RACCO*.pdf")</f>
        <v>0</v>
      </c>
      <c r="D30" s="67">
        <f ca="1">GetFileList("P:\TP et Raccodement\FICHES CREES RACCORDEMENT\1 - RACCOS A SAISIR DANS AX\29-05-2019\*LR RACCO*.pdf")</f>
        <v>0</v>
      </c>
      <c r="E30" s="68">
        <f ca="1">GetFileList("P:\TP et Raccodement\FICHES CREES RACCORDEMENT\1 - RACCOS A SAISIR DANS AX\29-05-2019\*CL RACCO*.pdf")</f>
        <v>0</v>
      </c>
      <c r="F30" s="75">
        <f t="shared" ca="1" si="2"/>
        <v>0</v>
      </c>
      <c r="G30" s="67">
        <f ca="1">GetFileList("P:\TP et Raccodement\FICHES CREES RACCORDEMENT\2 - SAV + COMPL + PASSAGE W XV A SAISIR DANS AX\29-05-2019\*LM PASS*.pdf")</f>
        <v>0</v>
      </c>
      <c r="H30" s="67">
        <f ca="1">GetFileList("P:\TP et Raccodement\FICHES CREES RACCORDEMENT\2 - SAV + COMPL + PASSAGE W XV A SAISIR DANS AX\29-05-2019\*LR PASS*.pdf")</f>
        <v>0</v>
      </c>
      <c r="I30" s="68">
        <f ca="1">GetFileList("P:\TP et Raccodement\FICHES CREES RACCORDEMENT\2 - SAV + COMPL + PASSAGE W XV A SAISIR DANS AX\29-05-2019\*CL PASS*.pdf")</f>
        <v>0</v>
      </c>
      <c r="J30" s="76">
        <f ca="1">GetFileList("P:\TP et Raccodement\FICHES CREES RACCORDEMENT\2 - SAV + COMPL + PASSAGE W XV A SAISIR DANS AX\29-05-2019\*SAV*.pdf")</f>
        <v>0</v>
      </c>
      <c r="K30" s="77">
        <f ca="1">GetFileList("P:\TP et Raccodement\FICHES CREES RACCORDEMENT\2 - SAV + COMPL + PASSAGE W XV A SAISIR DANS AX\29-05-2019\*COMPLEMENT*.pdf")</f>
        <v>0</v>
      </c>
      <c r="L30" s="77">
        <f ca="1">GetFileList("P:\TP et Raccodement\FICHES CREES RACCORDEMENT\2 - SAV + COMPL + PASSAGE W XV A SAISIR DANS AX\29-05-2019\*REPRISE*.pdf")</f>
        <v>0</v>
      </c>
      <c r="M30" s="78">
        <f ca="1">GetFileList("P:\TP et Raccodement\FICHES CREES RACCORDEMENT\2 - SAV + COMPL + PASSAGE W XV A SAISIR DANS AX\29-05-2019\*REMONTAGE*.pdf")</f>
        <v>0</v>
      </c>
      <c r="N30" s="61"/>
      <c r="O30" s="73">
        <f t="shared" ca="1" si="1"/>
        <v>0</v>
      </c>
    </row>
    <row r="31" spans="1:15" ht="16.5" x14ac:dyDescent="0.3">
      <c r="A31" s="88">
        <v>43615</v>
      </c>
      <c r="B31" s="74">
        <f t="shared" ca="1" si="0"/>
        <v>0</v>
      </c>
      <c r="C31" s="67">
        <f ca="1">GetFileList("P:\TP et Raccodement\FICHES CREES RACCORDEMENT\1 - RACCOS A SAISIR DANS AX\30-05-2019\*LM RACCO*.pdf")</f>
        <v>0</v>
      </c>
      <c r="D31" s="67">
        <f ca="1">GetFileList("P:\TP et Raccodement\FICHES CREES RACCORDEMENT\1 - RACCOS A SAISIR DANS AX\30-05-2019\*LR RACCO*.pdf")</f>
        <v>0</v>
      </c>
      <c r="E31" s="68">
        <f ca="1">GetFileList("P:\TP et Raccodement\FICHES CREES RACCORDEMENT\1 - RACCOS A SAISIR DANS AX\30-05-2019\*CL RACCO*.pdf")</f>
        <v>0</v>
      </c>
      <c r="F31" s="75">
        <f t="shared" ca="1" si="2"/>
        <v>0</v>
      </c>
      <c r="G31" s="67">
        <f ca="1">GetFileList("P:\TP et Raccodement\FICHES CREES RACCORDEMENT\2 - SAV + COMPL + PASSAGE W XV A SAISIR DANS AX\30-05-2019\*LM PASS*.pdf")</f>
        <v>0</v>
      </c>
      <c r="H31" s="67">
        <f ca="1">GetFileList("P:\TP et Raccodement\FICHES CREES RACCORDEMENT\2 - SAV + COMPL + PASSAGE W XV A SAISIR DANS AX\30-05-2019\*LR PASS*.pdf")</f>
        <v>0</v>
      </c>
      <c r="I31" s="68">
        <f ca="1">GetFileList("P:\TP et Raccodement\FICHES CREES RACCORDEMENT\2 - SAV + COMPL + PASSAGE W XV A SAISIR DANS AX\30-05-2019\*CL PASS*.pdf")</f>
        <v>0</v>
      </c>
      <c r="J31" s="76">
        <f ca="1">GetFileList("P:\TP et Raccodement\FICHES CREES RACCORDEMENT\2 - SAV + COMPL + PASSAGE W XV A SAISIR DANS AX\30-05-2019\*SAV*.pdf")</f>
        <v>0</v>
      </c>
      <c r="K31" s="77">
        <f ca="1">GetFileList("P:\TP et Raccodement\FICHES CREES RACCORDEMENT\2 - SAV + COMPL + PASSAGE W XV A SAISIR DANS AX\30-05-2019\*COMPLEMENT*.pdf")</f>
        <v>0</v>
      </c>
      <c r="L31" s="77">
        <f ca="1">GetFileList("P:\TP et Raccodement\FICHES CREES RACCORDEMENT\2 - SAV + COMPL + PASSAGE W XV A SAISIR DANS AX\30-05-2019\*REPRISE*.pdf")</f>
        <v>0</v>
      </c>
      <c r="M31" s="78">
        <f ca="1">GetFileList("P:\TP et Raccodement\FICHES CREES RACCORDEMENT\2 - SAV + COMPL + PASSAGE W XV A SAISIR DANS AX\30-05-2019\*REMONTAGE*.pdf")</f>
        <v>0</v>
      </c>
      <c r="N31" s="61"/>
      <c r="O31" s="73">
        <f t="shared" ca="1" si="1"/>
        <v>0</v>
      </c>
    </row>
    <row r="32" spans="1:15" ht="17.25" thickBot="1" x14ac:dyDescent="0.35">
      <c r="A32" s="59">
        <v>43616</v>
      </c>
      <c r="B32" s="74">
        <f t="shared" ca="1" si="0"/>
        <v>0</v>
      </c>
      <c r="C32" s="67">
        <f ca="1">GetFileList("P:\TP et Raccodement\FICHES CREES RACCORDEMENT\1 - RACCOS A SAISIR DANS AX\31-05-2019\*LM RACCO*.pdf")</f>
        <v>0</v>
      </c>
      <c r="D32" s="67">
        <f ca="1">GetFileList("P:\TP et Raccodement\FICHES CREES RACCORDEMENT\1 - RACCOS A SAISIR DANS AX\31-05-2019\*LR RACCO*.pdf")</f>
        <v>0</v>
      </c>
      <c r="E32" s="68">
        <f ca="1">GetFileList("P:\TP et Raccodement\FICHES CREES RACCORDEMENT\1 - RACCOS A SAISIR DANS AX\31-05-2019\*CL RACCO*.pdf")</f>
        <v>0</v>
      </c>
      <c r="F32" s="75">
        <f t="shared" ca="1" si="2"/>
        <v>0</v>
      </c>
      <c r="G32" s="67">
        <f ca="1">GetFileList("P:\TP et Raccodement\FICHES CREES RACCORDEMENT\2 - SAV + COMPL + PASSAGE W XV A SAISIR DANS AX\31-05-2019\*LM PASS*.pdf")</f>
        <v>0</v>
      </c>
      <c r="H32" s="67">
        <f ca="1">GetFileList("P:\TP et Raccodement\FICHES CREES RACCORDEMENT\2 - SAV + COMPL + PASSAGE W XV A SAISIR DANS AX\31-05-2019\*LR PASS*.pdf")</f>
        <v>0</v>
      </c>
      <c r="I32" s="68">
        <f ca="1">GetFileList("P:\TP et Raccodement\FICHES CREES RACCORDEMENT\2 - SAV + COMPL + PASSAGE W XV A SAISIR DANS AX\31-05-2019\*CL PASS*.pdf")</f>
        <v>0</v>
      </c>
      <c r="J32" s="79">
        <f ca="1">GetFileList("P:\TP et Raccodement\FICHES CREES RACCORDEMENT\2 - SAV + COMPL + PASSAGE W XV A SAISIR DANS AX\31-05-2019\*SAV*.pdf")</f>
        <v>0</v>
      </c>
      <c r="K32" s="80">
        <f ca="1">GetFileList("P:\TP et Raccodement\FICHES CREES RACCORDEMENT\2 - SAV + COMPL + PASSAGE W XV A SAISIR DANS AX\31-05-2019\*COMPLEMENT*.pdf")</f>
        <v>0</v>
      </c>
      <c r="L32" s="80">
        <f ca="1">GetFileList("P:\TP et Raccodement\FICHES CREES RACCORDEMENT\2 - SAV + COMPL + PASSAGE W XV A SAISIR DANS AX\31-05-2019\*REPRISE*.pdf")</f>
        <v>0</v>
      </c>
      <c r="M32" s="81">
        <f ca="1">GetFileList("P:\TP et Raccodement\FICHES CREES RACCORDEMENT\2 - SAV + COMPL + PASSAGE W XV A SAISIR DANS AX\31-05-2019\*REMONTAGE*.pdf")</f>
        <v>0</v>
      </c>
      <c r="N32" s="61"/>
      <c r="O32" s="73">
        <f t="shared" ca="1" si="1"/>
        <v>0</v>
      </c>
    </row>
    <row r="33" spans="1:15" ht="18" thickBot="1" x14ac:dyDescent="0.35">
      <c r="A33" s="136" t="s">
        <v>10</v>
      </c>
      <c r="B33" s="132">
        <f ca="1">SUM(B2:B32)</f>
        <v>0</v>
      </c>
      <c r="C33" s="133">
        <f t="shared" ref="C33:D33" ca="1" si="3">SUM(C2:C32)</f>
        <v>0</v>
      </c>
      <c r="D33" s="133">
        <f t="shared" ca="1" si="3"/>
        <v>0</v>
      </c>
      <c r="E33" s="134">
        <f ca="1">SUM(E2:E32)</f>
        <v>0</v>
      </c>
      <c r="F33" s="69">
        <f ca="1">SUM(F2:F32)</f>
        <v>0</v>
      </c>
      <c r="G33" s="70">
        <f t="shared" ref="G33:I33" ca="1" si="4">SUM(G2:G32)</f>
        <v>0</v>
      </c>
      <c r="H33" s="70">
        <f t="shared" ca="1" si="4"/>
        <v>0</v>
      </c>
      <c r="I33" s="86">
        <f t="shared" ca="1" si="4"/>
        <v>0</v>
      </c>
      <c r="J33" s="87">
        <f ca="1">SUM(J2:J32)</f>
        <v>0</v>
      </c>
      <c r="K33" s="82">
        <f t="shared" ref="K33:M33" ca="1" si="5">SUM(K2:K32)</f>
        <v>0</v>
      </c>
      <c r="L33" s="82">
        <f t="shared" ca="1" si="5"/>
        <v>0</v>
      </c>
      <c r="M33" s="83">
        <f t="shared" ca="1" si="5"/>
        <v>0</v>
      </c>
      <c r="N33" s="62"/>
      <c r="O33" s="72">
        <f ca="1">SUM(O2:O32)</f>
        <v>0</v>
      </c>
    </row>
  </sheetData>
  <conditionalFormatting sqref="B2:B32">
    <cfRule type="dataBar" priority="5">
      <dataBar>
        <cfvo type="min"/>
        <cfvo type="max"/>
        <color rgb="FF41A964"/>
      </dataBar>
      <extLst>
        <ext xmlns:x14="http://schemas.microsoft.com/office/spreadsheetml/2009/9/main" uri="{B025F937-C7B1-47D3-B67F-A62EFF666E3E}">
          <x14:id>{FA75ED2A-EE1E-4940-8F65-238B13799F7B}</x14:id>
        </ext>
      </extLst>
    </cfRule>
  </conditionalFormatting>
  <conditionalFormatting sqref="B3 B4 B7 B8 B10 B11 B14:B18 B21:B25 B28:B30 B32">
    <cfRule type="iconSet" priority="4">
      <iconSet iconSet="3Flags">
        <cfvo type="percent" val="0"/>
        <cfvo type="percent" val="33"/>
        <cfvo type="percent" val="67"/>
      </iconSet>
    </cfRule>
  </conditionalFormatting>
  <conditionalFormatting sqref="F2:F32">
    <cfRule type="dataBar" priority="3">
      <dataBar>
        <cfvo type="min"/>
        <cfvo type="max"/>
        <color rgb="FF53BD76"/>
      </dataBar>
      <extLst>
        <ext xmlns:x14="http://schemas.microsoft.com/office/spreadsheetml/2009/9/main" uri="{B025F937-C7B1-47D3-B67F-A62EFF666E3E}">
          <x14:id>{8413A019-AAE9-4ABC-B6D9-88A0BD962F3F}</x14:id>
        </ext>
      </extLst>
    </cfRule>
  </conditionalFormatting>
  <conditionalFormatting sqref="F3:F4 F7:F8 F10:F11 F14:F18 F21:F25 F28:F30 F32">
    <cfRule type="iconSet" priority="2">
      <iconSet iconSet="3Flags">
        <cfvo type="percent" val="0"/>
        <cfvo type="percent" val="33"/>
        <cfvo type="percent" val="67"/>
      </iconSet>
    </cfRule>
  </conditionalFormatting>
  <conditionalFormatting sqref="O2:O32">
    <cfRule type="cellIs" dxfId="10" priority="1" operator="equal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A75ED2A-EE1E-4940-8F65-238B13799F7B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B2:B32</xm:sqref>
        </x14:conditionalFormatting>
        <x14:conditionalFormatting xmlns:xm="http://schemas.microsoft.com/office/excel/2006/main">
          <x14:cfRule type="dataBar" id="{8413A019-AAE9-4ABC-B6D9-88A0BD962F3F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F2:F32</xm:sqref>
        </x14:conditionalFormatting>
      </x14:conditionalFormatting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7030A0"/>
  </sheetPr>
  <dimension ref="A1:P32"/>
  <sheetViews>
    <sheetView showGridLines="0" zoomScaleNormal="10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2.140625" customWidth="1"/>
    <col min="2" max="2" width="14.85546875" bestFit="1" customWidth="1"/>
    <col min="6" max="6" width="13.42578125" customWidth="1"/>
    <col min="13" max="13" width="12.28515625" bestFit="1" customWidth="1"/>
    <col min="14" max="14" width="0.85546875" customWidth="1"/>
    <col min="15" max="15" width="9.140625" style="1"/>
    <col min="16" max="16" width="10.7109375" bestFit="1" customWidth="1"/>
  </cols>
  <sheetData>
    <row r="1" spans="1:16" ht="31.5" customHeight="1" x14ac:dyDescent="0.25">
      <c r="A1" s="58" t="s">
        <v>11</v>
      </c>
      <c r="B1" s="66" t="s">
        <v>41</v>
      </c>
      <c r="C1" s="64" t="s">
        <v>1</v>
      </c>
      <c r="D1" s="64" t="s">
        <v>2</v>
      </c>
      <c r="E1" s="65" t="s">
        <v>3</v>
      </c>
      <c r="F1" s="71" t="s">
        <v>42</v>
      </c>
      <c r="G1" s="84" t="s">
        <v>5</v>
      </c>
      <c r="H1" s="84" t="s">
        <v>2</v>
      </c>
      <c r="I1" s="85" t="s">
        <v>3</v>
      </c>
      <c r="J1" s="63" t="s">
        <v>43</v>
      </c>
      <c r="K1" s="64" t="s">
        <v>44</v>
      </c>
      <c r="L1" s="64" t="s">
        <v>45</v>
      </c>
      <c r="M1" s="65" t="s">
        <v>46</v>
      </c>
      <c r="N1" s="60"/>
      <c r="O1" s="71" t="s">
        <v>10</v>
      </c>
    </row>
    <row r="2" spans="1:16" ht="16.5" x14ac:dyDescent="0.3">
      <c r="A2" s="59">
        <v>43617</v>
      </c>
      <c r="B2" s="74">
        <f ca="1">C2+D2+E2</f>
        <v>0</v>
      </c>
      <c r="C2" s="67">
        <f ca="1">GetFileList("P:\TP et Raccodement\FICHES CREES RACCORDEMENT\1 - RACCOS A SAISIR DANS AX\01-06-2019\*LM RACCO*.pdf")</f>
        <v>0</v>
      </c>
      <c r="D2" s="67">
        <f ca="1">GetFileList("P:\TP et Raccodement\FICHES CREES RACCORDEMENT\1 - RACCOS A SAISIR DANS AX\01-06-2019\*LR RACCO*.pdf")</f>
        <v>0</v>
      </c>
      <c r="E2" s="68">
        <f ca="1">GetFileList("P:\TP et Raccodement\FICHES CREES RACCORDEMENT\1 - RACCOS A SAISIR DANS AX\01-06-2019\*CL RACCO*.pdf")</f>
        <v>0</v>
      </c>
      <c r="F2" s="75">
        <f ca="1">G2+H2+I2</f>
        <v>0</v>
      </c>
      <c r="G2" s="67">
        <f ca="1">GetFileList("P:\TP et Raccodement\FICHES CREES RACCORDEMENT\2 - SAV + COMPL + PASSAGE W XV A SAISIR DANS AX\01-06-2019\*LM PASS*.pdf")</f>
        <v>0</v>
      </c>
      <c r="H2" s="67">
        <f ca="1">GetFileList("P:\TP et Raccodement\FICHES CREES RACCORDEMENT\2 - SAV + COMPL + PASSAGE W XV A SAISIR DANS AX\01-06-2019\*LR PASS*.pdf")</f>
        <v>0</v>
      </c>
      <c r="I2" s="68">
        <f ca="1">GetFileList("P:\TP et Raccodement\FICHES CREES RACCORDEMENT\2 - SAV + COMPL + PASSAGE W XV A SAISIR DANS AX\01-06-2019\*CL PASS*.pdf")</f>
        <v>0</v>
      </c>
      <c r="J2" s="76">
        <f ca="1">GetFileList("P:\TP et Raccodement\FICHES CREES RACCORDEMENT\2 - SAV + COMPL + PASSAGE W XV A SAISIR DANS AX\01-06-2019\*SAV*.pdf")</f>
        <v>0</v>
      </c>
      <c r="K2" s="77">
        <f ca="1">GetFileList("P:\TP et Raccodement\FICHES CREES RACCORDEMENT\2 - SAV + COMPL + PASSAGE W XV A SAISIR DANS AX\01-06-2019\*COMPLEMENT*.pdf")</f>
        <v>0</v>
      </c>
      <c r="L2" s="77">
        <f ca="1">GetFileList("P:\TP et Raccodement\FICHES CREES RACCORDEMENT\2 - SAV + COMPL + PASSAGE W XV A SAISIR DANS AX\01-06-2019\*REPRISE*.pdf")</f>
        <v>0</v>
      </c>
      <c r="M2" s="78">
        <f ca="1">GetFileList("P:\TP et Raccodement\FICHES CREES RACCORDEMENT\2 - SAV + COMPL + PASSAGE W XV A SAISIR DANS AX\01-06-2019\*REMONTAGE*.pdf")</f>
        <v>0</v>
      </c>
      <c r="N2" s="61"/>
      <c r="O2" s="73">
        <f ca="1">B2+F2+J2+K2+L2+M2</f>
        <v>0</v>
      </c>
      <c r="P2" s="54"/>
    </row>
    <row r="3" spans="1:16" ht="16.5" x14ac:dyDescent="0.3">
      <c r="A3" s="88">
        <v>43618</v>
      </c>
      <c r="B3" s="89">
        <f t="shared" ref="B3:B31" ca="1" si="0">C3+D3+E3</f>
        <v>0</v>
      </c>
      <c r="C3" s="90">
        <f ca="1">GetFileList("P:\TP et Raccodement\FICHES CREES RACCORDEMENT\1 - RACCOS A SAISIR DANS AX\02-06-2019\*LM RACCO*.pdf")</f>
        <v>0</v>
      </c>
      <c r="D3" s="90">
        <f ca="1">GetFileList("P:\TP et Raccodement\FICHES CREES RACCORDEMENT\1 - RACCOS A SAISIR DANS AX\02-06-2019\*LR RACCO*.pdf")</f>
        <v>0</v>
      </c>
      <c r="E3" s="91">
        <f ca="1">GetFileList("P:\TP et Raccodement\FICHES CREES RACCORDEMENT\1 - RACCOS A SAISIR DANS AX\02-06-2019\*CL RACCO*.pdf")</f>
        <v>0</v>
      </c>
      <c r="F3" s="92">
        <f ca="1">G3+H3+I3</f>
        <v>0</v>
      </c>
      <c r="G3" s="90">
        <f ca="1">GetFileList("P:\TP et Raccodement\FICHES CREES RACCORDEMENT\2 - SAV + COMPL + PASSAGE W XV A SAISIR DANS AX\02-06-2019\*LM PASS*.pdf")</f>
        <v>0</v>
      </c>
      <c r="H3" s="90">
        <f ca="1">GetFileList("P:\TP et Raccodement\FICHES CREES RACCORDEMENT\2 - SAV + COMPL + PASSAGE W XV A SAISIR DANS AX\02-06-2019\*LR PASS*.pdf")</f>
        <v>0</v>
      </c>
      <c r="I3" s="91">
        <f ca="1">GetFileList("P:\TP et Raccodement\FICHES CREES RACCORDEMENT\2 - SAV + COMPL + PASSAGE W XV A SAISIR DANS AX\02-06-2019\*CL PASS*.pdf")</f>
        <v>0</v>
      </c>
      <c r="J3" s="93">
        <f ca="1">GetFileList("P:\TP et Raccodement\FICHES CREES RACCORDEMENT\2 - SAV + COMPL + PASSAGE W XV A SAISIR DANS AX\02-06-2019\*SAV*.pdf")</f>
        <v>0</v>
      </c>
      <c r="K3" s="94">
        <f ca="1">GetFileList("P:\TP et Raccodement\FICHES CREES RACCORDEMENT\2 - SAV + COMPL + PASSAGE W XV A SAISIR DANS AX\02-06-2019\*COMPLEMENT*.pdf")</f>
        <v>0</v>
      </c>
      <c r="L3" s="94">
        <f ca="1">GetFileList("P:\TP et Raccodement\FICHES CREES RACCORDEMENT\2 - SAV + COMPL + PASSAGE W XV A SAISIR DANS AX\02-06-2019\*REPRISE*.pdf")</f>
        <v>0</v>
      </c>
      <c r="M3" s="95">
        <f ca="1">GetFileList("P:\TP et Raccodement\FICHES CREES RACCORDEMENT\2 - SAV + COMPL + PASSAGE W XV A SAISIR DANS AX\02-06-2019\*REMONTAGE*.pdf")</f>
        <v>0</v>
      </c>
      <c r="N3" s="61"/>
      <c r="O3" s="73">
        <f t="shared" ref="O3:O31" ca="1" si="1">B3+F3+J3+K3+L3+M3</f>
        <v>0</v>
      </c>
    </row>
    <row r="4" spans="1:16" ht="16.5" x14ac:dyDescent="0.3">
      <c r="A4" s="59">
        <v>43619</v>
      </c>
      <c r="B4" s="74">
        <f t="shared" ca="1" si="0"/>
        <v>0</v>
      </c>
      <c r="C4" s="67">
        <f ca="1">GetFileList("P:\TP et Raccodement\FICHES CREES RACCORDEMENT\1 - RACCOS A SAISIR DANS AX\03-06-2019\*LM RACCO*.pdf")</f>
        <v>0</v>
      </c>
      <c r="D4" s="67">
        <f ca="1">GetFileList("P:\TP et Raccodement\FICHES CREES RACCORDEMENT\1 - RACCOS A SAISIR DANS AX\03-06-2019\*LR RACCO*.pdf")</f>
        <v>0</v>
      </c>
      <c r="E4" s="68">
        <f ca="1">GetFileList("P:\TP et Raccodement\FICHES CREES RACCORDEMENT\1 - RACCOS A SAISIR DANS AX\03-06-2019\*CL RACCO*.pdf")</f>
        <v>0</v>
      </c>
      <c r="F4" s="75">
        <f t="shared" ref="F4:F31" ca="1" si="2">G4+H4+I4</f>
        <v>0</v>
      </c>
      <c r="G4" s="67">
        <f ca="1">GetFileList("P:\TP et Raccodement\FICHES CREES RACCORDEMENT\2 - SAV + COMPL + PASSAGE W XV A SAISIR DANS AX\03-06-2019\*LM PASS*.pdf")</f>
        <v>0</v>
      </c>
      <c r="H4" s="67">
        <f ca="1">GetFileList("P:\TP et Raccodement\FICHES CREES RACCORDEMENT\2 - SAV + COMPL + PASSAGE W XV A SAISIR DANS AX\03-06-2019\*LR PASS*.pdf")</f>
        <v>0</v>
      </c>
      <c r="I4" s="68">
        <f ca="1">GetFileList("P:\TP et Raccodement\FICHES CREES RACCORDEMENT\2 - SAV + COMPL + PASSAGE W XV A SAISIR DANS AX\03-06-2019\*CL PASS*.pdf")</f>
        <v>0</v>
      </c>
      <c r="J4" s="76">
        <f ca="1">GetFileList("P:\TP et Raccodement\FICHES CREES RACCORDEMENT\2 - SAV + COMPL + PASSAGE W XV A SAISIR DANS AX\03-06-2019\*SAV*.pdf")</f>
        <v>0</v>
      </c>
      <c r="K4" s="77">
        <f ca="1">GetFileList("P:\TP et Raccodement\FICHES CREES RACCORDEMENT\2 - SAV + COMPL + PASSAGE W XV A SAISIR DANS AX\03-06-2019\*COMPLEMENT*.pdf")</f>
        <v>0</v>
      </c>
      <c r="L4" s="77">
        <f ca="1">GetFileList("P:\TP et Raccodement\FICHES CREES RACCORDEMENT\2 - SAV + COMPL + PASSAGE W XV A SAISIR DANS AX\03-06-2019\*REPRISE*.pdf")</f>
        <v>0</v>
      </c>
      <c r="M4" s="78">
        <f ca="1">GetFileList("P:\TP et Raccodement\FICHES CREES RACCORDEMENT\2 - SAV + COMPL + PASSAGE W XV A SAISIR DANS AX\03-06-2019\*REMONTAGE*.pdf")</f>
        <v>0</v>
      </c>
      <c r="N4" s="61"/>
      <c r="O4" s="73">
        <f t="shared" ca="1" si="1"/>
        <v>0</v>
      </c>
    </row>
    <row r="5" spans="1:16" ht="16.5" x14ac:dyDescent="0.3">
      <c r="A5" s="59">
        <v>43620</v>
      </c>
      <c r="B5" s="74">
        <f t="shared" ca="1" si="0"/>
        <v>0</v>
      </c>
      <c r="C5" s="67">
        <f ca="1">GetFileList("P:\TP et Raccodement\FICHES CREES RACCORDEMENT\1 - RACCOS A SAISIR DANS AX\04-06-2019\*LM RACCO*.pdf")</f>
        <v>0</v>
      </c>
      <c r="D5" s="67">
        <f ca="1">GetFileList("P:\TP et Raccodement\FICHES CREES RACCORDEMENT\1 - RACCOS A SAISIR DANS AX\04-06-2019\*LR RACCO*.pdf")</f>
        <v>0</v>
      </c>
      <c r="E5" s="68">
        <f ca="1">GetFileList("P:\TP et Raccodement\FICHES CREES RACCORDEMENT\1 - RACCOS A SAISIR DANS AX\04-06-2019\*CL RACCO*.pdf")</f>
        <v>0</v>
      </c>
      <c r="F5" s="75">
        <f t="shared" ca="1" si="2"/>
        <v>0</v>
      </c>
      <c r="G5" s="67">
        <f ca="1">GetFileList("P:\TP et Raccodement\FICHES CREES RACCORDEMENT\2 - SAV + COMPL + PASSAGE W XV A SAISIR DANS AX\04-06-2019\*LM PASS*.pdf")</f>
        <v>0</v>
      </c>
      <c r="H5" s="67">
        <f ca="1">GetFileList("P:\TP et Raccodement\FICHES CREES RACCORDEMENT\2 - SAV + COMPL + PASSAGE W XV A SAISIR DANS AX\04-06-2019\*LR PASS*.pdf")</f>
        <v>0</v>
      </c>
      <c r="I5" s="68">
        <f ca="1">GetFileList("P:\TP et Raccodement\FICHES CREES RACCORDEMENT\2 - SAV + COMPL + PASSAGE W XV A SAISIR DANS AX\04-06-2019\*CL PASS*.pdf")</f>
        <v>0</v>
      </c>
      <c r="J5" s="76">
        <f ca="1">GetFileList("P:\TP et Raccodement\FICHES CREES RACCORDEMENT\2 - SAV + COMPL + PASSAGE W XV A SAISIR DANS AX\04-06-2019\*SAV*.pdf")</f>
        <v>0</v>
      </c>
      <c r="K5" s="77">
        <f ca="1">GetFileList("P:\TP et Raccodement\FICHES CREES RACCORDEMENT\2 - SAV + COMPL + PASSAGE W XV A SAISIR DANS AX\04-06-2019\*COMPLEMENT*.pdf")</f>
        <v>0</v>
      </c>
      <c r="L5" s="77">
        <f ca="1">GetFileList("P:\TP et Raccodement\FICHES CREES RACCORDEMENT\2 - SAV + COMPL + PASSAGE W XV A SAISIR DANS AX\04-06-2019\*REPRISE*.pdf")</f>
        <v>0</v>
      </c>
      <c r="M5" s="78">
        <f ca="1">GetFileList("P:\TP et Raccodement\FICHES CREES RACCORDEMENT\2 - SAV + COMPL + PASSAGE W XV A SAISIR DANS AX\04-06-2019\*REMONTAGE*.pdf")</f>
        <v>0</v>
      </c>
      <c r="N5" s="61"/>
      <c r="O5" s="73">
        <f t="shared" ca="1" si="1"/>
        <v>0</v>
      </c>
    </row>
    <row r="6" spans="1:16" ht="16.5" x14ac:dyDescent="0.3">
      <c r="A6" s="59">
        <v>43621</v>
      </c>
      <c r="B6" s="74">
        <f t="shared" ca="1" si="0"/>
        <v>0</v>
      </c>
      <c r="C6" s="67">
        <f ca="1">GetFileList("P:\TP et Raccodement\FICHES CREES RACCORDEMENT\1 - RACCOS A SAISIR DANS AX\05-06-2019\*LM RACCO*.pdf")</f>
        <v>0</v>
      </c>
      <c r="D6" s="67">
        <f ca="1">GetFileList("P:\TP et Raccodement\FICHES CREES RACCORDEMENT\1 - RACCOS A SAISIR DANS AX\05-06-2019\*LR RACCO*.pdf")</f>
        <v>0</v>
      </c>
      <c r="E6" s="68">
        <f ca="1">GetFileList("P:\TP et Raccodement\FICHES CREES RACCORDEMENT\1 - RACCOS A SAISIR DANS AX\05-06-2019\*CL RACCO*.pdf")</f>
        <v>0</v>
      </c>
      <c r="F6" s="75">
        <f t="shared" ca="1" si="2"/>
        <v>0</v>
      </c>
      <c r="G6" s="67">
        <f ca="1">GetFileList("P:\TP et Raccodement\FICHES CREES RACCORDEMENT\2 - SAV + COMPL + PASSAGE W XV A SAISIR DANS AX\05-06-2019\*LM PASS*.pdf")</f>
        <v>0</v>
      </c>
      <c r="H6" s="67">
        <f ca="1">GetFileList("P:\TP et Raccodement\FICHES CREES RACCORDEMENT\2 - SAV + COMPL + PASSAGE W XV A SAISIR DANS AX\05-06-2019\*LR PASS*.pdf")</f>
        <v>0</v>
      </c>
      <c r="I6" s="68">
        <f ca="1">GetFileList("P:\TP et Raccodement\FICHES CREES RACCORDEMENT\2 - SAV + COMPL + PASSAGE W XV A SAISIR DANS AX\05-06-2019\*CL PASS*.pdf")</f>
        <v>0</v>
      </c>
      <c r="J6" s="76">
        <f ca="1">GetFileList("P:\TP et Raccodement\FICHES CREES RACCORDEMENT\2 - SAV + COMPL + PASSAGE W XV A SAISIR DANS AX\05-06-2019\*SAV*.pdf")</f>
        <v>0</v>
      </c>
      <c r="K6" s="77">
        <f ca="1">GetFileList("P:\TP et Raccodement\FICHES CREES RACCORDEMENT\2 - SAV + COMPL + PASSAGE W XV A SAISIR DANS AX\05-06-2019\*COMPLEMENT*.pdf")</f>
        <v>0</v>
      </c>
      <c r="L6" s="77">
        <f ca="1">GetFileList("P:\TP et Raccodement\FICHES CREES RACCORDEMENT\2 - SAV + COMPL + PASSAGE W XV A SAISIR DANS AX\05-06-2019\*REPRISE*.pdf")</f>
        <v>0</v>
      </c>
      <c r="M6" s="78">
        <f ca="1">GetFileList("P:\TP et Raccodement\FICHES CREES RACCORDEMENT\2 - SAV + COMPL + PASSAGE W XV A SAISIR DANS AX\05-06-2019\*REMONTAGE*.pdf")</f>
        <v>0</v>
      </c>
      <c r="N6" s="61"/>
      <c r="O6" s="73">
        <f t="shared" ca="1" si="1"/>
        <v>0</v>
      </c>
    </row>
    <row r="7" spans="1:16" ht="16.5" x14ac:dyDescent="0.3">
      <c r="A7" s="59">
        <v>43622</v>
      </c>
      <c r="B7" s="74">
        <f t="shared" ca="1" si="0"/>
        <v>0</v>
      </c>
      <c r="C7" s="67">
        <f ca="1">GetFileList("P:\TP et Raccodement\FICHES CREES RACCORDEMENT\1 - RACCOS A SAISIR DANS AX\06-06-2019\*LM RACCO*.pdf")</f>
        <v>0</v>
      </c>
      <c r="D7" s="67">
        <f ca="1">GetFileList("P:\TP et Raccodement\FICHES CREES RACCORDEMENT\1 - RACCOS A SAISIR DANS AX\06-06-2019\*LR RACCO*.pdf")</f>
        <v>0</v>
      </c>
      <c r="E7" s="68">
        <f ca="1">GetFileList("P:\TP et Raccodement\FICHES CREES RACCORDEMENT\1 - RACCOS A SAISIR DANS AX\06-06-2019\*CL RACCO*.pdf")</f>
        <v>0</v>
      </c>
      <c r="F7" s="75">
        <f t="shared" ca="1" si="2"/>
        <v>0</v>
      </c>
      <c r="G7" s="67">
        <f ca="1">GetFileList("P:\TP et Raccodement\FICHES CREES RACCORDEMENT\2 - SAV + COMPL + PASSAGE W XV A SAISIR DANS AX\06-06-2019\*LM PASS*.pdf")</f>
        <v>0</v>
      </c>
      <c r="H7" s="67">
        <f ca="1">GetFileList("P:\TP et Raccodement\FICHES CREES RACCORDEMENT\2 - SAV + COMPL + PASSAGE W XV A SAISIR DANS AX\06-06-2019\*LR PASS*.pdf")</f>
        <v>0</v>
      </c>
      <c r="I7" s="68">
        <f ca="1">GetFileList("P:\TP et Raccodement\FICHES CREES RACCORDEMENT\2 - SAV + COMPL + PASSAGE W XV A SAISIR DANS AX\06-06-2019\*CL PASS*.pdf")</f>
        <v>0</v>
      </c>
      <c r="J7" s="76">
        <f ca="1">GetFileList("P:\TP et Raccodement\FICHES CREES RACCORDEMENT\2 - SAV + COMPL + PASSAGE W XV A SAISIR DANS AX\06-06-2019\*SAV*.pdf")</f>
        <v>0</v>
      </c>
      <c r="K7" s="77">
        <f ca="1">GetFileList("P:\TP et Raccodement\FICHES CREES RACCORDEMENT\2 - SAV + COMPL + PASSAGE W XV A SAISIR DANS AX\06-06-2019\*COMPLEMENT*.pdf")</f>
        <v>0</v>
      </c>
      <c r="L7" s="77">
        <f ca="1">GetFileList("P:\TP et Raccodement\FICHES CREES RACCORDEMENT\2 - SAV + COMPL + PASSAGE W XV A SAISIR DANS AX\06-06-2019\*REPRISE*.pdf")</f>
        <v>0</v>
      </c>
      <c r="M7" s="78">
        <f ca="1">GetFileList("P:\TP et Raccodement\FICHES CREES RACCORDEMENT\2 - SAV + COMPL + PASSAGE W XV A SAISIR DANS AX\06-06-2019\*REMONTAGE*.pdf")</f>
        <v>0</v>
      </c>
      <c r="N7" s="61"/>
      <c r="O7" s="73">
        <f t="shared" ca="1" si="1"/>
        <v>0</v>
      </c>
    </row>
    <row r="8" spans="1:16" ht="16.5" x14ac:dyDescent="0.3">
      <c r="A8" s="59">
        <v>43623</v>
      </c>
      <c r="B8" s="74">
        <f t="shared" ca="1" si="0"/>
        <v>0</v>
      </c>
      <c r="C8" s="67">
        <f ca="1">GetFileList("P:\TP et Raccodement\FICHES CREES RACCORDEMENT\1 - RACCOS A SAISIR DANS AX\07-06-2019\*LM RACCO*.pdf")</f>
        <v>0</v>
      </c>
      <c r="D8" s="67">
        <f ca="1">GetFileList("P:\TP et Raccodement\FICHES CREES RACCORDEMENT\1 - RACCOS A SAISIR DANS AX\07-06-2019\*LR RACCO*.pdf")</f>
        <v>0</v>
      </c>
      <c r="E8" s="68">
        <f ca="1">GetFileList("P:\TP et Raccodement\FICHES CREES RACCORDEMENT\1 - RACCOS A SAISIR DANS AX\07-06-2019\*CL RACCO*.pdf")</f>
        <v>0</v>
      </c>
      <c r="F8" s="75">
        <f t="shared" ca="1" si="2"/>
        <v>0</v>
      </c>
      <c r="G8" s="67">
        <f ca="1">GetFileList("P:\TP et Raccodement\FICHES CREES RACCORDEMENT\2 - SAV + COMPL + PASSAGE W XV A SAISIR DANS AX\07-06-2019\*LM PASS*.pdf")</f>
        <v>0</v>
      </c>
      <c r="H8" s="67">
        <f ca="1">GetFileList("P:\TP et Raccodement\FICHES CREES RACCORDEMENT\2 - SAV + COMPL + PASSAGE W XV A SAISIR DANS AX\07-06-2019\*LR PASS*.pdf")</f>
        <v>0</v>
      </c>
      <c r="I8" s="68">
        <f ca="1">GetFileList("P:\TP et Raccodement\FICHES CREES RACCORDEMENT\2 - SAV + COMPL + PASSAGE W XV A SAISIR DANS AX\07-06-2019\*CL PASS*.pdf")</f>
        <v>0</v>
      </c>
      <c r="J8" s="76">
        <f ca="1">GetFileList("P:\TP et Raccodement\FICHES CREES RACCORDEMENT\2 - SAV + COMPL + PASSAGE W XV A SAISIR DANS AX\07-06-2019\*SAV*.pdf")</f>
        <v>0</v>
      </c>
      <c r="K8" s="77">
        <f ca="1">GetFileList("P:\TP et Raccodement\FICHES CREES RACCORDEMENT\2 - SAV + COMPL + PASSAGE W XV A SAISIR DANS AX\07-06-2019\*COMPLEMENT*.pdf")</f>
        <v>0</v>
      </c>
      <c r="L8" s="77">
        <f ca="1">GetFileList("P:\TP et Raccodement\FICHES CREES RACCORDEMENT\2 - SAV + COMPL + PASSAGE W XV A SAISIR DANS AX\07-06-2019\*REPRISE*.pdf")</f>
        <v>0</v>
      </c>
      <c r="M8" s="78">
        <f ca="1">GetFileList("P:\TP et Raccodement\FICHES CREES RACCORDEMENT\2 - SAV + COMPL + PASSAGE W XV A SAISIR DANS AX\07-06-2019\*REMONTAGE*.pdf")</f>
        <v>0</v>
      </c>
      <c r="N8" s="61"/>
      <c r="O8" s="73">
        <f t="shared" ca="1" si="1"/>
        <v>0</v>
      </c>
    </row>
    <row r="9" spans="1:16" ht="16.5" x14ac:dyDescent="0.3">
      <c r="A9" s="59">
        <v>43624</v>
      </c>
      <c r="B9" s="74">
        <f t="shared" ca="1" si="0"/>
        <v>0</v>
      </c>
      <c r="C9" s="67">
        <f ca="1">GetFileList("P:\TP et Raccodement\FICHES CREES RACCORDEMENT\1 - RACCOS A SAISIR DANS AX\08-06-2019\*LM RACCO*.pdf")</f>
        <v>0</v>
      </c>
      <c r="D9" s="67">
        <f ca="1">GetFileList("P:\TP et Raccodement\FICHES CREES RACCORDEMENT\1 - RACCOS A SAISIR DANS AX\08-06-2019\*LR RACCO*.pdf")</f>
        <v>0</v>
      </c>
      <c r="E9" s="68">
        <f ca="1">GetFileList("P:\TP et Raccodement\FICHES CREES RACCORDEMENT\1 - RACCOS A SAISIR DANS AX\08-06-2019\*CL RACCO*.pdf")</f>
        <v>0</v>
      </c>
      <c r="F9" s="75">
        <f t="shared" ca="1" si="2"/>
        <v>0</v>
      </c>
      <c r="G9" s="67">
        <f ca="1">GetFileList("P:\TP et Raccodement\FICHES CREES RACCORDEMENT\2 - SAV + COMPL + PASSAGE W XV A SAISIR DANS AX\08-06-2019\*LM PASS*.pdf")</f>
        <v>0</v>
      </c>
      <c r="H9" s="67">
        <f ca="1">GetFileList("P:\TP et Raccodement\FICHES CREES RACCORDEMENT\2 - SAV + COMPL + PASSAGE W XV A SAISIR DANS AX\08-06-2019\*LR PASS*.pdf")</f>
        <v>0</v>
      </c>
      <c r="I9" s="68">
        <f ca="1">GetFileList("P:\TP et Raccodement\FICHES CREES RACCORDEMENT\2 - SAV + COMPL + PASSAGE W XV A SAISIR DANS AX\08-06-2019\*CL PASS*.pdf")</f>
        <v>0</v>
      </c>
      <c r="J9" s="76">
        <f ca="1">GetFileList("P:\TP et Raccodement\FICHES CREES RACCORDEMENT\2 - SAV + COMPL + PASSAGE W XV A SAISIR DANS AX\08-06-2019\*SAV*.pdf")</f>
        <v>0</v>
      </c>
      <c r="K9" s="77">
        <f ca="1">GetFileList("P:\TP et Raccodement\FICHES CREES RACCORDEMENT\2 - SAV + COMPL + PASSAGE W XV A SAISIR DANS AX\08-06-2019\*COMPLEMENT*.pdf")</f>
        <v>0</v>
      </c>
      <c r="L9" s="77">
        <f ca="1">GetFileList("P:\TP et Raccodement\FICHES CREES RACCORDEMENT\2 - SAV + COMPL + PASSAGE W XV A SAISIR DANS AX\08-06-2019\*REPRISE*.pdf")</f>
        <v>0</v>
      </c>
      <c r="M9" s="78">
        <f ca="1">GetFileList("P:\TP et Raccodement\FICHES CREES RACCORDEMENT\2 - SAV + COMPL + PASSAGE W XV A SAISIR DANS AX\08-06-2019\*REMONTAGE*.pdf")</f>
        <v>0</v>
      </c>
      <c r="N9" s="61"/>
      <c r="O9" s="73">
        <f t="shared" ca="1" si="1"/>
        <v>0</v>
      </c>
    </row>
    <row r="10" spans="1:16" ht="16.5" x14ac:dyDescent="0.3">
      <c r="A10" s="88">
        <v>43625</v>
      </c>
      <c r="B10" s="89">
        <f t="shared" ca="1" si="0"/>
        <v>0</v>
      </c>
      <c r="C10" s="90">
        <f ca="1">GetFileList("P:\TP et Raccodement\FICHES CREES RACCORDEMENT\1 - RACCOS A SAISIR DANS AX\09-06-2019\*LM RACCO*.pdf")</f>
        <v>0</v>
      </c>
      <c r="D10" s="90">
        <f ca="1">GetFileList("P:\TP et Raccodement\FICHES CREES RACCORDEMENT\1 - RACCOS A SAISIR DANS AX\09-06-2019\*LR RACCO*.pdf")</f>
        <v>0</v>
      </c>
      <c r="E10" s="91">
        <f ca="1">GetFileList("P:\TP et Raccodement\FICHES CREES RACCORDEMENT\1 - RACCOS A SAISIR DANS AX\09-06-2019\*CL RACCO*.pdf")</f>
        <v>0</v>
      </c>
      <c r="F10" s="92">
        <f t="shared" ca="1" si="2"/>
        <v>0</v>
      </c>
      <c r="G10" s="90">
        <f ca="1">GetFileList("P:\TP et Raccodement\FICHES CREES RACCORDEMENT\2 - SAV + COMPL + PASSAGE W XV A SAISIR DANS AX\09-06-2019\*LM PASS*.pdf")</f>
        <v>0</v>
      </c>
      <c r="H10" s="90">
        <f ca="1">GetFileList("P:\TP et Raccodement\FICHES CREES RACCORDEMENT\2 - SAV + COMPL + PASSAGE W XV A SAISIR DANS AX\09-06-2019\*LR PASS*.pdf")</f>
        <v>0</v>
      </c>
      <c r="I10" s="91">
        <f ca="1">GetFileList("P:\TP et Raccodement\FICHES CREES RACCORDEMENT\2 - SAV + COMPL + PASSAGE W XV A SAISIR DANS AX\09-06-2019\*CL PASS*.pdf")</f>
        <v>0</v>
      </c>
      <c r="J10" s="93">
        <f ca="1">GetFileList("P:\TP et Raccodement\FICHES CREES RACCORDEMENT\2 - SAV + COMPL + PASSAGE W XV A SAISIR DANS AX\09-06-2019\*SAV*.pdf")</f>
        <v>0</v>
      </c>
      <c r="K10" s="94">
        <f ca="1">GetFileList("P:\TP et Raccodement\FICHES CREES RACCORDEMENT\2 - SAV + COMPL + PASSAGE W XV A SAISIR DANS AX\09-06-2019\*COMPLEMENT*.pdf")</f>
        <v>0</v>
      </c>
      <c r="L10" s="94">
        <f ca="1">GetFileList("P:\TP et Raccodement\FICHES CREES RACCORDEMENT\2 - SAV + COMPL + PASSAGE W XV A SAISIR DANS AX\09-06-2019\*REPRISE*.pdf")</f>
        <v>0</v>
      </c>
      <c r="M10" s="95">
        <f ca="1">GetFileList("P:\TP et Raccodement\FICHES CREES RACCORDEMENT\2 - SAV + COMPL + PASSAGE W XV A SAISIR DANS AX\09-06-2019\*REMONTAGE*.pdf")</f>
        <v>0</v>
      </c>
      <c r="N10" s="61"/>
      <c r="O10" s="73">
        <f t="shared" ca="1" si="1"/>
        <v>0</v>
      </c>
    </row>
    <row r="11" spans="1:16" ht="16.5" x14ac:dyDescent="0.3">
      <c r="A11" s="88">
        <v>43626</v>
      </c>
      <c r="B11" s="89">
        <f t="shared" ca="1" si="0"/>
        <v>0</v>
      </c>
      <c r="C11" s="90">
        <f ca="1">GetFileList("P:\TP et Raccodement\FICHES CREES RACCORDEMENT\1 - RACCOS A SAISIR DANS AX\10-06-2019\*LM RACCO*.pdf")</f>
        <v>0</v>
      </c>
      <c r="D11" s="90">
        <f ca="1">GetFileList("P:\TP et Raccodement\FICHES CREES RACCORDEMENT\1 - RACCOS A SAISIR DANS AX\10-06-2019\*LR RACCO*.pdf")</f>
        <v>0</v>
      </c>
      <c r="E11" s="91">
        <f ca="1">GetFileList("P:\TP et Raccodement\FICHES CREES RACCORDEMENT\1 - RACCOS A SAISIR DANS AX\10-06-2019\*CL RACCO*.pdf")</f>
        <v>0</v>
      </c>
      <c r="F11" s="92">
        <f t="shared" ca="1" si="2"/>
        <v>0</v>
      </c>
      <c r="G11" s="90">
        <f ca="1">GetFileList("P:\TP et Raccodement\FICHES CREES RACCORDEMENT\2 - SAV + COMPL + PASSAGE W XV A SAISIR DANS AX\10-06-2019\*LM PASS*.pdf")</f>
        <v>0</v>
      </c>
      <c r="H11" s="90">
        <f ca="1">GetFileList("P:\TP et Raccodement\FICHES CREES RACCORDEMENT\2 - SAV + COMPL + PASSAGE W XV A SAISIR DANS AX\10-06-2019\*LR PASS*.pdf")</f>
        <v>0</v>
      </c>
      <c r="I11" s="91">
        <f ca="1">GetFileList("P:\TP et Raccodement\FICHES CREES RACCORDEMENT\2 - SAV + COMPL + PASSAGE W XV A SAISIR DANS AX\10-06-2019\*CL PASS*.pdf")</f>
        <v>0</v>
      </c>
      <c r="J11" s="93">
        <f ca="1">GetFileList("P:\TP et Raccodement\FICHES CREES RACCORDEMENT\2 - SAV + COMPL + PASSAGE W XV A SAISIR DANS AX\10-06-2019\*SAV*.pdf")</f>
        <v>0</v>
      </c>
      <c r="K11" s="94">
        <f ca="1">GetFileList("P:\TP et Raccodement\FICHES CREES RACCORDEMENT\2 - SAV + COMPL + PASSAGE W XV A SAISIR DANS AX\10-06-2019\*COMPLEMENT*.pdf")</f>
        <v>0</v>
      </c>
      <c r="L11" s="94">
        <f ca="1">GetFileList("P:\TP et Raccodement\FICHES CREES RACCORDEMENT\2 - SAV + COMPL + PASSAGE W XV A SAISIR DANS AX\10-06-2019\*REPRISE*.pdf")</f>
        <v>0</v>
      </c>
      <c r="M11" s="95">
        <f ca="1">GetFileList("P:\TP et Raccodement\FICHES CREES RACCORDEMENT\2 - SAV + COMPL + PASSAGE W XV A SAISIR DANS AX\10-06-2019\*REMONTAGE*.pdf")</f>
        <v>0</v>
      </c>
      <c r="N11" s="61"/>
      <c r="O11" s="73">
        <f t="shared" ca="1" si="1"/>
        <v>0</v>
      </c>
    </row>
    <row r="12" spans="1:16" ht="16.5" x14ac:dyDescent="0.3">
      <c r="A12" s="59">
        <v>43627</v>
      </c>
      <c r="B12" s="74">
        <f t="shared" ca="1" si="0"/>
        <v>0</v>
      </c>
      <c r="C12" s="67">
        <f ca="1">GetFileList("P:\TP et Raccodement\FICHES CREES RACCORDEMENT\1 - RACCOS A SAISIR DANS AX\11-06-2019\*LM RACCO*.pdf")</f>
        <v>0</v>
      </c>
      <c r="D12" s="67">
        <f ca="1">GetFileList("P:\TP et Raccodement\FICHES CREES RACCORDEMENT\1 - RACCOS A SAISIR DANS AX\11-06-2019\*LR RACCO*.pdf")</f>
        <v>0</v>
      </c>
      <c r="E12" s="68">
        <f ca="1">GetFileList("P:\TP et Raccodement\FICHES CREES RACCORDEMENT\1 - RACCOS A SAISIR DANS AX\11-06-2019\*CL RACCO*.pdf")</f>
        <v>0</v>
      </c>
      <c r="F12" s="75">
        <f t="shared" ca="1" si="2"/>
        <v>0</v>
      </c>
      <c r="G12" s="67">
        <f ca="1">GetFileList("P:\TP et Raccodement\FICHES CREES RACCORDEMENT\2 - SAV + COMPL + PASSAGE W XV A SAISIR DANS AX\11-06-2019\*LM PASS*.pdf")</f>
        <v>0</v>
      </c>
      <c r="H12" s="67">
        <f ca="1">GetFileList("P:\TP et Raccodement\FICHES CREES RACCORDEMENT\2 - SAV + COMPL + PASSAGE W XV A SAISIR DANS AX\11-06-2019\*LR PASS*.pdf")</f>
        <v>0</v>
      </c>
      <c r="I12" s="68">
        <f ca="1">GetFileList("P:\TP et Raccodement\FICHES CREES RACCORDEMENT\2 - SAV + COMPL + PASSAGE W XV A SAISIR DANS AX\11-06-2019\*CL PASS*.pdf")</f>
        <v>0</v>
      </c>
      <c r="J12" s="76">
        <f ca="1">GetFileList("P:\TP et Raccodement\FICHES CREES RACCORDEMENT\2 - SAV + COMPL + PASSAGE W XV A SAISIR DANS AX\11-06-2019\*SAV*.pdf")</f>
        <v>0</v>
      </c>
      <c r="K12" s="77">
        <f ca="1">GetFileList("P:\TP et Raccodement\FICHES CREES RACCORDEMENT\2 - SAV + COMPL + PASSAGE W XV A SAISIR DANS AX\11-06-2019\*COMPLEMENT*.pdf")</f>
        <v>0</v>
      </c>
      <c r="L12" s="77">
        <f ca="1">GetFileList("P:\TP et Raccodement\FICHES CREES RACCORDEMENT\2 - SAV + COMPL + PASSAGE W XV A SAISIR DANS AX\11-06-2019\*REPRISE*.pdf")</f>
        <v>0</v>
      </c>
      <c r="M12" s="78">
        <f ca="1">GetFileList("P:\TP et Raccodement\FICHES CREES RACCORDEMENT\2 - SAV + COMPL + PASSAGE W XV A SAISIR DANS AX\11-06-2019\*REMONTAGE*.pdf")</f>
        <v>0</v>
      </c>
      <c r="N12" s="61"/>
      <c r="O12" s="73">
        <f t="shared" ca="1" si="1"/>
        <v>0</v>
      </c>
    </row>
    <row r="13" spans="1:16" ht="16.5" x14ac:dyDescent="0.3">
      <c r="A13" s="59">
        <v>43628</v>
      </c>
      <c r="B13" s="74">
        <f t="shared" ca="1" si="0"/>
        <v>0</v>
      </c>
      <c r="C13" s="67">
        <f ca="1">GetFileList("P:\TP et Raccodement\FICHES CREES RACCORDEMENT\1 - RACCOS A SAISIR DANS AX\12-06-2019\*LM RACCO*.pdf")</f>
        <v>0</v>
      </c>
      <c r="D13" s="67">
        <f ca="1">GetFileList("P:\TP et Raccodement\FICHES CREES RACCORDEMENT\1 - RACCOS A SAISIR DANS AX\12-06-2019\*LR RACCO*.pdf")</f>
        <v>0</v>
      </c>
      <c r="E13" s="68">
        <f ca="1">GetFileList("P:\TP et Raccodement\FICHES CREES RACCORDEMENT\1 - RACCOS A SAISIR DANS AX\12-06-2019\*CL RACCO*.pdf")</f>
        <v>0</v>
      </c>
      <c r="F13" s="75">
        <f t="shared" ca="1" si="2"/>
        <v>0</v>
      </c>
      <c r="G13" s="67">
        <f ca="1">GetFileList("P:\TP et Raccodement\FICHES CREES RACCORDEMENT\2 - SAV + COMPL + PASSAGE W XV A SAISIR DANS AX\12-06-2019\*LM PASS*.pdf")</f>
        <v>0</v>
      </c>
      <c r="H13" s="67">
        <f ca="1">GetFileList("P:\TP et Raccodement\FICHES CREES RACCORDEMENT\2 - SAV + COMPL + PASSAGE W XV A SAISIR DANS AX\12-06-2019\*LR PASS*.pdf")</f>
        <v>0</v>
      </c>
      <c r="I13" s="68">
        <f ca="1">GetFileList("P:\TP et Raccodement\FICHES CREES RACCORDEMENT\2 - SAV + COMPL + PASSAGE W XV A SAISIR DANS AX\12-06-2019\*CL PASS*.pdf")</f>
        <v>0</v>
      </c>
      <c r="J13" s="76">
        <f ca="1">GetFileList("P:\TP et Raccodement\FICHES CREES RACCORDEMENT\2 - SAV + COMPL + PASSAGE W XV A SAISIR DANS AX\12-06-2019\*SAV*.pdf")</f>
        <v>0</v>
      </c>
      <c r="K13" s="77">
        <f ca="1">GetFileList("P:\TP et Raccodement\FICHES CREES RACCORDEMENT\2 - SAV + COMPL + PASSAGE W XV A SAISIR DANS AX\12-06-2019\*COMPLEMENT*.pdf")</f>
        <v>0</v>
      </c>
      <c r="L13" s="77">
        <f ca="1">GetFileList("P:\TP et Raccodement\FICHES CREES RACCORDEMENT\2 - SAV + COMPL + PASSAGE W XV A SAISIR DANS AX\12-06-2019\*REPRISE*.pdf")</f>
        <v>0</v>
      </c>
      <c r="M13" s="78">
        <f ca="1">GetFileList("P:\TP et Raccodement\FICHES CREES RACCORDEMENT\2 - SAV + COMPL + PASSAGE W XV A SAISIR DANS AX\12-06-2019\*REMONTAGE*.pdf")</f>
        <v>0</v>
      </c>
      <c r="N13" s="61"/>
      <c r="O13" s="73">
        <f t="shared" ca="1" si="1"/>
        <v>0</v>
      </c>
    </row>
    <row r="14" spans="1:16" ht="16.5" x14ac:dyDescent="0.3">
      <c r="A14" s="59">
        <v>43629</v>
      </c>
      <c r="B14" s="74">
        <f t="shared" ca="1" si="0"/>
        <v>0</v>
      </c>
      <c r="C14" s="67">
        <f ca="1">GetFileList("P:\TP et Raccodement\FICHES CREES RACCORDEMENT\1 - RACCOS A SAISIR DANS AX\13-06-2019\*LM RACCO*.pdf")</f>
        <v>0</v>
      </c>
      <c r="D14" s="67">
        <f ca="1">GetFileList("P:\TP et Raccodement\FICHES CREES RACCORDEMENT\1 - RACCOS A SAISIR DANS AX\13-06-2019\*LR RACCO*.pdf")</f>
        <v>0</v>
      </c>
      <c r="E14" s="68">
        <f ca="1">GetFileList("P:\TP et Raccodement\FICHES CREES RACCORDEMENT\1 - RACCOS A SAISIR DANS AX\13-06-2019\*CL RACCO*.pdf")</f>
        <v>0</v>
      </c>
      <c r="F14" s="75">
        <f t="shared" ca="1" si="2"/>
        <v>0</v>
      </c>
      <c r="G14" s="67">
        <f ca="1">GetFileList("P:\TP et Raccodement\FICHES CREES RACCORDEMENT\2 - SAV + COMPL + PASSAGE W XV A SAISIR DANS AX\13-06-2019\*LM PASS*.pdf")</f>
        <v>0</v>
      </c>
      <c r="H14" s="67">
        <f ca="1">GetFileList("P:\TP et Raccodement\FICHES CREES RACCORDEMENT\2 - SAV + COMPL + PASSAGE W XV A SAISIR DANS AX\13-06-2019\*LR PASS*.pdf")</f>
        <v>0</v>
      </c>
      <c r="I14" s="68">
        <f ca="1">GetFileList("P:\TP et Raccodement\FICHES CREES RACCORDEMENT\2 - SAV + COMPL + PASSAGE W XV A SAISIR DANS AX\13-06-2019\*CL PASS*.pdf")</f>
        <v>0</v>
      </c>
      <c r="J14" s="76">
        <f ca="1">GetFileList("P:\TP et Raccodement\FICHES CREES RACCORDEMENT\2 - SAV + COMPL + PASSAGE W XV A SAISIR DANS AX\13-06-2019\*SAV*.pdf")</f>
        <v>0</v>
      </c>
      <c r="K14" s="77">
        <f ca="1">GetFileList("P:\TP et Raccodement\FICHES CREES RACCORDEMENT\2 - SAV + COMPL + PASSAGE W XV A SAISIR DANS AX\13-06-2019\*COMPLEMENT*.pdf")</f>
        <v>0</v>
      </c>
      <c r="L14" s="77">
        <f ca="1">GetFileList("P:\TP et Raccodement\FICHES CREES RACCORDEMENT\2 - SAV + COMPL + PASSAGE W XV A SAISIR DANS AX\13-06-2019\*REPRISE*.pdf")</f>
        <v>0</v>
      </c>
      <c r="M14" s="78">
        <f ca="1">GetFileList("P:\TP et Raccodement\FICHES CREES RACCORDEMENT\2 - SAV + COMPL + PASSAGE W XV A SAISIR DANS AX\13-06-2019\*REMONTAGE*.pdf")</f>
        <v>0</v>
      </c>
      <c r="N14" s="61"/>
      <c r="O14" s="73">
        <f t="shared" ca="1" si="1"/>
        <v>0</v>
      </c>
    </row>
    <row r="15" spans="1:16" ht="16.5" x14ac:dyDescent="0.3">
      <c r="A15" s="59">
        <v>43630</v>
      </c>
      <c r="B15" s="74">
        <f t="shared" ca="1" si="0"/>
        <v>0</v>
      </c>
      <c r="C15" s="67">
        <f ca="1">GetFileList("P:\TP et Raccodement\FICHES CREES RACCORDEMENT\1 - RACCOS A SAISIR DANS AX\14-06-2019\*LM RACCO*.pdf")</f>
        <v>0</v>
      </c>
      <c r="D15" s="67">
        <f ca="1">GetFileList("P:\TP et Raccodement\FICHES CREES RACCORDEMENT\1 - RACCOS A SAISIR DANS AX\14-06-2019\*LR RACCO*.pdf")</f>
        <v>0</v>
      </c>
      <c r="E15" s="68">
        <f ca="1">GetFileList("P:\TP et Raccodement\FICHES CREES RACCORDEMENT\1 - RACCOS A SAISIR DANS AX\14-06-2019\*CL RACCO*.pdf")</f>
        <v>0</v>
      </c>
      <c r="F15" s="75">
        <f t="shared" ca="1" si="2"/>
        <v>0</v>
      </c>
      <c r="G15" s="67">
        <f ca="1">GetFileList("P:\TP et Raccodement\FICHES CREES RACCORDEMENT\2 - SAV + COMPL + PASSAGE W XV A SAISIR DANS AX\14-06-2019\*LM PASS*.pdf")</f>
        <v>0</v>
      </c>
      <c r="H15" s="67">
        <f ca="1">GetFileList("P:\TP et Raccodement\FICHES CREES RACCORDEMENT\2 - SAV + COMPL + PASSAGE W XV A SAISIR DANS AX\14-06-2019\*LR PASS*.pdf")</f>
        <v>0</v>
      </c>
      <c r="I15" s="68">
        <f ca="1">GetFileList("P:\TP et Raccodement\FICHES CREES RACCORDEMENT\2 - SAV + COMPL + PASSAGE W XV A SAISIR DANS AX\14-06-2019\*CL PASS*.pdf")</f>
        <v>0</v>
      </c>
      <c r="J15" s="76">
        <f ca="1">GetFileList("P:\TP et Raccodement\FICHES CREES RACCORDEMENT\2 - SAV + COMPL + PASSAGE W XV A SAISIR DANS AX\14-06-2019\*SAV*.pdf")</f>
        <v>0</v>
      </c>
      <c r="K15" s="77">
        <f ca="1">GetFileList("P:\TP et Raccodement\FICHES CREES RACCORDEMENT\2 - SAV + COMPL + PASSAGE W XV A SAISIR DANS AX\14-06-2019\*COMPLEMENT*.pdf")</f>
        <v>0</v>
      </c>
      <c r="L15" s="77">
        <f ca="1">GetFileList("P:\TP et Raccodement\FICHES CREES RACCORDEMENT\2 - SAV + COMPL + PASSAGE W XV A SAISIR DANS AX\14-06-2019\*REPRISE*.pdf")</f>
        <v>0</v>
      </c>
      <c r="M15" s="78">
        <f ca="1">GetFileList("P:\TP et Raccodement\FICHES CREES RACCORDEMENT\2 - SAV + COMPL + PASSAGE W XV A SAISIR DANS AX\14-06-2019\*REMONTAGE*.pdf")</f>
        <v>0</v>
      </c>
      <c r="N15" s="61"/>
      <c r="O15" s="73">
        <f t="shared" ca="1" si="1"/>
        <v>0</v>
      </c>
    </row>
    <row r="16" spans="1:16" ht="16.5" x14ac:dyDescent="0.3">
      <c r="A16" s="59">
        <v>43631</v>
      </c>
      <c r="B16" s="74">
        <f t="shared" ca="1" si="0"/>
        <v>0</v>
      </c>
      <c r="C16" s="67">
        <f ca="1">GetFileList("P:\TP et Raccodement\FICHES CREES RACCORDEMENT\1 - RACCOS A SAISIR DANS AX\15-06-2019\*LM RACCO*.pdf")</f>
        <v>0</v>
      </c>
      <c r="D16" s="67">
        <f ca="1">GetFileList("P:\TP et Raccodement\FICHES CREES RACCORDEMENT\1 - RACCOS A SAISIR DANS AX\15-06-2019\*LR RACCO*.pdf")</f>
        <v>0</v>
      </c>
      <c r="E16" s="68">
        <f ca="1">GetFileList("P:\TP et Raccodement\FICHES CREES RACCORDEMENT\1 - RACCOS A SAISIR DANS AX\15-06-2019\*CL RACCO*.pdf")</f>
        <v>0</v>
      </c>
      <c r="F16" s="75">
        <f t="shared" ca="1" si="2"/>
        <v>0</v>
      </c>
      <c r="G16" s="67">
        <f ca="1">GetFileList("P:\TP et Raccodement\FICHES CREES RACCORDEMENT\2 - SAV + COMPL + PASSAGE W XV A SAISIR DANS AX\15-06-2019\*LM PASS*.pdf")</f>
        <v>0</v>
      </c>
      <c r="H16" s="67">
        <f ca="1">GetFileList("P:\TP et Raccodement\FICHES CREES RACCORDEMENT\2 - SAV + COMPL + PASSAGE W XV A SAISIR DANS AX\15-06-2019\*LR PASS*.pdf")</f>
        <v>0</v>
      </c>
      <c r="I16" s="68">
        <f ca="1">GetFileList("P:\TP et Raccodement\FICHES CREES RACCORDEMENT\2 - SAV + COMPL + PASSAGE W XV A SAISIR DANS AX\15-06-2019\*CL PASS*.pdf")</f>
        <v>0</v>
      </c>
      <c r="J16" s="76">
        <f ca="1">GetFileList("P:\TP et Raccodement\FICHES CREES RACCORDEMENT\2 - SAV + COMPL + PASSAGE W XV A SAISIR DANS AX\15-06-2019\*SAV*.pdf")</f>
        <v>0</v>
      </c>
      <c r="K16" s="77">
        <f ca="1">GetFileList("P:\TP et Raccodement\FICHES CREES RACCORDEMENT\2 - SAV + COMPL + PASSAGE W XV A SAISIR DANS AX\15-06-2019\*COMPLEMENT*.pdf")</f>
        <v>0</v>
      </c>
      <c r="L16" s="77">
        <f ca="1">GetFileList("P:\TP et Raccodement\FICHES CREES RACCORDEMENT\2 - SAV + COMPL + PASSAGE W XV A SAISIR DANS AX\15-06-2019\*REPRISE*.pdf")</f>
        <v>0</v>
      </c>
      <c r="M16" s="78">
        <f ca="1">GetFileList("P:\TP et Raccodement\FICHES CREES RACCORDEMENT\2 - SAV + COMPL + PASSAGE W XV A SAISIR DANS AX\15-06-2019\*REMONTAGE*.pdf")</f>
        <v>0</v>
      </c>
      <c r="N16" s="61"/>
      <c r="O16" s="73">
        <f t="shared" ca="1" si="1"/>
        <v>0</v>
      </c>
    </row>
    <row r="17" spans="1:15" ht="16.5" x14ac:dyDescent="0.3">
      <c r="A17" s="88">
        <v>43632</v>
      </c>
      <c r="B17" s="89">
        <f t="shared" ca="1" si="0"/>
        <v>0</v>
      </c>
      <c r="C17" s="90">
        <f ca="1">GetFileList("P:\TP et Raccodement\FICHES CREES RACCORDEMENT\1 - RACCOS A SAISIR DANS AX\16-06-2019\*LM RACCO*.pdf")</f>
        <v>0</v>
      </c>
      <c r="D17" s="90">
        <f ca="1">GetFileList("P:\TP et Raccodement\FICHES CREES RACCORDEMENT\1 - RACCOS A SAISIR DANS AX\16-06-2019\*LR RACCO*.pdf")</f>
        <v>0</v>
      </c>
      <c r="E17" s="91">
        <f ca="1">GetFileList("P:\TP et Raccodement\FICHES CREES RACCORDEMENT\1 - RACCOS A SAISIR DANS AX\16-06-2019\*CL RACCO*.pdf")</f>
        <v>0</v>
      </c>
      <c r="F17" s="92">
        <f t="shared" ca="1" si="2"/>
        <v>0</v>
      </c>
      <c r="G17" s="90">
        <f ca="1">GetFileList("P:\TP et Raccodement\FICHES CREES RACCORDEMENT\2 - SAV + COMPL + PASSAGE W XV A SAISIR DANS AX\16-06-2019\*LM PASS*.pdf")</f>
        <v>0</v>
      </c>
      <c r="H17" s="90">
        <f ca="1">GetFileList("P:\TP et Raccodement\FICHES CREES RACCORDEMENT\2 - SAV + COMPL + PASSAGE W XV A SAISIR DANS AX\16-06-2019\*LR PASS*.pdf")</f>
        <v>0</v>
      </c>
      <c r="I17" s="91">
        <f ca="1">GetFileList("P:\TP et Raccodement\FICHES CREES RACCORDEMENT\2 - SAV + COMPL + PASSAGE W XV A SAISIR DANS AX\16-06-2019\*CL PASS*.pdf")</f>
        <v>0</v>
      </c>
      <c r="J17" s="93">
        <f ca="1">GetFileList("P:\TP et Raccodement\FICHES CREES RACCORDEMENT\2 - SAV + COMPL + PASSAGE W XV A SAISIR DANS AX\16-06-2019\*SAV*.pdf")</f>
        <v>0</v>
      </c>
      <c r="K17" s="94">
        <f ca="1">GetFileList("P:\TP et Raccodement\FICHES CREES RACCORDEMENT\2 - SAV + COMPL + PASSAGE W XV A SAISIR DANS AX\16-06-2019\*COMPLEMENT*.pdf")</f>
        <v>0</v>
      </c>
      <c r="L17" s="94">
        <f ca="1">GetFileList("P:\TP et Raccodement\FICHES CREES RACCORDEMENT\2 - SAV + COMPL + PASSAGE W XV A SAISIR DANS AX\16-06-2019\*REPRISE*.pdf")</f>
        <v>0</v>
      </c>
      <c r="M17" s="95">
        <f ca="1">GetFileList("P:\TP et Raccodement\FICHES CREES RACCORDEMENT\2 - SAV + COMPL + PASSAGE W XV A SAISIR DANS AX\16-06-2019\*REMONTAGE*.pdf")</f>
        <v>0</v>
      </c>
      <c r="N17" s="61"/>
      <c r="O17" s="73">
        <f t="shared" ca="1" si="1"/>
        <v>0</v>
      </c>
    </row>
    <row r="18" spans="1:15" ht="16.5" x14ac:dyDescent="0.3">
      <c r="A18" s="59">
        <v>43633</v>
      </c>
      <c r="B18" s="74">
        <f t="shared" ca="1" si="0"/>
        <v>0</v>
      </c>
      <c r="C18" s="67">
        <f ca="1">GetFileList("P:\TP et Raccodement\FICHES CREES RACCORDEMENT\1 - RACCOS A SAISIR DANS AX\17-06-2019\*LM RACCO*.pdf")</f>
        <v>0</v>
      </c>
      <c r="D18" s="67">
        <f ca="1">GetFileList("P:\TP et Raccodement\FICHES CREES RACCORDEMENT\1 - RACCOS A SAISIR DANS AX\17-06-2019\*LR RACCO*.pdf")</f>
        <v>0</v>
      </c>
      <c r="E18" s="68">
        <f ca="1">GetFileList("P:\TP et Raccodement\FICHES CREES RACCORDEMENT\1 - RACCOS A SAISIR DANS AX\17-06-2019\*CL RACCO*.pdf")</f>
        <v>0</v>
      </c>
      <c r="F18" s="75">
        <f t="shared" ca="1" si="2"/>
        <v>0</v>
      </c>
      <c r="G18" s="67">
        <f ca="1">GetFileList("P:\TP et Raccodement\FICHES CREES RACCORDEMENT\2 - SAV + COMPL + PASSAGE W XV A SAISIR DANS AX\17-06-2019\*LM PASS*.pdf")</f>
        <v>0</v>
      </c>
      <c r="H18" s="67">
        <f ca="1">GetFileList("P:\TP et Raccodement\FICHES CREES RACCORDEMENT\2 - SAV + COMPL + PASSAGE W XV A SAISIR DANS AX\17-06-2019\*LR PASS*.pdf")</f>
        <v>0</v>
      </c>
      <c r="I18" s="68">
        <f ca="1">GetFileList("P:\TP et Raccodement\FICHES CREES RACCORDEMENT\2 - SAV + COMPL + PASSAGE W XV A SAISIR DANS AX\17-06-2019\*CL PASS*.pdf")</f>
        <v>0</v>
      </c>
      <c r="J18" s="76">
        <f ca="1">GetFileList("P:\TP et Raccodement\FICHES CREES RACCORDEMENT\2 - SAV + COMPL + PASSAGE W XV A SAISIR DANS AX\17-06-2019\*SAV*.pdf")</f>
        <v>0</v>
      </c>
      <c r="K18" s="77">
        <f ca="1">GetFileList("P:\TP et Raccodement\FICHES CREES RACCORDEMENT\2 - SAV + COMPL + PASSAGE W XV A SAISIR DANS AX\17-06-2019\*COMPLEMENT*.pdf")</f>
        <v>0</v>
      </c>
      <c r="L18" s="77">
        <f ca="1">GetFileList("P:\TP et Raccodement\FICHES CREES RACCORDEMENT\2 - SAV + COMPL + PASSAGE W XV A SAISIR DANS AX\17-06-2019\*REPRISE*.pdf")</f>
        <v>0</v>
      </c>
      <c r="M18" s="78">
        <f ca="1">GetFileList("P:\TP et Raccodement\FICHES CREES RACCORDEMENT\2 - SAV + COMPL + PASSAGE W XV A SAISIR DANS AX\17-06-2019\*REMONTAGE*.pdf")</f>
        <v>0</v>
      </c>
      <c r="N18" s="61"/>
      <c r="O18" s="73">
        <f t="shared" ca="1" si="1"/>
        <v>0</v>
      </c>
    </row>
    <row r="19" spans="1:15" ht="16.5" x14ac:dyDescent="0.3">
      <c r="A19" s="59">
        <v>43634</v>
      </c>
      <c r="B19" s="74">
        <f t="shared" ca="1" si="0"/>
        <v>0</v>
      </c>
      <c r="C19" s="67">
        <f ca="1">GetFileList("P:\TP et Raccodement\FICHES CREES RACCORDEMENT\1 - RACCOS A SAISIR DANS AX\18-06-2019\*LM RACCO*.pdf")</f>
        <v>0</v>
      </c>
      <c r="D19" s="67">
        <f ca="1">GetFileList("P:\TP et Raccodement\FICHES CREES RACCORDEMENT\1 - RACCOS A SAISIR DANS AX\18-06-2019\*LR RACCO*.pdf")</f>
        <v>0</v>
      </c>
      <c r="E19" s="68">
        <f ca="1">GetFileList("P:\TP et Raccodement\FICHES CREES RACCORDEMENT\1 - RACCOS A SAISIR DANS AX\18-06-2019\*CL RACCO*.pdf")</f>
        <v>0</v>
      </c>
      <c r="F19" s="75">
        <f t="shared" ca="1" si="2"/>
        <v>0</v>
      </c>
      <c r="G19" s="67">
        <f ca="1">GetFileList("P:\TP et Raccodement\FICHES CREES RACCORDEMENT\2 - SAV + COMPL + PASSAGE W XV A SAISIR DANS AX\18-06-2019\*LM PASS*.pdf")</f>
        <v>0</v>
      </c>
      <c r="H19" s="67">
        <f ca="1">GetFileList("P:\TP et Raccodement\FICHES CREES RACCORDEMENT\2 - SAV + COMPL + PASSAGE W XV A SAISIR DANS AX\18-06-2019\*LR PASS*.pdf")</f>
        <v>0</v>
      </c>
      <c r="I19" s="68">
        <f ca="1">GetFileList("P:\TP et Raccodement\FICHES CREES RACCORDEMENT\2 - SAV + COMPL + PASSAGE W XV A SAISIR DANS AX\18-06-2019\*CL PASS*.pdf")</f>
        <v>0</v>
      </c>
      <c r="J19" s="76">
        <f ca="1">GetFileList("P:\TP et Raccodement\FICHES CREES RACCORDEMENT\2 - SAV + COMPL + PASSAGE W XV A SAISIR DANS AX\18-06-2019\*SAV*.pdf")</f>
        <v>0</v>
      </c>
      <c r="K19" s="77">
        <f ca="1">GetFileList("P:\TP et Raccodement\FICHES CREES RACCORDEMENT\2 - SAV + COMPL + PASSAGE W XV A SAISIR DANS AX\18-06-2019\*COMPLEMENT*.pdf")</f>
        <v>0</v>
      </c>
      <c r="L19" s="77">
        <f ca="1">GetFileList("P:\TP et Raccodement\FICHES CREES RACCORDEMENT\2 - SAV + COMPL + PASSAGE W XV A SAISIR DANS AX\18-06-2019\*REPRISE*.pdf")</f>
        <v>0</v>
      </c>
      <c r="M19" s="78">
        <f ca="1">GetFileList("P:\TP et Raccodement\FICHES CREES RACCORDEMENT\2 - SAV + COMPL + PASSAGE W XV A SAISIR DANS AX\18-06-2019\*REMONTAGE*.pdf")</f>
        <v>0</v>
      </c>
      <c r="N19" s="61"/>
      <c r="O19" s="73">
        <f t="shared" ca="1" si="1"/>
        <v>0</v>
      </c>
    </row>
    <row r="20" spans="1:15" ht="16.5" x14ac:dyDescent="0.3">
      <c r="A20" s="59">
        <v>43635</v>
      </c>
      <c r="B20" s="74">
        <f t="shared" ca="1" si="0"/>
        <v>0</v>
      </c>
      <c r="C20" s="67">
        <f ca="1">GetFileList("P:\TP et Raccodement\FICHES CREES RACCORDEMENT\1 - RACCOS A SAISIR DANS AX\19-06-2019\*LM RACCO*.pdf")</f>
        <v>0</v>
      </c>
      <c r="D20" s="67">
        <f ca="1">GetFileList("P:\TP et Raccodement\FICHES CREES RACCORDEMENT\1 - RACCOS A SAISIR DANS AX\19-06-2019\*LR RACCO*.pdf")</f>
        <v>0</v>
      </c>
      <c r="E20" s="68">
        <f ca="1">GetFileList("P:\TP et Raccodement\FICHES CREES RACCORDEMENT\1 - RACCOS A SAISIR DANS AX\19-06-2019\*CL RACCO*.pdf")</f>
        <v>0</v>
      </c>
      <c r="F20" s="75">
        <f t="shared" ca="1" si="2"/>
        <v>0</v>
      </c>
      <c r="G20" s="67">
        <f ca="1">GetFileList("P:\TP et Raccodement\FICHES CREES RACCORDEMENT\2 - SAV + COMPL + PASSAGE W XV A SAISIR DANS AX\19-06-2019\*LM PASS*.pdf")</f>
        <v>0</v>
      </c>
      <c r="H20" s="67">
        <f ca="1">GetFileList("P:\TP et Raccodement\FICHES CREES RACCORDEMENT\2 - SAV + COMPL + PASSAGE W XV A SAISIR DANS AX\19-06-2019\*LR PASS*.pdf")</f>
        <v>0</v>
      </c>
      <c r="I20" s="68">
        <f ca="1">GetFileList("P:\TP et Raccodement\FICHES CREES RACCORDEMENT\2 - SAV + COMPL + PASSAGE W XV A SAISIR DANS AX\19-06-2019\*CL PASS*.pdf")</f>
        <v>0</v>
      </c>
      <c r="J20" s="76">
        <f ca="1">GetFileList("P:\TP et Raccodement\FICHES CREES RACCORDEMENT\2 - SAV + COMPL + PASSAGE W XV A SAISIR DANS AX\19-06-2019\*SAV*.pdf")</f>
        <v>0</v>
      </c>
      <c r="K20" s="77">
        <f ca="1">GetFileList("P:\TP et Raccodement\FICHES CREES RACCORDEMENT\2 - SAV + COMPL + PASSAGE W XV A SAISIR DANS AX\19-06-2019\*COMPLEMENT*.pdf")</f>
        <v>0</v>
      </c>
      <c r="L20" s="77">
        <f ca="1">GetFileList("P:\TP et Raccodement\FICHES CREES RACCORDEMENT\2 - SAV + COMPL + PASSAGE W XV A SAISIR DANS AX\19-06-2019\*REPRISE*.pdf")</f>
        <v>0</v>
      </c>
      <c r="M20" s="78">
        <f ca="1">GetFileList("P:\TP et Raccodement\FICHES CREES RACCORDEMENT\2 - SAV + COMPL + PASSAGE W XV A SAISIR DANS AX\19-06-2019\*REMONTAGE*.pdf")</f>
        <v>0</v>
      </c>
      <c r="N20" s="61"/>
      <c r="O20" s="73">
        <f t="shared" ca="1" si="1"/>
        <v>0</v>
      </c>
    </row>
    <row r="21" spans="1:15" ht="16.5" x14ac:dyDescent="0.3">
      <c r="A21" s="59">
        <v>43636</v>
      </c>
      <c r="B21" s="74">
        <f t="shared" ca="1" si="0"/>
        <v>0</v>
      </c>
      <c r="C21" s="67">
        <f ca="1">GetFileList("P:\TP et Raccodement\FICHES CREES RACCORDEMENT\1 - RACCOS A SAISIR DANS AX\20-06-2019\*LM RACCO*.pdf")</f>
        <v>0</v>
      </c>
      <c r="D21" s="67">
        <f ca="1">GetFileList("P:\TP et Raccodement\FICHES CREES RACCORDEMENT\1 - RACCOS A SAISIR DANS AX\20-06-2019\*LR RACCO*.pdf")</f>
        <v>0</v>
      </c>
      <c r="E21" s="68">
        <f ca="1">GetFileList("P:\TP et Raccodement\FICHES CREES RACCORDEMENT\1 - RACCOS A SAISIR DANS AX\20-06-2019\*CL RACCO*.pdf")</f>
        <v>0</v>
      </c>
      <c r="F21" s="75">
        <f t="shared" ca="1" si="2"/>
        <v>0</v>
      </c>
      <c r="G21" s="67">
        <f ca="1">GetFileList("P:\TP et Raccodement\FICHES CREES RACCORDEMENT\2 - SAV + COMPL + PASSAGE W XV A SAISIR DANS AX\20-06-2019\*LM PASS*.pdf")</f>
        <v>0</v>
      </c>
      <c r="H21" s="67">
        <f ca="1">GetFileList("P:\TP et Raccodement\FICHES CREES RACCORDEMENT\2 - SAV + COMPL + PASSAGE W XV A SAISIR DANS AX\20-06-2019\*LR PASS*.pdf")</f>
        <v>0</v>
      </c>
      <c r="I21" s="68">
        <f ca="1">GetFileList("P:\TP et Raccodement\FICHES CREES RACCORDEMENT\2 - SAV + COMPL + PASSAGE W XV A SAISIR DANS AX\20-06-2019\*CL PASS*.pdf")</f>
        <v>0</v>
      </c>
      <c r="J21" s="76">
        <f ca="1">GetFileList("P:\TP et Raccodement\FICHES CREES RACCORDEMENT\2 - SAV + COMPL + PASSAGE W XV A SAISIR DANS AX\20-06-2019\*SAV*.pdf")</f>
        <v>0</v>
      </c>
      <c r="K21" s="77">
        <f ca="1">GetFileList("P:\TP et Raccodement\FICHES CREES RACCORDEMENT\2 - SAV + COMPL + PASSAGE W XV A SAISIR DANS AX\20-06-2019\*COMPLEMENT*.pdf")</f>
        <v>0</v>
      </c>
      <c r="L21" s="77">
        <f ca="1">GetFileList("P:\TP et Raccodement\FICHES CREES RACCORDEMENT\2 - SAV + COMPL + PASSAGE W XV A SAISIR DANS AX\20-06-2019\*REPRISE*.pdf")</f>
        <v>0</v>
      </c>
      <c r="M21" s="78">
        <f ca="1">GetFileList("P:\TP et Raccodement\FICHES CREES RACCORDEMENT\2 - SAV + COMPL + PASSAGE W XV A SAISIR DANS AX\20-06-2019\*REMONTAGE*.pdf")</f>
        <v>0</v>
      </c>
      <c r="N21" s="61"/>
      <c r="O21" s="73">
        <f t="shared" ca="1" si="1"/>
        <v>0</v>
      </c>
    </row>
    <row r="22" spans="1:15" ht="16.5" x14ac:dyDescent="0.3">
      <c r="A22" s="59">
        <v>43637</v>
      </c>
      <c r="B22" s="74">
        <f t="shared" ca="1" si="0"/>
        <v>0</v>
      </c>
      <c r="C22" s="67">
        <f ca="1">GetFileList("P:\TP et Raccodement\FICHES CREES RACCORDEMENT\1 - RACCOS A SAISIR DANS AX\21-06-2019\*LM RACCO*.pdf")</f>
        <v>0</v>
      </c>
      <c r="D22" s="67">
        <f ca="1">GetFileList("P:\TP et Raccodement\FICHES CREES RACCORDEMENT\1 - RACCOS A SAISIR DANS AX\21-06-2019\*LR RACCO*.pdf")</f>
        <v>0</v>
      </c>
      <c r="E22" s="68">
        <f ca="1">GetFileList("P:\TP et Raccodement\FICHES CREES RACCORDEMENT\1 - RACCOS A SAISIR DANS AX\21-06-2019\*CL RACCO*.pdf")</f>
        <v>0</v>
      </c>
      <c r="F22" s="75">
        <f t="shared" ca="1" si="2"/>
        <v>0</v>
      </c>
      <c r="G22" s="67">
        <f ca="1">GetFileList("P:\TP et Raccodement\FICHES CREES RACCORDEMENT\2 - SAV + COMPL + PASSAGE W XV A SAISIR DANS AX\21-06-2019\*LM PASS*.pdf")</f>
        <v>0</v>
      </c>
      <c r="H22" s="67">
        <f ca="1">GetFileList("P:\TP et Raccodement\FICHES CREES RACCORDEMENT\2 - SAV + COMPL + PASSAGE W XV A SAISIR DANS AX\21-06-2019\*LR PASS*.pdf")</f>
        <v>0</v>
      </c>
      <c r="I22" s="68">
        <f ca="1">GetFileList("P:\TP et Raccodement\FICHES CREES RACCORDEMENT\2 - SAV + COMPL + PASSAGE W XV A SAISIR DANS AX\21-06-2019\*CL PASS*.pdf")</f>
        <v>0</v>
      </c>
      <c r="J22" s="76">
        <f ca="1">GetFileList("P:\TP et Raccodement\FICHES CREES RACCORDEMENT\2 - SAV + COMPL + PASSAGE W XV A SAISIR DANS AX\21-06-2019\*SAV*.pdf")</f>
        <v>0</v>
      </c>
      <c r="K22" s="77">
        <f ca="1">GetFileList("P:\TP et Raccodement\FICHES CREES RACCORDEMENT\2 - SAV + COMPL + PASSAGE W XV A SAISIR DANS AX\21-06-2019\*COMPLEMENT*.pdf")</f>
        <v>0</v>
      </c>
      <c r="L22" s="77">
        <f ca="1">GetFileList("P:\TP et Raccodement\FICHES CREES RACCORDEMENT\2 - SAV + COMPL + PASSAGE W XV A SAISIR DANS AX\21-06-2019\*REPRISE*.pdf")</f>
        <v>0</v>
      </c>
      <c r="M22" s="78">
        <f ca="1">GetFileList("P:\TP et Raccodement\FICHES CREES RACCORDEMENT\2 - SAV + COMPL + PASSAGE W XV A SAISIR DANS AX\21-06-2019\*REMONTAGE*.pdf")</f>
        <v>0</v>
      </c>
      <c r="N22" s="61"/>
      <c r="O22" s="73">
        <f t="shared" ca="1" si="1"/>
        <v>0</v>
      </c>
    </row>
    <row r="23" spans="1:15" ht="16.5" x14ac:dyDescent="0.3">
      <c r="A23" s="59">
        <v>43638</v>
      </c>
      <c r="B23" s="74">
        <f t="shared" ca="1" si="0"/>
        <v>0</v>
      </c>
      <c r="C23" s="67">
        <f ca="1">GetFileList("P:\TP et Raccodement\FICHES CREES RACCORDEMENT\1 - RACCOS A SAISIR DANS AX\22-06-2019\*LM RACCO*.pdf")</f>
        <v>0</v>
      </c>
      <c r="D23" s="67">
        <f ca="1">GetFileList("P:\TP et Raccodement\FICHES CREES RACCORDEMENT\1 - RACCOS A SAISIR DANS AX\22-06-2019\*LR RACCO*.pdf")</f>
        <v>0</v>
      </c>
      <c r="E23" s="68">
        <f ca="1">GetFileList("P:\TP et Raccodement\FICHES CREES RACCORDEMENT\1 - RACCOS A SAISIR DANS AX\22-06-2019\*CL RACCO*.pdf")</f>
        <v>0</v>
      </c>
      <c r="F23" s="75">
        <f t="shared" ca="1" si="2"/>
        <v>0</v>
      </c>
      <c r="G23" s="67">
        <f ca="1">GetFileList("P:\TP et Raccodement\FICHES CREES RACCORDEMENT\2 - SAV + COMPL + PASSAGE W XV A SAISIR DANS AX\22-06-2019\*LM PASS*.pdf")</f>
        <v>0</v>
      </c>
      <c r="H23" s="67">
        <f ca="1">GetFileList("P:\TP et Raccodement\FICHES CREES RACCORDEMENT\2 - SAV + COMPL + PASSAGE W XV A SAISIR DANS AX\22-06-2019\*LR PASS*.pdf")</f>
        <v>0</v>
      </c>
      <c r="I23" s="68">
        <f ca="1">GetFileList("P:\TP et Raccodement\FICHES CREES RACCORDEMENT\2 - SAV + COMPL + PASSAGE W XV A SAISIR DANS AX\22-06-2019\*CL PASS*.pdf")</f>
        <v>0</v>
      </c>
      <c r="J23" s="76">
        <f ca="1">GetFileList("P:\TP et Raccodement\FICHES CREES RACCORDEMENT\2 - SAV + COMPL + PASSAGE W XV A SAISIR DANS AX\22-06-2019\*SAV*.pdf")</f>
        <v>0</v>
      </c>
      <c r="K23" s="77">
        <f ca="1">GetFileList("P:\TP et Raccodement\FICHES CREES RACCORDEMENT\2 - SAV + COMPL + PASSAGE W XV A SAISIR DANS AX\22-06-2019\*COMPLEMENT*.pdf")</f>
        <v>0</v>
      </c>
      <c r="L23" s="77">
        <f ca="1">GetFileList("P:\TP et Raccodement\FICHES CREES RACCORDEMENT\2 - SAV + COMPL + PASSAGE W XV A SAISIR DANS AX\22-06-2019\*REPRISE*.pdf")</f>
        <v>0</v>
      </c>
      <c r="M23" s="78">
        <f ca="1">GetFileList("P:\TP et Raccodement\FICHES CREES RACCORDEMENT\2 - SAV + COMPL + PASSAGE W XV A SAISIR DANS AX\22-06-2019\*REMONTAGE*.pdf")</f>
        <v>0</v>
      </c>
      <c r="N23" s="61"/>
      <c r="O23" s="73">
        <f t="shared" ca="1" si="1"/>
        <v>0</v>
      </c>
    </row>
    <row r="24" spans="1:15" ht="16.5" x14ac:dyDescent="0.3">
      <c r="A24" s="88">
        <v>43639</v>
      </c>
      <c r="B24" s="89">
        <f t="shared" ca="1" si="0"/>
        <v>0</v>
      </c>
      <c r="C24" s="90">
        <f ca="1">GetFileList("P:\TP et Raccodement\FICHES CREES RACCORDEMENT\1 - RACCOS A SAISIR DANS AX\23-06-2019\*LM RACCO*.pdf")</f>
        <v>0</v>
      </c>
      <c r="D24" s="90">
        <f ca="1">GetFileList("P:\TP et Raccodement\FICHES CREES RACCORDEMENT\1 - RACCOS A SAISIR DANS AX\23-06-2019\*LR RACCO*.pdf")</f>
        <v>0</v>
      </c>
      <c r="E24" s="91">
        <f ca="1">GetFileList("P:\TP et Raccodement\FICHES CREES RACCORDEMENT\1 - RACCOS A SAISIR DANS AX\23-06-2019\*CL RACCO*.pdf")</f>
        <v>0</v>
      </c>
      <c r="F24" s="92">
        <f t="shared" ca="1" si="2"/>
        <v>0</v>
      </c>
      <c r="G24" s="90">
        <f ca="1">GetFileList("P:\TP et Raccodement\FICHES CREES RACCORDEMENT\2 - SAV + COMPL + PASSAGE W XV A SAISIR DANS AX\23-06-2019\*LM PASS*.pdf")</f>
        <v>0</v>
      </c>
      <c r="H24" s="90">
        <f ca="1">GetFileList("P:\TP et Raccodement\FICHES CREES RACCORDEMENT\2 - SAV + COMPL + PASSAGE W XV A SAISIR DANS AX\23-06-2019\*LR PASS*.pdf")</f>
        <v>0</v>
      </c>
      <c r="I24" s="91">
        <f ca="1">GetFileList("P:\TP et Raccodement\FICHES CREES RACCORDEMENT\2 - SAV + COMPL + PASSAGE W XV A SAISIR DANS AX\23-06-2019\*CL PASS*.pdf")</f>
        <v>0</v>
      </c>
      <c r="J24" s="93">
        <f ca="1">GetFileList("P:\TP et Raccodement\FICHES CREES RACCORDEMENT\2 - SAV + COMPL + PASSAGE W XV A SAISIR DANS AX\23-06-2019\*SAV*.pdf")</f>
        <v>0</v>
      </c>
      <c r="K24" s="94">
        <f ca="1">GetFileList("P:\TP et Raccodement\FICHES CREES RACCORDEMENT\2 - SAV + COMPL + PASSAGE W XV A SAISIR DANS AX\23-06-2019\*COMPLEMENT*.pdf")</f>
        <v>0</v>
      </c>
      <c r="L24" s="94">
        <f ca="1">GetFileList("P:\TP et Raccodement\FICHES CREES RACCORDEMENT\2 - SAV + COMPL + PASSAGE W XV A SAISIR DANS AX\23-06-2019\*REPRISE*.pdf")</f>
        <v>0</v>
      </c>
      <c r="M24" s="95">
        <f ca="1">GetFileList("P:\TP et Raccodement\FICHES CREES RACCORDEMENT\2 - SAV + COMPL + PASSAGE W XV A SAISIR DANS AX\23-06-2019\*REMONTAGE*.pdf")</f>
        <v>0</v>
      </c>
      <c r="N24" s="61"/>
      <c r="O24" s="73">
        <f t="shared" ca="1" si="1"/>
        <v>0</v>
      </c>
    </row>
    <row r="25" spans="1:15" ht="16.5" x14ac:dyDescent="0.3">
      <c r="A25" s="59">
        <v>43640</v>
      </c>
      <c r="B25" s="74">
        <f t="shared" ca="1" si="0"/>
        <v>0</v>
      </c>
      <c r="C25" s="67">
        <f ca="1">GetFileList("P:\TP et Raccodement\FICHES CREES RACCORDEMENT\1 - RACCOS A SAISIR DANS AX\24-06-2019\*LM RACCO*.pdf")</f>
        <v>0</v>
      </c>
      <c r="D25" s="67">
        <f ca="1">GetFileList("P:\TP et Raccodement\FICHES CREES RACCORDEMENT\1 - RACCOS A SAISIR DANS AX\24-06-2019\*LR RACCO*.pdf")</f>
        <v>0</v>
      </c>
      <c r="E25" s="68">
        <f ca="1">GetFileList("P:\TP et Raccodement\FICHES CREES RACCORDEMENT\1 - RACCOS A SAISIR DANS AX\24-06-2019\*CL RACCO*.pdf")</f>
        <v>0</v>
      </c>
      <c r="F25" s="75">
        <f t="shared" ca="1" si="2"/>
        <v>0</v>
      </c>
      <c r="G25" s="67">
        <f ca="1">GetFileList("P:\TP et Raccodement\FICHES CREES RACCORDEMENT\2 - SAV + COMPL + PASSAGE W XV A SAISIR DANS AX\24-06-2019\*LM PASS*.pdf")</f>
        <v>0</v>
      </c>
      <c r="H25" s="67">
        <f ca="1">GetFileList("P:\TP et Raccodement\FICHES CREES RACCORDEMENT\2 - SAV + COMPL + PASSAGE W XV A SAISIR DANS AX\24-06-2019\*LR PASS*.pdf")</f>
        <v>0</v>
      </c>
      <c r="I25" s="68">
        <f ca="1">GetFileList("P:\TP et Raccodement\FICHES CREES RACCORDEMENT\2 - SAV + COMPL + PASSAGE W XV A SAISIR DANS AX\24-06-2019\*CL PASS*.pdf")</f>
        <v>0</v>
      </c>
      <c r="J25" s="76">
        <f ca="1">GetFileList("P:\TP et Raccodement\FICHES CREES RACCORDEMENT\2 - SAV + COMPL + PASSAGE W XV A SAISIR DANS AX\24-06-2019\*SAV*.pdf")</f>
        <v>0</v>
      </c>
      <c r="K25" s="77">
        <f ca="1">GetFileList("P:\TP et Raccodement\FICHES CREES RACCORDEMENT\2 - SAV + COMPL + PASSAGE W XV A SAISIR DANS AX\24-06-2019\*COMPLEMENT*.pdf")</f>
        <v>0</v>
      </c>
      <c r="L25" s="77">
        <f ca="1">GetFileList("P:\TP et Raccodement\FICHES CREES RACCORDEMENT\2 - SAV + COMPL + PASSAGE W XV A SAISIR DANS AX\24-06-2019\*REPRISE*.pdf")</f>
        <v>0</v>
      </c>
      <c r="M25" s="78">
        <f ca="1">GetFileList("P:\TP et Raccodement\FICHES CREES RACCORDEMENT\2 - SAV + COMPL + PASSAGE W XV A SAISIR DANS AX\24-06-2019\*REMONTAGE*.pdf")</f>
        <v>0</v>
      </c>
      <c r="N25" s="61"/>
      <c r="O25" s="73">
        <f t="shared" ca="1" si="1"/>
        <v>0</v>
      </c>
    </row>
    <row r="26" spans="1:15" ht="16.5" x14ac:dyDescent="0.3">
      <c r="A26" s="59">
        <v>43641</v>
      </c>
      <c r="B26" s="74">
        <f t="shared" ca="1" si="0"/>
        <v>0</v>
      </c>
      <c r="C26" s="67">
        <f ca="1">GetFileList("P:\TP et Raccodement\FICHES CREES RACCORDEMENT\1 - RACCOS A SAISIR DANS AX\25-06-2019\*LM RACCO*.pdf")</f>
        <v>0</v>
      </c>
      <c r="D26" s="67">
        <f ca="1">GetFileList("P:\TP et Raccodement\FICHES CREES RACCORDEMENT\1 - RACCOS A SAISIR DANS AX\25-06-2019\*LR RACCO*.pdf")</f>
        <v>0</v>
      </c>
      <c r="E26" s="68">
        <f ca="1">GetFileList("P:\TP et Raccodement\FICHES CREES RACCORDEMENT\1 - RACCOS A SAISIR DANS AX\25-06-2019\*CL RACCO*.pdf")</f>
        <v>0</v>
      </c>
      <c r="F26" s="75">
        <f t="shared" ca="1" si="2"/>
        <v>0</v>
      </c>
      <c r="G26" s="67">
        <f ca="1">GetFileList("P:\TP et Raccodement\FICHES CREES RACCORDEMENT\2 - SAV + COMPL + PASSAGE W XV A SAISIR DANS AX\25-06-2019\*LM PASS*.pdf")</f>
        <v>0</v>
      </c>
      <c r="H26" s="67">
        <f ca="1">GetFileList("P:\TP et Raccodement\FICHES CREES RACCORDEMENT\2 - SAV + COMPL + PASSAGE W XV A SAISIR DANS AX\25-06-2019\*LR PASS*.pdf")</f>
        <v>0</v>
      </c>
      <c r="I26" s="68">
        <f ca="1">GetFileList("P:\TP et Raccodement\FICHES CREES RACCORDEMENT\2 - SAV + COMPL + PASSAGE W XV A SAISIR DANS AX\25-06-2019\*CL PASS*.pdf")</f>
        <v>0</v>
      </c>
      <c r="J26" s="76">
        <f ca="1">GetFileList("P:\TP et Raccodement\FICHES CREES RACCORDEMENT\2 - SAV + COMPL + PASSAGE W XV A SAISIR DANS AX\25-06-2019\*SAV*.pdf")</f>
        <v>0</v>
      </c>
      <c r="K26" s="77">
        <f ca="1">GetFileList("P:\TP et Raccodement\FICHES CREES RACCORDEMENT\2 - SAV + COMPL + PASSAGE W XV A SAISIR DANS AX\25-06-2019\*COMPLEMENT*.pdf")</f>
        <v>0</v>
      </c>
      <c r="L26" s="77">
        <f ca="1">GetFileList("P:\TP et Raccodement\FICHES CREES RACCORDEMENT\2 - SAV + COMPL + PASSAGE W XV A SAISIR DANS AX\25-06-2019\*REPRISE*.pdf")</f>
        <v>0</v>
      </c>
      <c r="M26" s="78">
        <f ca="1">GetFileList("P:\TP et Raccodement\FICHES CREES RACCORDEMENT\2 - SAV + COMPL + PASSAGE W XV A SAISIR DANS AX\25-06-2019\*REMONTAGE*.pdf")</f>
        <v>0</v>
      </c>
      <c r="N26" s="61"/>
      <c r="O26" s="73">
        <f t="shared" ca="1" si="1"/>
        <v>0</v>
      </c>
    </row>
    <row r="27" spans="1:15" ht="16.5" x14ac:dyDescent="0.3">
      <c r="A27" s="59">
        <v>43642</v>
      </c>
      <c r="B27" s="74">
        <f t="shared" ca="1" si="0"/>
        <v>0</v>
      </c>
      <c r="C27" s="67">
        <f ca="1">GetFileList("P:\TP et Raccodement\FICHES CREES RACCORDEMENT\1 - RACCOS A SAISIR DANS AX\26-06-2019\*LM RACCO*.pdf")</f>
        <v>0</v>
      </c>
      <c r="D27" s="67">
        <f ca="1">GetFileList("P:\TP et Raccodement\FICHES CREES RACCORDEMENT\1 - RACCOS A SAISIR DANS AX\26-06-2019\*LR RACCO*.pdf")</f>
        <v>0</v>
      </c>
      <c r="E27" s="68">
        <f ca="1">GetFileList("P:\TP et Raccodement\FICHES CREES RACCORDEMENT\1 - RACCOS A SAISIR DANS AX\26-06-2019\*CL RACCO*.pdf")</f>
        <v>0</v>
      </c>
      <c r="F27" s="75">
        <f t="shared" ca="1" si="2"/>
        <v>0</v>
      </c>
      <c r="G27" s="67">
        <f ca="1">GetFileList("P:\TP et Raccodement\FICHES CREES RACCORDEMENT\2 - SAV + COMPL + PASSAGE W XV A SAISIR DANS AX\26-06-2019\*LM PASS*.pdf")</f>
        <v>0</v>
      </c>
      <c r="H27" s="67">
        <f ca="1">GetFileList("P:\TP et Raccodement\FICHES CREES RACCORDEMENT\2 - SAV + COMPL + PASSAGE W XV A SAISIR DANS AX\26-06-2019\*LR PASS*.pdf")</f>
        <v>0</v>
      </c>
      <c r="I27" s="68">
        <f ca="1">GetFileList("P:\TP et Raccodement\FICHES CREES RACCORDEMENT\2 - SAV + COMPL + PASSAGE W XV A SAISIR DANS AX\26-06-2019\*CL PASS*.pdf")</f>
        <v>0</v>
      </c>
      <c r="J27" s="76">
        <f ca="1">GetFileList("P:\TP et Raccodement\FICHES CREES RACCORDEMENT\2 - SAV + COMPL + PASSAGE W XV A SAISIR DANS AX\26-06-2019\*SAV*.pdf")</f>
        <v>0</v>
      </c>
      <c r="K27" s="77">
        <f ca="1">GetFileList("P:\TP et Raccodement\FICHES CREES RACCORDEMENT\2 - SAV + COMPL + PASSAGE W XV A SAISIR DANS AX\26-06-2019\*COMPLEMENT*.pdf")</f>
        <v>0</v>
      </c>
      <c r="L27" s="77">
        <f ca="1">GetFileList("P:\TP et Raccodement\FICHES CREES RACCORDEMENT\2 - SAV + COMPL + PASSAGE W XV A SAISIR DANS AX\26-06-2019\*REPRISE*.pdf")</f>
        <v>0</v>
      </c>
      <c r="M27" s="78">
        <f ca="1">GetFileList("P:\TP et Raccodement\FICHES CREES RACCORDEMENT\2 - SAV + COMPL + PASSAGE W XV A SAISIR DANS AX\26-06-2019\*REMONTAGE*.pdf")</f>
        <v>0</v>
      </c>
      <c r="N27" s="61"/>
      <c r="O27" s="73">
        <f t="shared" ca="1" si="1"/>
        <v>0</v>
      </c>
    </row>
    <row r="28" spans="1:15" ht="16.5" x14ac:dyDescent="0.3">
      <c r="A28" s="59">
        <v>43643</v>
      </c>
      <c r="B28" s="74">
        <f t="shared" ca="1" si="0"/>
        <v>0</v>
      </c>
      <c r="C28" s="67">
        <f ca="1">GetFileList("P:\TP et Raccodement\FICHES CREES RACCORDEMENT\1 - RACCOS A SAISIR DANS AX\27-06-2019\*LM RACCO*.pdf")</f>
        <v>0</v>
      </c>
      <c r="D28" s="67">
        <f ca="1">GetFileList("P:\TP et Raccodement\FICHES CREES RACCORDEMENT\1 - RACCOS A SAISIR DANS AX\27-06-2019\*LR RACCO*.pdf")</f>
        <v>0</v>
      </c>
      <c r="E28" s="68">
        <f ca="1">GetFileList("P:\TP et Raccodement\FICHES CREES RACCORDEMENT\1 - RACCOS A SAISIR DANS AX\27-06-2019\*CL RACCO*.pdf")</f>
        <v>0</v>
      </c>
      <c r="F28" s="75">
        <f t="shared" ca="1" si="2"/>
        <v>0</v>
      </c>
      <c r="G28" s="67">
        <f ca="1">GetFileList("P:\TP et Raccodement\FICHES CREES RACCORDEMENT\2 - SAV + COMPL + PASSAGE W XV A SAISIR DANS AX\27-06-2019\*LM PASS*.pdf")</f>
        <v>0</v>
      </c>
      <c r="H28" s="67">
        <f ca="1">GetFileList("P:\TP et Raccodement\FICHES CREES RACCORDEMENT\2 - SAV + COMPL + PASSAGE W XV A SAISIR DANS AX\27-06-2019\*LR PASS*.pdf")</f>
        <v>0</v>
      </c>
      <c r="I28" s="68">
        <f ca="1">GetFileList("P:\TP et Raccodement\FICHES CREES RACCORDEMENT\2 - SAV + COMPL + PASSAGE W XV A SAISIR DANS AX\27-06-2019\*CL PASS*.pdf")</f>
        <v>0</v>
      </c>
      <c r="J28" s="76">
        <f ca="1">GetFileList("P:\TP et Raccodement\FICHES CREES RACCORDEMENT\2 - SAV + COMPL + PASSAGE W XV A SAISIR DANS AX\27-06-2019\*SAV*.pdf")</f>
        <v>0</v>
      </c>
      <c r="K28" s="77">
        <f ca="1">GetFileList("P:\TP et Raccodement\FICHES CREES RACCORDEMENT\2 - SAV + COMPL + PASSAGE W XV A SAISIR DANS AX\27-06-2019\*COMPLEMENT*.pdf")</f>
        <v>0</v>
      </c>
      <c r="L28" s="77">
        <f ca="1">GetFileList("P:\TP et Raccodement\FICHES CREES RACCORDEMENT\2 - SAV + COMPL + PASSAGE W XV A SAISIR DANS AX\27-06-2019\*REPRISE*.pdf")</f>
        <v>0</v>
      </c>
      <c r="M28" s="78">
        <f ca="1">GetFileList("P:\TP et Raccodement\FICHES CREES RACCORDEMENT\2 - SAV + COMPL + PASSAGE W XV A SAISIR DANS AX\27-06-2019\*REMONTAGE*.pdf")</f>
        <v>0</v>
      </c>
      <c r="N28" s="61"/>
      <c r="O28" s="73">
        <f t="shared" ca="1" si="1"/>
        <v>0</v>
      </c>
    </row>
    <row r="29" spans="1:15" ht="16.5" x14ac:dyDescent="0.3">
      <c r="A29" s="59">
        <v>43644</v>
      </c>
      <c r="B29" s="74">
        <f t="shared" ca="1" si="0"/>
        <v>0</v>
      </c>
      <c r="C29" s="67">
        <f ca="1">GetFileList("P:\TP et Raccodement\FICHES CREES RACCORDEMENT\1 - RACCOS A SAISIR DANS AX\28-06-2019\*LM RACCO*.pdf")</f>
        <v>0</v>
      </c>
      <c r="D29" s="67">
        <f ca="1">GetFileList("P:\TP et Raccodement\FICHES CREES RACCORDEMENT\1 - RACCOS A SAISIR DANS AX\28-06-2019\*LR RACCO*.pdf")</f>
        <v>0</v>
      </c>
      <c r="E29" s="68">
        <f ca="1">GetFileList("P:\TP et Raccodement\FICHES CREES RACCORDEMENT\1 - RACCOS A SAISIR DANS AX\28-06-2019\*CL RACCO*.pdf")</f>
        <v>0</v>
      </c>
      <c r="F29" s="75">
        <f t="shared" ca="1" si="2"/>
        <v>0</v>
      </c>
      <c r="G29" s="67">
        <f ca="1">GetFileList("P:\TP et Raccodement\FICHES CREES RACCORDEMENT\2 - SAV + COMPL + PASSAGE W XV A SAISIR DANS AX\28-06-2019\*LM PASS*.pdf")</f>
        <v>0</v>
      </c>
      <c r="H29" s="67">
        <f ca="1">GetFileList("P:\TP et Raccodement\FICHES CREES RACCORDEMENT\2 - SAV + COMPL + PASSAGE W XV A SAISIR DANS AX\28-06-2019\*LR PASS*.pdf")</f>
        <v>0</v>
      </c>
      <c r="I29" s="68">
        <f ca="1">GetFileList("P:\TP et Raccodement\FICHES CREES RACCORDEMENT\2 - SAV + COMPL + PASSAGE W XV A SAISIR DANS AX\28-06-2019\*CL PASS*.pdf")</f>
        <v>0</v>
      </c>
      <c r="J29" s="76">
        <f ca="1">GetFileList("P:\TP et Raccodement\FICHES CREES RACCORDEMENT\2 - SAV + COMPL + PASSAGE W XV A SAISIR DANS AX\28-06-2019\*SAV*.pdf")</f>
        <v>0</v>
      </c>
      <c r="K29" s="77">
        <f ca="1">GetFileList("P:\TP et Raccodement\FICHES CREES RACCORDEMENT\2 - SAV + COMPL + PASSAGE W XV A SAISIR DANS AX\28-06-2019\*COMPLEMENT*.pdf")</f>
        <v>0</v>
      </c>
      <c r="L29" s="77">
        <f ca="1">GetFileList("P:\TP et Raccodement\FICHES CREES RACCORDEMENT\2 - SAV + COMPL + PASSAGE W XV A SAISIR DANS AX\28-06-2019\*REPRISE*.pdf")</f>
        <v>0</v>
      </c>
      <c r="M29" s="78">
        <f ca="1">GetFileList("P:\TP et Raccodement\FICHES CREES RACCORDEMENT\2 - SAV + COMPL + PASSAGE W XV A SAISIR DANS AX\28-06-2019\*REMONTAGE*.pdf")</f>
        <v>0</v>
      </c>
      <c r="N29" s="61"/>
      <c r="O29" s="73">
        <f t="shared" ca="1" si="1"/>
        <v>0</v>
      </c>
    </row>
    <row r="30" spans="1:15" ht="16.5" x14ac:dyDescent="0.3">
      <c r="A30" s="59">
        <v>43645</v>
      </c>
      <c r="B30" s="74">
        <f t="shared" ca="1" si="0"/>
        <v>0</v>
      </c>
      <c r="C30" s="67">
        <f ca="1">GetFileList("P:\TP et Raccodement\FICHES CREES RACCORDEMENT\1 - RACCOS A SAISIR DANS AX\29-06-2019\*LM RACCO*.pdf")</f>
        <v>0</v>
      </c>
      <c r="D30" s="67">
        <f ca="1">GetFileList("P:\TP et Raccodement\FICHES CREES RACCORDEMENT\1 - RACCOS A SAISIR DANS AX\29-06-2019\*LR RACCO*.pdf")</f>
        <v>0</v>
      </c>
      <c r="E30" s="68">
        <f ca="1">GetFileList("P:\TP et Raccodement\FICHES CREES RACCORDEMENT\1 - RACCOS A SAISIR DANS AX\29-06-2019\*CL RACCO*.pdf")</f>
        <v>0</v>
      </c>
      <c r="F30" s="75">
        <f t="shared" ca="1" si="2"/>
        <v>0</v>
      </c>
      <c r="G30" s="67">
        <f ca="1">GetFileList("P:\TP et Raccodement\FICHES CREES RACCORDEMENT\2 - SAV + COMPL + PASSAGE W XV A SAISIR DANS AX\29-06-2019\*LM PASS*.pdf")</f>
        <v>0</v>
      </c>
      <c r="H30" s="67">
        <f ca="1">GetFileList("P:\TP et Raccodement\FICHES CREES RACCORDEMENT\2 - SAV + COMPL + PASSAGE W XV A SAISIR DANS AX\29-06-2019\*LR PASS*.pdf")</f>
        <v>0</v>
      </c>
      <c r="I30" s="68">
        <f ca="1">GetFileList("P:\TP et Raccodement\FICHES CREES RACCORDEMENT\2 - SAV + COMPL + PASSAGE W XV A SAISIR DANS AX\29-06-2019\*CL PASS*.pdf")</f>
        <v>0</v>
      </c>
      <c r="J30" s="76">
        <f ca="1">GetFileList("P:\TP et Raccodement\FICHES CREES RACCORDEMENT\2 - SAV + COMPL + PASSAGE W XV A SAISIR DANS AX\29-06-2019\*SAV*.pdf")</f>
        <v>0</v>
      </c>
      <c r="K30" s="77">
        <f ca="1">GetFileList("P:\TP et Raccodement\FICHES CREES RACCORDEMENT\2 - SAV + COMPL + PASSAGE W XV A SAISIR DANS AX\29-06-2019\*COMPLEMENT*.pdf")</f>
        <v>0</v>
      </c>
      <c r="L30" s="77">
        <f ca="1">GetFileList("P:\TP et Raccodement\FICHES CREES RACCORDEMENT\2 - SAV + COMPL + PASSAGE W XV A SAISIR DANS AX\29-06-2019\*REPRISE*.pdf")</f>
        <v>0</v>
      </c>
      <c r="M30" s="78">
        <f ca="1">GetFileList("P:\TP et Raccodement\FICHES CREES RACCORDEMENT\2 - SAV + COMPL + PASSAGE W XV A SAISIR DANS AX\29-06-2019\*REMONTAGE*.pdf")</f>
        <v>0</v>
      </c>
      <c r="N30" s="61"/>
      <c r="O30" s="73">
        <f t="shared" ca="1" si="1"/>
        <v>0</v>
      </c>
    </row>
    <row r="31" spans="1:15" ht="17.25" thickBot="1" x14ac:dyDescent="0.35">
      <c r="A31" s="88">
        <v>43646</v>
      </c>
      <c r="B31" s="89">
        <f t="shared" ca="1" si="0"/>
        <v>0</v>
      </c>
      <c r="C31" s="90">
        <f ca="1">GetFileList("P:\TP et Raccodement\FICHES CREES RACCORDEMENT\1 - RACCOS A SAISIR DANS AX\30-06-2019\*LM RACCO*.pdf")</f>
        <v>0</v>
      </c>
      <c r="D31" s="90">
        <f ca="1">GetFileList("P:\TP et Raccodement\FICHES CREES RACCORDEMENT\1 - RACCOS A SAISIR DANS AX\30-06-2019\*LR RACCO*.pdf")</f>
        <v>0</v>
      </c>
      <c r="E31" s="91">
        <f ca="1">GetFileList("P:\TP et Raccodement\FICHES CREES RACCORDEMENT\1 - RACCOS A SAISIR DANS AX\30-06-2019\*CL RACCO*.pdf")</f>
        <v>0</v>
      </c>
      <c r="F31" s="92">
        <f t="shared" ca="1" si="2"/>
        <v>0</v>
      </c>
      <c r="G31" s="90">
        <f ca="1">GetFileList("P:\TP et Raccodement\FICHES CREES RACCORDEMENT\2 - SAV + COMPL + PASSAGE W XV A SAISIR DANS AX\30-06-2019\*LM PASS*.pdf")</f>
        <v>0</v>
      </c>
      <c r="H31" s="90">
        <f ca="1">GetFileList("P:\TP et Raccodement\FICHES CREES RACCORDEMENT\2 - SAV + COMPL + PASSAGE W XV A SAISIR DANS AX\30-06-2019\*LR PASS*.pdf")</f>
        <v>0</v>
      </c>
      <c r="I31" s="91">
        <f ca="1">GetFileList("P:\TP et Raccodement\FICHES CREES RACCORDEMENT\2 - SAV + COMPL + PASSAGE W XV A SAISIR DANS AX\30-06-2019\*CL PASS*.pdf")</f>
        <v>0</v>
      </c>
      <c r="J31" s="93">
        <f ca="1">GetFileList("P:\TP et Raccodement\FICHES CREES RACCORDEMENT\2 - SAV + COMPL + PASSAGE W XV A SAISIR DANS AX\30-06-2019\*SAV*.pdf")</f>
        <v>0</v>
      </c>
      <c r="K31" s="94">
        <f ca="1">GetFileList("P:\TP et Raccodement\FICHES CREES RACCORDEMENT\2 - SAV + COMPL + PASSAGE W XV A SAISIR DANS AX\30-06-2019\*COMPLEMENT*.pdf")</f>
        <v>0</v>
      </c>
      <c r="L31" s="94">
        <f ca="1">GetFileList("P:\TP et Raccodement\FICHES CREES RACCORDEMENT\2 - SAV + COMPL + PASSAGE W XV A SAISIR DANS AX\30-06-2019\*REPRISE*.pdf")</f>
        <v>0</v>
      </c>
      <c r="M31" s="95">
        <f ca="1">GetFileList("P:\TP et Raccodement\FICHES CREES RACCORDEMENT\2 - SAV + COMPL + PASSAGE W XV A SAISIR DANS AX\30-06-2019\*REMONTAGE*.pdf")</f>
        <v>0</v>
      </c>
      <c r="N31" s="61"/>
      <c r="O31" s="73">
        <f t="shared" ca="1" si="1"/>
        <v>0</v>
      </c>
    </row>
    <row r="32" spans="1:15" ht="18" thickBot="1" x14ac:dyDescent="0.35">
      <c r="A32" s="136" t="s">
        <v>10</v>
      </c>
      <c r="B32" s="132">
        <f t="shared" ref="B32:M32" ca="1" si="3">SUM(B2:B31)</f>
        <v>0</v>
      </c>
      <c r="C32" s="133">
        <f t="shared" ca="1" si="3"/>
        <v>0</v>
      </c>
      <c r="D32" s="133">
        <f t="shared" ca="1" si="3"/>
        <v>0</v>
      </c>
      <c r="E32" s="134">
        <f t="shared" ca="1" si="3"/>
        <v>0</v>
      </c>
      <c r="F32" s="69">
        <f t="shared" ca="1" si="3"/>
        <v>0</v>
      </c>
      <c r="G32" s="70">
        <f t="shared" ca="1" si="3"/>
        <v>0</v>
      </c>
      <c r="H32" s="70">
        <f t="shared" ca="1" si="3"/>
        <v>0</v>
      </c>
      <c r="I32" s="86">
        <f t="shared" ca="1" si="3"/>
        <v>0</v>
      </c>
      <c r="J32" s="87">
        <f t="shared" ca="1" si="3"/>
        <v>0</v>
      </c>
      <c r="K32" s="82">
        <f t="shared" ca="1" si="3"/>
        <v>0</v>
      </c>
      <c r="L32" s="82">
        <f t="shared" ca="1" si="3"/>
        <v>0</v>
      </c>
      <c r="M32" s="83">
        <f t="shared" ca="1" si="3"/>
        <v>0</v>
      </c>
      <c r="N32" s="62"/>
      <c r="O32" s="72">
        <f ca="1">SUM(O2:O31)</f>
        <v>0</v>
      </c>
    </row>
  </sheetData>
  <conditionalFormatting sqref="O2:O31">
    <cfRule type="cellIs" dxfId="9" priority="1" operator="equal">
      <formula>0</formula>
    </cfRule>
  </conditionalFormatting>
  <conditionalFormatting sqref="B2:B31">
    <cfRule type="dataBar" priority="26">
      <dataBar>
        <cfvo type="min"/>
        <cfvo type="max"/>
        <color rgb="FF41A964"/>
      </dataBar>
      <extLst>
        <ext xmlns:x14="http://schemas.microsoft.com/office/spreadsheetml/2009/9/main" uri="{B025F937-C7B1-47D3-B67F-A62EFF666E3E}">
          <x14:id>{19EA7A6D-2DA7-4DEC-B5AD-4F84267CBE0A}</x14:id>
        </ext>
      </extLst>
    </cfRule>
  </conditionalFormatting>
  <conditionalFormatting sqref="B4:B8 B12:B15 B18:B22 B25:B29">
    <cfRule type="iconSet" priority="27">
      <iconSet iconSet="3Flags">
        <cfvo type="percent" val="0"/>
        <cfvo type="percent" val="33"/>
        <cfvo type="percent" val="67"/>
      </iconSet>
    </cfRule>
  </conditionalFormatting>
  <conditionalFormatting sqref="F2:F31">
    <cfRule type="dataBar" priority="32">
      <dataBar>
        <cfvo type="min"/>
        <cfvo type="max"/>
        <color rgb="FF53BD76"/>
      </dataBar>
      <extLst>
        <ext xmlns:x14="http://schemas.microsoft.com/office/spreadsheetml/2009/9/main" uri="{B025F937-C7B1-47D3-B67F-A62EFF666E3E}">
          <x14:id>{1DCE877C-6D17-4887-86FA-F159D06391A4}</x14:id>
        </ext>
      </extLst>
    </cfRule>
  </conditionalFormatting>
  <conditionalFormatting sqref="F4:F8 F12:F15 F18:F22 F25:F29">
    <cfRule type="iconSet" priority="33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9EA7A6D-2DA7-4DEC-B5AD-4F84267CBE0A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B2:B31</xm:sqref>
        </x14:conditionalFormatting>
        <x14:conditionalFormatting xmlns:xm="http://schemas.microsoft.com/office/excel/2006/main">
          <x14:cfRule type="dataBar" id="{1DCE877C-6D17-4887-86FA-F159D06391A4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F2:F31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7030A0"/>
  </sheetPr>
  <dimension ref="A1:P33"/>
  <sheetViews>
    <sheetView showGridLines="0" zoomScaleNormal="10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2.140625" customWidth="1"/>
    <col min="2" max="2" width="14.85546875" bestFit="1" customWidth="1"/>
    <col min="6" max="6" width="13.42578125" customWidth="1"/>
    <col min="13" max="13" width="12.28515625" bestFit="1" customWidth="1"/>
    <col min="14" max="14" width="0.85546875" customWidth="1"/>
    <col min="15" max="15" width="9.140625" style="1"/>
    <col min="16" max="16" width="10.7109375" bestFit="1" customWidth="1"/>
  </cols>
  <sheetData>
    <row r="1" spans="1:16" ht="31.5" customHeight="1" x14ac:dyDescent="0.25">
      <c r="A1" s="58" t="s">
        <v>11</v>
      </c>
      <c r="B1" s="66" t="s">
        <v>41</v>
      </c>
      <c r="C1" s="64" t="s">
        <v>1</v>
      </c>
      <c r="D1" s="64" t="s">
        <v>2</v>
      </c>
      <c r="E1" s="65" t="s">
        <v>3</v>
      </c>
      <c r="F1" s="71" t="s">
        <v>42</v>
      </c>
      <c r="G1" s="84" t="s">
        <v>5</v>
      </c>
      <c r="H1" s="84" t="s">
        <v>2</v>
      </c>
      <c r="I1" s="85" t="s">
        <v>3</v>
      </c>
      <c r="J1" s="63" t="s">
        <v>43</v>
      </c>
      <c r="K1" s="64" t="s">
        <v>44</v>
      </c>
      <c r="L1" s="64" t="s">
        <v>45</v>
      </c>
      <c r="M1" s="65" t="s">
        <v>46</v>
      </c>
      <c r="N1" s="60"/>
      <c r="O1" s="71" t="s">
        <v>10</v>
      </c>
    </row>
    <row r="2" spans="1:16" ht="16.5" x14ac:dyDescent="0.3">
      <c r="A2" s="59">
        <v>43647</v>
      </c>
      <c r="B2" s="74">
        <f ca="1">C2+D2+E2</f>
        <v>0</v>
      </c>
      <c r="C2" s="67">
        <f ca="1">GetFileList("P:\TP et Raccodement\FICHES CREES RACCORDEMENT\1 - RACCOS A SAISIR DANS AX\01-07-2019\*LM RACCO*.pdf")</f>
        <v>0</v>
      </c>
      <c r="D2" s="67">
        <f ca="1">GetFileList("P:\TP et Raccodement\FICHES CREES RACCORDEMENT\1 - RACCOS A SAISIR DANS AX\01-07-2019\*LR RACCO*.pdf")</f>
        <v>0</v>
      </c>
      <c r="E2" s="68">
        <f ca="1">GetFileList("P:\TP et Raccodement\FICHES CREES RACCORDEMENT\1 - RACCOS A SAISIR DANS AX\01-07-2019\*CL RACCO*.pdf")</f>
        <v>0</v>
      </c>
      <c r="F2" s="75">
        <f ca="1">G2+H2+I2</f>
        <v>0</v>
      </c>
      <c r="G2" s="67">
        <f ca="1">GetFileList("P:\TP et Raccodement\FICHES CREES RACCORDEMENT\2 - SAV + COMPL + PASSAGE W XV A SAISIR DANS AX\01-07-2019\*LM PASS*.pdf")</f>
        <v>0</v>
      </c>
      <c r="H2" s="67">
        <f ca="1">GetFileList("P:\TP et Raccodement\FICHES CREES RACCORDEMENT\2 - SAV + COMPL + PASSAGE W XV A SAISIR DANS AX\01-07-2019\*LR PASS*.pdf")</f>
        <v>0</v>
      </c>
      <c r="I2" s="68">
        <f ca="1">GetFileList("P:\TP et Raccodement\FICHES CREES RACCORDEMENT\2 - SAV + COMPL + PASSAGE W XV A SAISIR DANS AX\01-07-2019\*CL PASS*.pdf")</f>
        <v>0</v>
      </c>
      <c r="J2" s="76">
        <f ca="1">GetFileList("P:\TP et Raccodement\FICHES CREES RACCORDEMENT\2 - SAV + COMPL + PASSAGE W XV A SAISIR DANS AX\01-07-2019\*SAV*.pdf")</f>
        <v>0</v>
      </c>
      <c r="K2" s="77">
        <f ca="1">GetFileList("P:\TP et Raccodement\FICHES CREES RACCORDEMENT\2 - SAV + COMPL + PASSAGE W XV A SAISIR DANS AX\01-07-2019\*COMPLEMENT*.pdf")</f>
        <v>0</v>
      </c>
      <c r="L2" s="77">
        <f ca="1">GetFileList("P:\TP et Raccodement\FICHES CREES RACCORDEMENT\2 - SAV + COMPL + PASSAGE W XV A SAISIR DANS AX\01-07-2019\*REPRISE*.pdf")</f>
        <v>0</v>
      </c>
      <c r="M2" s="78">
        <f ca="1">GetFileList("P:\TP et Raccodement\FICHES CREES RACCORDEMENT\2 - SAV + COMPL + PASSAGE W XV A SAISIR DANS AX\01-07-2019\*REMONTAGE*.pdf")</f>
        <v>0</v>
      </c>
      <c r="N2" s="61"/>
      <c r="O2" s="73">
        <f ca="1">B2+F2+J2+K2+L2+M2</f>
        <v>0</v>
      </c>
      <c r="P2" s="54"/>
    </row>
    <row r="3" spans="1:16" ht="16.5" x14ac:dyDescent="0.3">
      <c r="A3" s="59">
        <v>43648</v>
      </c>
      <c r="B3" s="74">
        <f t="shared" ref="B3:B32" ca="1" si="0">C3+D3+E3</f>
        <v>0</v>
      </c>
      <c r="C3" s="67">
        <f ca="1">GetFileList("P:\TP et Raccodement\FICHES CREES RACCORDEMENT\1 - RACCOS A SAISIR DANS AX\02-07-2019\*LM RACCO*.pdf")</f>
        <v>0</v>
      </c>
      <c r="D3" s="67">
        <f ca="1">GetFileList("P:\TP et Raccodement\FICHES CREES RACCORDEMENT\1 - RACCOS A SAISIR DANS AX\02-07-2019\*LR RACCO*.pdf")</f>
        <v>0</v>
      </c>
      <c r="E3" s="68">
        <f ca="1">GetFileList("P:\TP et Raccodement\FICHES CREES RACCORDEMENT\1 - RACCOS A SAISIR DANS AX\02-07-2019\*CL RACCO*.pdf")</f>
        <v>0</v>
      </c>
      <c r="F3" s="75">
        <f ca="1">G3+H3+I3</f>
        <v>0</v>
      </c>
      <c r="G3" s="67">
        <f ca="1">GetFileList("P:\TP et Raccodement\FICHES CREES RACCORDEMENT\2 - SAV + COMPL + PASSAGE W XV A SAISIR DANS AX\02-07-2019\*LM PASS*.pdf")</f>
        <v>0</v>
      </c>
      <c r="H3" s="67">
        <f ca="1">GetFileList("P:\TP et Raccodement\FICHES CREES RACCORDEMENT\2 - SAV + COMPL + PASSAGE W XV A SAISIR DANS AX\02-07-2019\*LR PASS*.pdf")</f>
        <v>0</v>
      </c>
      <c r="I3" s="68">
        <f ca="1">GetFileList("P:\TP et Raccodement\FICHES CREES RACCORDEMENT\2 - SAV + COMPL + PASSAGE W XV A SAISIR DANS AX\02-07-2019\*CL PASS*.pdf")</f>
        <v>0</v>
      </c>
      <c r="J3" s="76">
        <f ca="1">GetFileList("P:\TP et Raccodement\FICHES CREES RACCORDEMENT\2 - SAV + COMPL + PASSAGE W XV A SAISIR DANS AX\02-07-2019\*SAV*.pdf")</f>
        <v>0</v>
      </c>
      <c r="K3" s="77">
        <f ca="1">GetFileList("P:\TP et Raccodement\FICHES CREES RACCORDEMENT\2 - SAV + COMPL + PASSAGE W XV A SAISIR DANS AX\02-07-2019\*COMPLEMENT*.pdf")</f>
        <v>0</v>
      </c>
      <c r="L3" s="77">
        <f ca="1">GetFileList("P:\TP et Raccodement\FICHES CREES RACCORDEMENT\2 - SAV + COMPL + PASSAGE W XV A SAISIR DANS AX\02-07-2019\*REPRISE*.pdf")</f>
        <v>0</v>
      </c>
      <c r="M3" s="78">
        <f ca="1">GetFileList("P:\TP et Raccodement\FICHES CREES RACCORDEMENT\2 - SAV + COMPL + PASSAGE W XV A SAISIR DANS AX\02-07-2019\*REMONTAGE*.pdf")</f>
        <v>0</v>
      </c>
      <c r="N3" s="61"/>
      <c r="O3" s="73">
        <f t="shared" ref="O3:O32" ca="1" si="1">B3+F3+J3+K3+L3+M3</f>
        <v>0</v>
      </c>
    </row>
    <row r="4" spans="1:16" ht="16.5" x14ac:dyDescent="0.3">
      <c r="A4" s="59">
        <v>43649</v>
      </c>
      <c r="B4" s="74">
        <f t="shared" ca="1" si="0"/>
        <v>0</v>
      </c>
      <c r="C4" s="67">
        <f ca="1">GetFileList("P:\TP et Raccodement\FICHES CREES RACCORDEMENT\1 - RACCOS A SAISIR DANS AX\03-07-2019\*LM RACCO*.pdf")</f>
        <v>0</v>
      </c>
      <c r="D4" s="67">
        <f ca="1">GetFileList("P:\TP et Raccodement\FICHES CREES RACCORDEMENT\1 - RACCOS A SAISIR DANS AX\03-07-2019\*LR RACCO*.pdf")</f>
        <v>0</v>
      </c>
      <c r="E4" s="68">
        <f ca="1">GetFileList("P:\TP et Raccodement\FICHES CREES RACCORDEMENT\1 - RACCOS A SAISIR DANS AX\03-07-2019\*CL RACCO*.pdf")</f>
        <v>0</v>
      </c>
      <c r="F4" s="75">
        <f t="shared" ref="F4:F32" ca="1" si="2">G4+H4+I4</f>
        <v>0</v>
      </c>
      <c r="G4" s="67">
        <f ca="1">GetFileList("P:\TP et Raccodement\FICHES CREES RACCORDEMENT\2 - SAV + COMPL + PASSAGE W XV A SAISIR DANS AX\03-07-2019\*LM PASS*.pdf")</f>
        <v>0</v>
      </c>
      <c r="H4" s="67">
        <f ca="1">GetFileList("P:\TP et Raccodement\FICHES CREES RACCORDEMENT\2 - SAV + COMPL + PASSAGE W XV A SAISIR DANS AX\03-07-2019\*LR PASS*.pdf")</f>
        <v>0</v>
      </c>
      <c r="I4" s="68">
        <f ca="1">GetFileList("P:\TP et Raccodement\FICHES CREES RACCORDEMENT\2 - SAV + COMPL + PASSAGE W XV A SAISIR DANS AX\03-07-2019\*CL PASS*.pdf")</f>
        <v>0</v>
      </c>
      <c r="J4" s="76">
        <f ca="1">GetFileList("P:\TP et Raccodement\FICHES CREES RACCORDEMENT\2 - SAV + COMPL + PASSAGE W XV A SAISIR DANS AX\03-07-2019\*SAV*.pdf")</f>
        <v>0</v>
      </c>
      <c r="K4" s="77">
        <f ca="1">GetFileList("P:\TP et Raccodement\FICHES CREES RACCORDEMENT\2 - SAV + COMPL + PASSAGE W XV A SAISIR DANS AX\03-07-2019\*COMPLEMENT*.pdf")</f>
        <v>0</v>
      </c>
      <c r="L4" s="77">
        <f ca="1">GetFileList("P:\TP et Raccodement\FICHES CREES RACCORDEMENT\2 - SAV + COMPL + PASSAGE W XV A SAISIR DANS AX\03-07-2019\*REPRISE*.pdf")</f>
        <v>0</v>
      </c>
      <c r="M4" s="78">
        <f ca="1">GetFileList("P:\TP et Raccodement\FICHES CREES RACCORDEMENT\2 - SAV + COMPL + PASSAGE W XV A SAISIR DANS AX\03-07-2019\*REMONTAGE*.pdf")</f>
        <v>0</v>
      </c>
      <c r="N4" s="61"/>
      <c r="O4" s="73">
        <f t="shared" ca="1" si="1"/>
        <v>0</v>
      </c>
    </row>
    <row r="5" spans="1:16" ht="16.5" x14ac:dyDescent="0.3">
      <c r="A5" s="59">
        <v>43650</v>
      </c>
      <c r="B5" s="74">
        <f t="shared" ca="1" si="0"/>
        <v>0</v>
      </c>
      <c r="C5" s="67">
        <f ca="1">GetFileList("P:\TP et Raccodement\FICHES CREES RACCORDEMENT\1 - RACCOS A SAISIR DANS AX\04-07-2019\*LM RACCO*.pdf")</f>
        <v>0</v>
      </c>
      <c r="D5" s="67">
        <f ca="1">GetFileList("P:\TP et Raccodement\FICHES CREES RACCORDEMENT\1 - RACCOS A SAISIR DANS AX\04-07-2019\*LR RACCO*.pdf")</f>
        <v>0</v>
      </c>
      <c r="E5" s="68">
        <f ca="1">GetFileList("P:\TP et Raccodement\FICHES CREES RACCORDEMENT\1 - RACCOS A SAISIR DANS AX\04-07-2019\*CL RACCO*.pdf")</f>
        <v>0</v>
      </c>
      <c r="F5" s="75">
        <f t="shared" ca="1" si="2"/>
        <v>0</v>
      </c>
      <c r="G5" s="67">
        <f ca="1">GetFileList("P:\TP et Raccodement\FICHES CREES RACCORDEMENT\2 - SAV + COMPL + PASSAGE W XV A SAISIR DANS AX\04-07-2019\*LM PASS*.pdf")</f>
        <v>0</v>
      </c>
      <c r="H5" s="67">
        <f ca="1">GetFileList("P:\TP et Raccodement\FICHES CREES RACCORDEMENT\2 - SAV + COMPL + PASSAGE W XV A SAISIR DANS AX\04-07-2019\*LR PASS*.pdf")</f>
        <v>0</v>
      </c>
      <c r="I5" s="68">
        <f ca="1">GetFileList("P:\TP et Raccodement\FICHES CREES RACCORDEMENT\2 - SAV + COMPL + PASSAGE W XV A SAISIR DANS AX\04-07-2019\*CL PASS*.pdf")</f>
        <v>0</v>
      </c>
      <c r="J5" s="76">
        <f ca="1">GetFileList("P:\TP et Raccodement\FICHES CREES RACCORDEMENT\2 - SAV + COMPL + PASSAGE W XV A SAISIR DANS AX\04-07-2019\*SAV*.pdf")</f>
        <v>0</v>
      </c>
      <c r="K5" s="77">
        <f ca="1">GetFileList("P:\TP et Raccodement\FICHES CREES RACCORDEMENT\2 - SAV + COMPL + PASSAGE W XV A SAISIR DANS AX\04-07-2019\*COMPLEMENT*.pdf")</f>
        <v>0</v>
      </c>
      <c r="L5" s="77">
        <f ca="1">GetFileList("P:\TP et Raccodement\FICHES CREES RACCORDEMENT\2 - SAV + COMPL + PASSAGE W XV A SAISIR DANS AX\04-07-2019\*REPRISE*.pdf")</f>
        <v>0</v>
      </c>
      <c r="M5" s="78">
        <f ca="1">GetFileList("P:\TP et Raccodement\FICHES CREES RACCORDEMENT\2 - SAV + COMPL + PASSAGE W XV A SAISIR DANS AX\04-07-2019\*REMONTAGE*.pdf")</f>
        <v>0</v>
      </c>
      <c r="N5" s="61"/>
      <c r="O5" s="73">
        <f t="shared" ca="1" si="1"/>
        <v>0</v>
      </c>
    </row>
    <row r="6" spans="1:16" ht="16.5" x14ac:dyDescent="0.3">
      <c r="A6" s="59">
        <v>43651</v>
      </c>
      <c r="B6" s="74">
        <f t="shared" ca="1" si="0"/>
        <v>0</v>
      </c>
      <c r="C6" s="67">
        <f ca="1">GetFileList("P:\TP et Raccodement\FICHES CREES RACCORDEMENT\1 - RACCOS A SAISIR DANS AX\05-07-2019\*LM RACCO*.pdf")</f>
        <v>0</v>
      </c>
      <c r="D6" s="67">
        <f ca="1">GetFileList("P:\TP et Raccodement\FICHES CREES RACCORDEMENT\1 - RACCOS A SAISIR DANS AX\05-07-2019\*LR RACCO*.pdf")</f>
        <v>0</v>
      </c>
      <c r="E6" s="68">
        <f ca="1">GetFileList("P:\TP et Raccodement\FICHES CREES RACCORDEMENT\1 - RACCOS A SAISIR DANS AX\05-07-2019\*CL RACCO*.pdf")</f>
        <v>0</v>
      </c>
      <c r="F6" s="75">
        <f t="shared" ca="1" si="2"/>
        <v>0</v>
      </c>
      <c r="G6" s="67">
        <f ca="1">GetFileList("P:\TP et Raccodement\FICHES CREES RACCORDEMENT\2 - SAV + COMPL + PASSAGE W XV A SAISIR DANS AX\05-07-2019\*LM PASS*.pdf")</f>
        <v>0</v>
      </c>
      <c r="H6" s="67">
        <f ca="1">GetFileList("P:\TP et Raccodement\FICHES CREES RACCORDEMENT\2 - SAV + COMPL + PASSAGE W XV A SAISIR DANS AX\05-07-2019\*LR PASS*.pdf")</f>
        <v>0</v>
      </c>
      <c r="I6" s="68">
        <f ca="1">GetFileList("P:\TP et Raccodement\FICHES CREES RACCORDEMENT\2 - SAV + COMPL + PASSAGE W XV A SAISIR DANS AX\05-07-2019\*CL PASS*.pdf")</f>
        <v>0</v>
      </c>
      <c r="J6" s="76">
        <f ca="1">GetFileList("P:\TP et Raccodement\FICHES CREES RACCORDEMENT\2 - SAV + COMPL + PASSAGE W XV A SAISIR DANS AX\05-07-2019\*SAV*.pdf")</f>
        <v>0</v>
      </c>
      <c r="K6" s="77">
        <f ca="1">GetFileList("P:\TP et Raccodement\FICHES CREES RACCORDEMENT\2 - SAV + COMPL + PASSAGE W XV A SAISIR DANS AX\05-07-2019\*COMPLEMENT*.pdf")</f>
        <v>0</v>
      </c>
      <c r="L6" s="77">
        <f ca="1">GetFileList("P:\TP et Raccodement\FICHES CREES RACCORDEMENT\2 - SAV + COMPL + PASSAGE W XV A SAISIR DANS AX\05-07-2019\*REPRISE*.pdf")</f>
        <v>0</v>
      </c>
      <c r="M6" s="78">
        <f ca="1">GetFileList("P:\TP et Raccodement\FICHES CREES RACCORDEMENT\2 - SAV + COMPL + PASSAGE W XV A SAISIR DANS AX\05-07-2019\*REMONTAGE*.pdf")</f>
        <v>0</v>
      </c>
      <c r="N6" s="61"/>
      <c r="O6" s="73">
        <f t="shared" ca="1" si="1"/>
        <v>0</v>
      </c>
    </row>
    <row r="7" spans="1:16" ht="16.5" x14ac:dyDescent="0.3">
      <c r="A7" s="59">
        <v>43652</v>
      </c>
      <c r="B7" s="74">
        <f t="shared" ca="1" si="0"/>
        <v>0</v>
      </c>
      <c r="C7" s="67">
        <f ca="1">GetFileList("P:\TP et Raccodement\FICHES CREES RACCORDEMENT\1 - RACCOS A SAISIR DANS AX\06-07-2019\*LM RACCO*.pdf")</f>
        <v>0</v>
      </c>
      <c r="D7" s="67">
        <f ca="1">GetFileList("P:\TP et Raccodement\FICHES CREES RACCORDEMENT\1 - RACCOS A SAISIR DANS AX\06-07-2019\*LR RACCO*.pdf")</f>
        <v>0</v>
      </c>
      <c r="E7" s="68">
        <f ca="1">GetFileList("P:\TP et Raccodement\FICHES CREES RACCORDEMENT\1 - RACCOS A SAISIR DANS AX\06-07-2019\*CL RACCO*.pdf")</f>
        <v>0</v>
      </c>
      <c r="F7" s="75">
        <f t="shared" ca="1" si="2"/>
        <v>0</v>
      </c>
      <c r="G7" s="67">
        <f ca="1">GetFileList("P:\TP et Raccodement\FICHES CREES RACCORDEMENT\2 - SAV + COMPL + PASSAGE W XV A SAISIR DANS AX\06-07-2019\*LM PASS*.pdf")</f>
        <v>0</v>
      </c>
      <c r="H7" s="67">
        <f ca="1">GetFileList("P:\TP et Raccodement\FICHES CREES RACCORDEMENT\2 - SAV + COMPL + PASSAGE W XV A SAISIR DANS AX\06-07-2019\*LR PASS*.pdf")</f>
        <v>0</v>
      </c>
      <c r="I7" s="68">
        <f ca="1">GetFileList("P:\TP et Raccodement\FICHES CREES RACCORDEMENT\2 - SAV + COMPL + PASSAGE W XV A SAISIR DANS AX\06-07-2019\*CL PASS*.pdf")</f>
        <v>0</v>
      </c>
      <c r="J7" s="76">
        <f ca="1">GetFileList("P:\TP et Raccodement\FICHES CREES RACCORDEMENT\2 - SAV + COMPL + PASSAGE W XV A SAISIR DANS AX\06-07-2019\*SAV*.pdf")</f>
        <v>0</v>
      </c>
      <c r="K7" s="77">
        <f ca="1">GetFileList("P:\TP et Raccodement\FICHES CREES RACCORDEMENT\2 - SAV + COMPL + PASSAGE W XV A SAISIR DANS AX\06-07-2019\*COMPLEMENT*.pdf")</f>
        <v>0</v>
      </c>
      <c r="L7" s="77">
        <f ca="1">GetFileList("P:\TP et Raccodement\FICHES CREES RACCORDEMENT\2 - SAV + COMPL + PASSAGE W XV A SAISIR DANS AX\06-07-2019\*REPRISE*.pdf")</f>
        <v>0</v>
      </c>
      <c r="M7" s="78">
        <f ca="1">GetFileList("P:\TP et Raccodement\FICHES CREES RACCORDEMENT\2 - SAV + COMPL + PASSAGE W XV A SAISIR DANS AX\06-07-2019\*REMONTAGE*.pdf")</f>
        <v>0</v>
      </c>
      <c r="N7" s="61"/>
      <c r="O7" s="73">
        <f t="shared" ca="1" si="1"/>
        <v>0</v>
      </c>
    </row>
    <row r="8" spans="1:16" ht="16.5" x14ac:dyDescent="0.3">
      <c r="A8" s="88">
        <v>43653</v>
      </c>
      <c r="B8" s="89">
        <f t="shared" ca="1" si="0"/>
        <v>0</v>
      </c>
      <c r="C8" s="90">
        <f ca="1">GetFileList("P:\TP et Raccodement\FICHES CREES RACCORDEMENT\1 - RACCOS A SAISIR DANS AX\07-07-2019\*LM RACCO*.pdf")</f>
        <v>0</v>
      </c>
      <c r="D8" s="90">
        <f ca="1">GetFileList("P:\TP et Raccodement\FICHES CREES RACCORDEMENT\1 - RACCOS A SAISIR DANS AX\07-07-2019\*LR RACCO*.pdf")</f>
        <v>0</v>
      </c>
      <c r="E8" s="91">
        <f ca="1">GetFileList("P:\TP et Raccodement\FICHES CREES RACCORDEMENT\1 - RACCOS A SAISIR DANS AX\07-07-2019\*CL RACCO*.pdf")</f>
        <v>0</v>
      </c>
      <c r="F8" s="92">
        <f t="shared" ca="1" si="2"/>
        <v>0</v>
      </c>
      <c r="G8" s="90">
        <f ca="1">GetFileList("P:\TP et Raccodement\FICHES CREES RACCORDEMENT\2 - SAV + COMPL + PASSAGE W XV A SAISIR DANS AX\07-07-2019\*LM PASS*.pdf")</f>
        <v>0</v>
      </c>
      <c r="H8" s="90">
        <f ca="1">GetFileList("P:\TP et Raccodement\FICHES CREES RACCORDEMENT\2 - SAV + COMPL + PASSAGE W XV A SAISIR DANS AX\07-07-2019\*LR PASS*.pdf")</f>
        <v>0</v>
      </c>
      <c r="I8" s="91">
        <f ca="1">GetFileList("P:\TP et Raccodement\FICHES CREES RACCORDEMENT\2 - SAV + COMPL + PASSAGE W XV A SAISIR DANS AX\07-07-2019\*CL PASS*.pdf")</f>
        <v>0</v>
      </c>
      <c r="J8" s="93">
        <f ca="1">GetFileList("P:\TP et Raccodement\FICHES CREES RACCORDEMENT\2 - SAV + COMPL + PASSAGE W XV A SAISIR DANS AX\07-07-2019\*SAV*.pdf")</f>
        <v>0</v>
      </c>
      <c r="K8" s="94">
        <f ca="1">GetFileList("P:\TP et Raccodement\FICHES CREES RACCORDEMENT\2 - SAV + COMPL + PASSAGE W XV A SAISIR DANS AX\07-07-2019\*COMPLEMENT*.pdf")</f>
        <v>0</v>
      </c>
      <c r="L8" s="94">
        <f ca="1">GetFileList("P:\TP et Raccodement\FICHES CREES RACCORDEMENT\2 - SAV + COMPL + PASSAGE W XV A SAISIR DANS AX\07-07-2019\*REPRISE*.pdf")</f>
        <v>0</v>
      </c>
      <c r="M8" s="95">
        <f ca="1">GetFileList("P:\TP et Raccodement\FICHES CREES RACCORDEMENT\2 - SAV + COMPL + PASSAGE W XV A SAISIR DANS AX\07-07-2019\*REMONTAGE*.pdf")</f>
        <v>0</v>
      </c>
      <c r="N8" s="61"/>
      <c r="O8" s="73">
        <f t="shared" ca="1" si="1"/>
        <v>0</v>
      </c>
    </row>
    <row r="9" spans="1:16" ht="16.5" x14ac:dyDescent="0.3">
      <c r="A9" s="59">
        <v>43654</v>
      </c>
      <c r="B9" s="74">
        <f t="shared" ca="1" si="0"/>
        <v>0</v>
      </c>
      <c r="C9" s="67">
        <f ca="1">GetFileList("P:\TP et Raccodement\FICHES CREES RACCORDEMENT\1 - RACCOS A SAISIR DANS AX\08-07-2019\*LM RACCO*.pdf")</f>
        <v>0</v>
      </c>
      <c r="D9" s="67">
        <f ca="1">GetFileList("P:\TP et Raccodement\FICHES CREES RACCORDEMENT\1 - RACCOS A SAISIR DANS AX\08-07-2019\*LR RACCO*.pdf")</f>
        <v>0</v>
      </c>
      <c r="E9" s="68">
        <f ca="1">GetFileList("P:\TP et Raccodement\FICHES CREES RACCORDEMENT\1 - RACCOS A SAISIR DANS AX\08-07-2019\*CL RACCO*.pdf")</f>
        <v>0</v>
      </c>
      <c r="F9" s="75">
        <f t="shared" ca="1" si="2"/>
        <v>0</v>
      </c>
      <c r="G9" s="67">
        <f ca="1">GetFileList("P:\TP et Raccodement\FICHES CREES RACCORDEMENT\2 - SAV + COMPL + PASSAGE W XV A SAISIR DANS AX\08-07-2019\*LM PASS*.pdf")</f>
        <v>0</v>
      </c>
      <c r="H9" s="67">
        <f ca="1">GetFileList("P:\TP et Raccodement\FICHES CREES RACCORDEMENT\2 - SAV + COMPL + PASSAGE W XV A SAISIR DANS AX\08-07-2019\*LR PASS*.pdf")</f>
        <v>0</v>
      </c>
      <c r="I9" s="68">
        <f ca="1">GetFileList("P:\TP et Raccodement\FICHES CREES RACCORDEMENT\2 - SAV + COMPL + PASSAGE W XV A SAISIR DANS AX\08-07-2019\*CL PASS*.pdf")</f>
        <v>0</v>
      </c>
      <c r="J9" s="76">
        <f ca="1">GetFileList("P:\TP et Raccodement\FICHES CREES RACCORDEMENT\2 - SAV + COMPL + PASSAGE W XV A SAISIR DANS AX\08-07-2019\*SAV*.pdf")</f>
        <v>0</v>
      </c>
      <c r="K9" s="77">
        <f ca="1">GetFileList("P:\TP et Raccodement\FICHES CREES RACCORDEMENT\2 - SAV + COMPL + PASSAGE W XV A SAISIR DANS AX\08-07-2019\*COMPLEMENT*.pdf")</f>
        <v>0</v>
      </c>
      <c r="L9" s="77">
        <f ca="1">GetFileList("P:\TP et Raccodement\FICHES CREES RACCORDEMENT\2 - SAV + COMPL + PASSAGE W XV A SAISIR DANS AX\08-07-2019\*REPRISE*.pdf")</f>
        <v>0</v>
      </c>
      <c r="M9" s="78">
        <f ca="1">GetFileList("P:\TP et Raccodement\FICHES CREES RACCORDEMENT\2 - SAV + COMPL + PASSAGE W XV A SAISIR DANS AX\08-07-2019\*REMONTAGE*.pdf")</f>
        <v>0</v>
      </c>
      <c r="N9" s="61"/>
      <c r="O9" s="73">
        <f t="shared" ca="1" si="1"/>
        <v>0</v>
      </c>
    </row>
    <row r="10" spans="1:16" ht="16.5" x14ac:dyDescent="0.3">
      <c r="A10" s="59">
        <v>43655</v>
      </c>
      <c r="B10" s="74">
        <f t="shared" ca="1" si="0"/>
        <v>0</v>
      </c>
      <c r="C10" s="67">
        <f ca="1">GetFileList("P:\TP et Raccodement\FICHES CREES RACCORDEMENT\1 - RACCOS A SAISIR DANS AX\09-07-2019\*LM RACCO*.pdf")</f>
        <v>0</v>
      </c>
      <c r="D10" s="67">
        <f ca="1">GetFileList("P:\TP et Raccodement\FICHES CREES RACCORDEMENT\1 - RACCOS A SAISIR DANS AX\09-07-2019\*LR RACCO*.pdf")</f>
        <v>0</v>
      </c>
      <c r="E10" s="68">
        <f ca="1">GetFileList("P:\TP et Raccodement\FICHES CREES RACCORDEMENT\1 - RACCOS A SAISIR DANS AX\09-07-2019\*CL RACCO*.pdf")</f>
        <v>0</v>
      </c>
      <c r="F10" s="75">
        <f t="shared" ca="1" si="2"/>
        <v>0</v>
      </c>
      <c r="G10" s="67">
        <f ca="1">GetFileList("P:\TP et Raccodement\FICHES CREES RACCORDEMENT\2 - SAV + COMPL + PASSAGE W XV A SAISIR DANS AX\09-07-2019\*LM PASS*.pdf")</f>
        <v>0</v>
      </c>
      <c r="H10" s="67">
        <f ca="1">GetFileList("P:\TP et Raccodement\FICHES CREES RACCORDEMENT\2 - SAV + COMPL + PASSAGE W XV A SAISIR DANS AX\09-07-2019\*LR PASS*.pdf")</f>
        <v>0</v>
      </c>
      <c r="I10" s="68">
        <f ca="1">GetFileList("P:\TP et Raccodement\FICHES CREES RACCORDEMENT\2 - SAV + COMPL + PASSAGE W XV A SAISIR DANS AX\09-07-2019\*CL PASS*.pdf")</f>
        <v>0</v>
      </c>
      <c r="J10" s="76">
        <f ca="1">GetFileList("P:\TP et Raccodement\FICHES CREES RACCORDEMENT\2 - SAV + COMPL + PASSAGE W XV A SAISIR DANS AX\09-07-2019\*SAV*.pdf")</f>
        <v>0</v>
      </c>
      <c r="K10" s="77">
        <f ca="1">GetFileList("P:\TP et Raccodement\FICHES CREES RACCORDEMENT\2 - SAV + COMPL + PASSAGE W XV A SAISIR DANS AX\09-07-2019\*COMPLEMENT*.pdf")</f>
        <v>0</v>
      </c>
      <c r="L10" s="77">
        <f ca="1">GetFileList("P:\TP et Raccodement\FICHES CREES RACCORDEMENT\2 - SAV + COMPL + PASSAGE W XV A SAISIR DANS AX\09-07-2019\*REPRISE*.pdf")</f>
        <v>0</v>
      </c>
      <c r="M10" s="78">
        <f ca="1">GetFileList("P:\TP et Raccodement\FICHES CREES RACCORDEMENT\2 - SAV + COMPL + PASSAGE W XV A SAISIR DANS AX\09-07-2019\*REMONTAGE*.pdf")</f>
        <v>0</v>
      </c>
      <c r="N10" s="61"/>
      <c r="O10" s="73">
        <f t="shared" ca="1" si="1"/>
        <v>0</v>
      </c>
    </row>
    <row r="11" spans="1:16" ht="16.5" x14ac:dyDescent="0.3">
      <c r="A11" s="59">
        <v>43656</v>
      </c>
      <c r="B11" s="74">
        <f t="shared" ca="1" si="0"/>
        <v>0</v>
      </c>
      <c r="C11" s="67">
        <f ca="1">GetFileList("P:\TP et Raccodement\FICHES CREES RACCORDEMENT\1 - RACCOS A SAISIR DANS AX\10-07-2019\*LM RACCO*.pdf")</f>
        <v>0</v>
      </c>
      <c r="D11" s="67">
        <f ca="1">GetFileList("P:\TP et Raccodement\FICHES CREES RACCORDEMENT\1 - RACCOS A SAISIR DANS AX\10-07-2019\*LR RACCO*.pdf")</f>
        <v>0</v>
      </c>
      <c r="E11" s="68">
        <f ca="1">GetFileList("P:\TP et Raccodement\FICHES CREES RACCORDEMENT\1 - RACCOS A SAISIR DANS AX\10-07-2019\*CL RACCO*.pdf")</f>
        <v>0</v>
      </c>
      <c r="F11" s="75">
        <f t="shared" ca="1" si="2"/>
        <v>0</v>
      </c>
      <c r="G11" s="67">
        <f ca="1">GetFileList("P:\TP et Raccodement\FICHES CREES RACCORDEMENT\2 - SAV + COMPL + PASSAGE W XV A SAISIR DANS AX\10-07-2019\*LM PASS*.pdf")</f>
        <v>0</v>
      </c>
      <c r="H11" s="67">
        <f ca="1">GetFileList("P:\TP et Raccodement\FICHES CREES RACCORDEMENT\2 - SAV + COMPL + PASSAGE W XV A SAISIR DANS AX\10-07-2019\*LR PASS*.pdf")</f>
        <v>0</v>
      </c>
      <c r="I11" s="68">
        <f ca="1">GetFileList("P:\TP et Raccodement\FICHES CREES RACCORDEMENT\2 - SAV + COMPL + PASSAGE W XV A SAISIR DANS AX\10-07-2019\*CL PASS*.pdf")</f>
        <v>0</v>
      </c>
      <c r="J11" s="76">
        <f ca="1">GetFileList("P:\TP et Raccodement\FICHES CREES RACCORDEMENT\2 - SAV + COMPL + PASSAGE W XV A SAISIR DANS AX\10-07-2019\*SAV*.pdf")</f>
        <v>0</v>
      </c>
      <c r="K11" s="77">
        <f ca="1">GetFileList("P:\TP et Raccodement\FICHES CREES RACCORDEMENT\2 - SAV + COMPL + PASSAGE W XV A SAISIR DANS AX\10-07-2019\*COMPLEMENT*.pdf")</f>
        <v>0</v>
      </c>
      <c r="L11" s="77">
        <f ca="1">GetFileList("P:\TP et Raccodement\FICHES CREES RACCORDEMENT\2 - SAV + COMPL + PASSAGE W XV A SAISIR DANS AX\10-07-2019\*REPRISE*.pdf")</f>
        <v>0</v>
      </c>
      <c r="M11" s="78">
        <f ca="1">GetFileList("P:\TP et Raccodement\FICHES CREES RACCORDEMENT\2 - SAV + COMPL + PASSAGE W XV A SAISIR DANS AX\10-07-2019\*REMONTAGE*.pdf")</f>
        <v>0</v>
      </c>
      <c r="N11" s="61"/>
      <c r="O11" s="73">
        <f t="shared" ca="1" si="1"/>
        <v>0</v>
      </c>
    </row>
    <row r="12" spans="1:16" ht="16.5" x14ac:dyDescent="0.3">
      <c r="A12" s="59">
        <v>43657</v>
      </c>
      <c r="B12" s="74">
        <f t="shared" ca="1" si="0"/>
        <v>0</v>
      </c>
      <c r="C12" s="67">
        <f ca="1">GetFileList("P:\TP et Raccodement\FICHES CREES RACCORDEMENT\1 - RACCOS A SAISIR DANS AX\11-07-2019\*LM RACCO*.pdf")</f>
        <v>0</v>
      </c>
      <c r="D12" s="67">
        <f ca="1">GetFileList("P:\TP et Raccodement\FICHES CREES RACCORDEMENT\1 - RACCOS A SAISIR DANS AX\11-07-2019\*LR RACCO*.pdf")</f>
        <v>0</v>
      </c>
      <c r="E12" s="68">
        <f ca="1">GetFileList("P:\TP et Raccodement\FICHES CREES RACCORDEMENT\1 - RACCOS A SAISIR DANS AX\11-07-2019\*CL RACCO*.pdf")</f>
        <v>0</v>
      </c>
      <c r="F12" s="75">
        <f t="shared" ca="1" si="2"/>
        <v>0</v>
      </c>
      <c r="G12" s="67">
        <f ca="1">GetFileList("P:\TP et Raccodement\FICHES CREES RACCORDEMENT\2 - SAV + COMPL + PASSAGE W XV A SAISIR DANS AX\11-07-2019\*LM PASS*.pdf")</f>
        <v>0</v>
      </c>
      <c r="H12" s="67">
        <f ca="1">GetFileList("P:\TP et Raccodement\FICHES CREES RACCORDEMENT\2 - SAV + COMPL + PASSAGE W XV A SAISIR DANS AX\11-07-2019\*LR PASS*.pdf")</f>
        <v>0</v>
      </c>
      <c r="I12" s="68">
        <f ca="1">GetFileList("P:\TP et Raccodement\FICHES CREES RACCORDEMENT\2 - SAV + COMPL + PASSAGE W XV A SAISIR DANS AX\11-07-2019\*CL PASS*.pdf")</f>
        <v>0</v>
      </c>
      <c r="J12" s="76">
        <f ca="1">GetFileList("P:\TP et Raccodement\FICHES CREES RACCORDEMENT\2 - SAV + COMPL + PASSAGE W XV A SAISIR DANS AX\11-07-2019\*SAV*.pdf")</f>
        <v>0</v>
      </c>
      <c r="K12" s="77">
        <f ca="1">GetFileList("P:\TP et Raccodement\FICHES CREES RACCORDEMENT\2 - SAV + COMPL + PASSAGE W XV A SAISIR DANS AX\11-07-2019\*COMPLEMENT*.pdf")</f>
        <v>0</v>
      </c>
      <c r="L12" s="77">
        <f ca="1">GetFileList("P:\TP et Raccodement\FICHES CREES RACCORDEMENT\2 - SAV + COMPL + PASSAGE W XV A SAISIR DANS AX\11-07-2019\*REPRISE*.pdf")</f>
        <v>0</v>
      </c>
      <c r="M12" s="78">
        <f ca="1">GetFileList("P:\TP et Raccodement\FICHES CREES RACCORDEMENT\2 - SAV + COMPL + PASSAGE W XV A SAISIR DANS AX\11-07-2019\*REMONTAGE*.pdf")</f>
        <v>0</v>
      </c>
      <c r="N12" s="61"/>
      <c r="O12" s="73">
        <f t="shared" ca="1" si="1"/>
        <v>0</v>
      </c>
    </row>
    <row r="13" spans="1:16" ht="16.5" x14ac:dyDescent="0.3">
      <c r="A13" s="59">
        <v>43658</v>
      </c>
      <c r="B13" s="74">
        <f t="shared" ca="1" si="0"/>
        <v>0</v>
      </c>
      <c r="C13" s="67">
        <f ca="1">GetFileList("P:\TP et Raccodement\FICHES CREES RACCORDEMENT\1 - RACCOS A SAISIR DANS AX\12-07-2019\*LM RACCO*.pdf")</f>
        <v>0</v>
      </c>
      <c r="D13" s="67">
        <f ca="1">GetFileList("P:\TP et Raccodement\FICHES CREES RACCORDEMENT\1 - RACCOS A SAISIR DANS AX\12-07-2019\*LR RACCO*.pdf")</f>
        <v>0</v>
      </c>
      <c r="E13" s="68">
        <f ca="1">GetFileList("P:\TP et Raccodement\FICHES CREES RACCORDEMENT\1 - RACCOS A SAISIR DANS AX\12-07-2019\*CL RACCO*.pdf")</f>
        <v>0</v>
      </c>
      <c r="F13" s="75">
        <f t="shared" ca="1" si="2"/>
        <v>0</v>
      </c>
      <c r="G13" s="67">
        <f ca="1">GetFileList("P:\TP et Raccodement\FICHES CREES RACCORDEMENT\2 - SAV + COMPL + PASSAGE W XV A SAISIR DANS AX\12-07-2019\*LM PASS*.pdf")</f>
        <v>0</v>
      </c>
      <c r="H13" s="67">
        <f ca="1">GetFileList("P:\TP et Raccodement\FICHES CREES RACCORDEMENT\2 - SAV + COMPL + PASSAGE W XV A SAISIR DANS AX\12-07-2019\*LR PASS*.pdf")</f>
        <v>0</v>
      </c>
      <c r="I13" s="68">
        <f ca="1">GetFileList("P:\TP et Raccodement\FICHES CREES RACCORDEMENT\2 - SAV + COMPL + PASSAGE W XV A SAISIR DANS AX\12-07-2019\*CL PASS*.pdf")</f>
        <v>0</v>
      </c>
      <c r="J13" s="76">
        <f ca="1">GetFileList("P:\TP et Raccodement\FICHES CREES RACCORDEMENT\2 - SAV + COMPL + PASSAGE W XV A SAISIR DANS AX\12-07-2019\*SAV*.pdf")</f>
        <v>0</v>
      </c>
      <c r="K13" s="77">
        <f ca="1">GetFileList("P:\TP et Raccodement\FICHES CREES RACCORDEMENT\2 - SAV + COMPL + PASSAGE W XV A SAISIR DANS AX\12-07-2019\*COMPLEMENT*.pdf")</f>
        <v>0</v>
      </c>
      <c r="L13" s="77">
        <f ca="1">GetFileList("P:\TP et Raccodement\FICHES CREES RACCORDEMENT\2 - SAV + COMPL + PASSAGE W XV A SAISIR DANS AX\12-07-2019\*REPRISE*.pdf")</f>
        <v>0</v>
      </c>
      <c r="M13" s="78">
        <f ca="1">GetFileList("P:\TP et Raccodement\FICHES CREES RACCORDEMENT\2 - SAV + COMPL + PASSAGE W XV A SAISIR DANS AX\12-07-2019\*REMONTAGE*.pdf")</f>
        <v>0</v>
      </c>
      <c r="N13" s="61"/>
      <c r="O13" s="73">
        <f t="shared" ca="1" si="1"/>
        <v>0</v>
      </c>
    </row>
    <row r="14" spans="1:16" ht="16.5" x14ac:dyDescent="0.3">
      <c r="A14" s="59">
        <v>43659</v>
      </c>
      <c r="B14" s="74">
        <f t="shared" ca="1" si="0"/>
        <v>0</v>
      </c>
      <c r="C14" s="67">
        <f ca="1">GetFileList("P:\TP et Raccodement\FICHES CREES RACCORDEMENT\1 - RACCOS A SAISIR DANS AX\13-07-2019\*LM RACCO*.pdf")</f>
        <v>0</v>
      </c>
      <c r="D14" s="67">
        <f ca="1">GetFileList("P:\TP et Raccodement\FICHES CREES RACCORDEMENT\1 - RACCOS A SAISIR DANS AX\13-07-2019\*LR RACCO*.pdf")</f>
        <v>0</v>
      </c>
      <c r="E14" s="68">
        <f ca="1">GetFileList("P:\TP et Raccodement\FICHES CREES RACCORDEMENT\1 - RACCOS A SAISIR DANS AX\13-07-2019\*CL RACCO*.pdf")</f>
        <v>0</v>
      </c>
      <c r="F14" s="75">
        <f t="shared" ca="1" si="2"/>
        <v>0</v>
      </c>
      <c r="G14" s="67">
        <f ca="1">GetFileList("P:\TP et Raccodement\FICHES CREES RACCORDEMENT\2 - SAV + COMPL + PASSAGE W XV A SAISIR DANS AX\13-07-2019\*LM PASS*.pdf")</f>
        <v>0</v>
      </c>
      <c r="H14" s="67">
        <f ca="1">GetFileList("P:\TP et Raccodement\FICHES CREES RACCORDEMENT\2 - SAV + COMPL + PASSAGE W XV A SAISIR DANS AX\13-07-2019\*LR PASS*.pdf")</f>
        <v>0</v>
      </c>
      <c r="I14" s="68">
        <f ca="1">GetFileList("P:\TP et Raccodement\FICHES CREES RACCORDEMENT\2 - SAV + COMPL + PASSAGE W XV A SAISIR DANS AX\13-07-2019\*CL PASS*.pdf")</f>
        <v>0</v>
      </c>
      <c r="J14" s="76">
        <f ca="1">GetFileList("P:\TP et Raccodement\FICHES CREES RACCORDEMENT\2 - SAV + COMPL + PASSAGE W XV A SAISIR DANS AX\13-07-2019\*SAV*.pdf")</f>
        <v>0</v>
      </c>
      <c r="K14" s="77">
        <f ca="1">GetFileList("P:\TP et Raccodement\FICHES CREES RACCORDEMENT\2 - SAV + COMPL + PASSAGE W XV A SAISIR DANS AX\13-07-2019\*COMPLEMENT*.pdf")</f>
        <v>0</v>
      </c>
      <c r="L14" s="77">
        <f ca="1">GetFileList("P:\TP et Raccodement\FICHES CREES RACCORDEMENT\2 - SAV + COMPL + PASSAGE W XV A SAISIR DANS AX\13-07-2019\*REPRISE*.pdf")</f>
        <v>0</v>
      </c>
      <c r="M14" s="78">
        <f ca="1">GetFileList("P:\TP et Raccodement\FICHES CREES RACCORDEMENT\2 - SAV + COMPL + PASSAGE W XV A SAISIR DANS AX\13-07-2019\*REMONTAGE*.pdf")</f>
        <v>0</v>
      </c>
      <c r="N14" s="61"/>
      <c r="O14" s="73">
        <f t="shared" ca="1" si="1"/>
        <v>0</v>
      </c>
    </row>
    <row r="15" spans="1:16" ht="16.5" x14ac:dyDescent="0.3">
      <c r="A15" s="88">
        <v>43660</v>
      </c>
      <c r="B15" s="89">
        <f t="shared" ca="1" si="0"/>
        <v>0</v>
      </c>
      <c r="C15" s="90">
        <f ca="1">GetFileList("P:\TP et Raccodement\FICHES CREES RACCORDEMENT\1 - RACCOS A SAISIR DANS AX\14-07-2019\*LM RACCO*.pdf")</f>
        <v>0</v>
      </c>
      <c r="D15" s="90">
        <f ca="1">GetFileList("P:\TP et Raccodement\FICHES CREES RACCORDEMENT\1 - RACCOS A SAISIR DANS AX\14-07-2019\*LR RACCO*.pdf")</f>
        <v>0</v>
      </c>
      <c r="E15" s="91">
        <f ca="1">GetFileList("P:\TP et Raccodement\FICHES CREES RACCORDEMENT\1 - RACCOS A SAISIR DANS AX\14-07-2019\*CL RACCO*.pdf")</f>
        <v>0</v>
      </c>
      <c r="F15" s="92">
        <f t="shared" ca="1" si="2"/>
        <v>0</v>
      </c>
      <c r="G15" s="90">
        <f ca="1">GetFileList("P:\TP et Raccodement\FICHES CREES RACCORDEMENT\2 - SAV + COMPL + PASSAGE W XV A SAISIR DANS AX\14-07-2019\*LM PASS*.pdf")</f>
        <v>0</v>
      </c>
      <c r="H15" s="90">
        <f ca="1">GetFileList("P:\TP et Raccodement\FICHES CREES RACCORDEMENT\2 - SAV + COMPL + PASSAGE W XV A SAISIR DANS AX\14-07-2019\*LR PASS*.pdf")</f>
        <v>0</v>
      </c>
      <c r="I15" s="91">
        <f ca="1">GetFileList("P:\TP et Raccodement\FICHES CREES RACCORDEMENT\2 - SAV + COMPL + PASSAGE W XV A SAISIR DANS AX\14-07-2019\*CL PASS*.pdf")</f>
        <v>0</v>
      </c>
      <c r="J15" s="93">
        <f ca="1">GetFileList("P:\TP et Raccodement\FICHES CREES RACCORDEMENT\2 - SAV + COMPL + PASSAGE W XV A SAISIR DANS AX\14-07-2019\*SAV*.pdf")</f>
        <v>0</v>
      </c>
      <c r="K15" s="94">
        <f ca="1">GetFileList("P:\TP et Raccodement\FICHES CREES RACCORDEMENT\2 - SAV + COMPL + PASSAGE W XV A SAISIR DANS AX\14-07-2019\*COMPLEMENT*.pdf")</f>
        <v>0</v>
      </c>
      <c r="L15" s="94">
        <f ca="1">GetFileList("P:\TP et Raccodement\FICHES CREES RACCORDEMENT\2 - SAV + COMPL + PASSAGE W XV A SAISIR DANS AX\14-07-2019\*REPRISE*.pdf")</f>
        <v>0</v>
      </c>
      <c r="M15" s="95">
        <f ca="1">GetFileList("P:\TP et Raccodement\FICHES CREES RACCORDEMENT\2 - SAV + COMPL + PASSAGE W XV A SAISIR DANS AX\14-07-2019\*REMONTAGE*.pdf")</f>
        <v>0</v>
      </c>
      <c r="N15" s="61"/>
      <c r="O15" s="73">
        <f t="shared" ca="1" si="1"/>
        <v>0</v>
      </c>
    </row>
    <row r="16" spans="1:16" ht="16.5" x14ac:dyDescent="0.3">
      <c r="A16" s="59">
        <v>43661</v>
      </c>
      <c r="B16" s="74">
        <f t="shared" ca="1" si="0"/>
        <v>0</v>
      </c>
      <c r="C16" s="67">
        <f ca="1">GetFileList("P:\TP et Raccodement\FICHES CREES RACCORDEMENT\1 - RACCOS A SAISIR DANS AX\15-07-2019\*LM RACCO*.pdf")</f>
        <v>0</v>
      </c>
      <c r="D16" s="67">
        <f ca="1">GetFileList("P:\TP et Raccodement\FICHES CREES RACCORDEMENT\1 - RACCOS A SAISIR DANS AX\15-07-2019\*LR RACCO*.pdf")</f>
        <v>0</v>
      </c>
      <c r="E16" s="68">
        <f ca="1">GetFileList("P:\TP et Raccodement\FICHES CREES RACCORDEMENT\1 - RACCOS A SAISIR DANS AX\15-07-2019\*CL RACCO*.pdf")</f>
        <v>0</v>
      </c>
      <c r="F16" s="75">
        <f t="shared" ca="1" si="2"/>
        <v>0</v>
      </c>
      <c r="G16" s="67">
        <f ca="1">GetFileList("P:\TP et Raccodement\FICHES CREES RACCORDEMENT\2 - SAV + COMPL + PASSAGE W XV A SAISIR DANS AX\15-07-2019\*LM PASS*.pdf")</f>
        <v>0</v>
      </c>
      <c r="H16" s="67">
        <f ca="1">GetFileList("P:\TP et Raccodement\FICHES CREES RACCORDEMENT\2 - SAV + COMPL + PASSAGE W XV A SAISIR DANS AX\15-07-2019\*LR PASS*.pdf")</f>
        <v>0</v>
      </c>
      <c r="I16" s="68">
        <f ca="1">GetFileList("P:\TP et Raccodement\FICHES CREES RACCORDEMENT\2 - SAV + COMPL + PASSAGE W XV A SAISIR DANS AX\15-07-2019\*CL PASS*.pdf")</f>
        <v>0</v>
      </c>
      <c r="J16" s="76">
        <f ca="1">GetFileList("P:\TP et Raccodement\FICHES CREES RACCORDEMENT\2 - SAV + COMPL + PASSAGE W XV A SAISIR DANS AX\15-07-2019\*SAV*.pdf")</f>
        <v>0</v>
      </c>
      <c r="K16" s="77">
        <f ca="1">GetFileList("P:\TP et Raccodement\FICHES CREES RACCORDEMENT\2 - SAV + COMPL + PASSAGE W XV A SAISIR DANS AX\15-07-2019\*COMPLEMENT*.pdf")</f>
        <v>0</v>
      </c>
      <c r="L16" s="77">
        <f ca="1">GetFileList("P:\TP et Raccodement\FICHES CREES RACCORDEMENT\2 - SAV + COMPL + PASSAGE W XV A SAISIR DANS AX\15-07-2019\*REPRISE*.pdf")</f>
        <v>0</v>
      </c>
      <c r="M16" s="78">
        <f ca="1">GetFileList("P:\TP et Raccodement\FICHES CREES RACCORDEMENT\2 - SAV + COMPL + PASSAGE W XV A SAISIR DANS AX\15-07-2019\*REMONTAGE*.pdf")</f>
        <v>0</v>
      </c>
      <c r="N16" s="61"/>
      <c r="O16" s="73">
        <f t="shared" ca="1" si="1"/>
        <v>0</v>
      </c>
    </row>
    <row r="17" spans="1:15" ht="16.5" x14ac:dyDescent="0.3">
      <c r="A17" s="59">
        <v>43662</v>
      </c>
      <c r="B17" s="74">
        <f t="shared" ca="1" si="0"/>
        <v>0</v>
      </c>
      <c r="C17" s="67">
        <f ca="1">GetFileList("P:\TP et Raccodement\FICHES CREES RACCORDEMENT\1 - RACCOS A SAISIR DANS AX\16-07-2019\*LM RACCO*.pdf")</f>
        <v>0</v>
      </c>
      <c r="D17" s="67">
        <f ca="1">GetFileList("P:\TP et Raccodement\FICHES CREES RACCORDEMENT\1 - RACCOS A SAISIR DANS AX\16-07-2019\*LR RACCO*.pdf")</f>
        <v>0</v>
      </c>
      <c r="E17" s="68">
        <f ca="1">GetFileList("P:\TP et Raccodement\FICHES CREES RACCORDEMENT\1 - RACCOS A SAISIR DANS AX\16-07-2019\*CL RACCO*.pdf")</f>
        <v>0</v>
      </c>
      <c r="F17" s="75">
        <f t="shared" ca="1" si="2"/>
        <v>0</v>
      </c>
      <c r="G17" s="67">
        <f ca="1">GetFileList("P:\TP et Raccodement\FICHES CREES RACCORDEMENT\2 - SAV + COMPL + PASSAGE W XV A SAISIR DANS AX\16-07-2019\*LM PASS*.pdf")</f>
        <v>0</v>
      </c>
      <c r="H17" s="67">
        <f ca="1">GetFileList("P:\TP et Raccodement\FICHES CREES RACCORDEMENT\2 - SAV + COMPL + PASSAGE W XV A SAISIR DANS AX\16-07-2019\*LR PASS*.pdf")</f>
        <v>0</v>
      </c>
      <c r="I17" s="68">
        <f ca="1">GetFileList("P:\TP et Raccodement\FICHES CREES RACCORDEMENT\2 - SAV + COMPL + PASSAGE W XV A SAISIR DANS AX\16-07-2019\*CL PASS*.pdf")</f>
        <v>0</v>
      </c>
      <c r="J17" s="76">
        <f ca="1">GetFileList("P:\TP et Raccodement\FICHES CREES RACCORDEMENT\2 - SAV + COMPL + PASSAGE W XV A SAISIR DANS AX\16-07-2019\*SAV*.pdf")</f>
        <v>0</v>
      </c>
      <c r="K17" s="77">
        <f ca="1">GetFileList("P:\TP et Raccodement\FICHES CREES RACCORDEMENT\2 - SAV + COMPL + PASSAGE W XV A SAISIR DANS AX\16-07-2019\*COMPLEMENT*.pdf")</f>
        <v>0</v>
      </c>
      <c r="L17" s="77">
        <f ca="1">GetFileList("P:\TP et Raccodement\FICHES CREES RACCORDEMENT\2 - SAV + COMPL + PASSAGE W XV A SAISIR DANS AX\16-07-2019\*REPRISE*.pdf")</f>
        <v>0</v>
      </c>
      <c r="M17" s="78">
        <f ca="1">GetFileList("P:\TP et Raccodement\FICHES CREES RACCORDEMENT\2 - SAV + COMPL + PASSAGE W XV A SAISIR DANS AX\16-07-2019\*REMONTAGE*.pdf")</f>
        <v>0</v>
      </c>
      <c r="N17" s="61"/>
      <c r="O17" s="73">
        <f t="shared" ca="1" si="1"/>
        <v>0</v>
      </c>
    </row>
    <row r="18" spans="1:15" ht="16.5" x14ac:dyDescent="0.3">
      <c r="A18" s="59">
        <v>43663</v>
      </c>
      <c r="B18" s="74">
        <f t="shared" ca="1" si="0"/>
        <v>0</v>
      </c>
      <c r="C18" s="67">
        <f ca="1">GetFileList("P:\TP et Raccodement\FICHES CREES RACCORDEMENT\1 - RACCOS A SAISIR DANS AX\17-07-2019\*LM RACCO*.pdf")</f>
        <v>0</v>
      </c>
      <c r="D18" s="67">
        <f ca="1">GetFileList("P:\TP et Raccodement\FICHES CREES RACCORDEMENT\1 - RACCOS A SAISIR DANS AX\17-07-2019\*LR RACCO*.pdf")</f>
        <v>0</v>
      </c>
      <c r="E18" s="68">
        <f ca="1">GetFileList("P:\TP et Raccodement\FICHES CREES RACCORDEMENT\1 - RACCOS A SAISIR DANS AX\17-07-2019\*CL RACCO*.pdf")</f>
        <v>0</v>
      </c>
      <c r="F18" s="75">
        <f t="shared" ca="1" si="2"/>
        <v>0</v>
      </c>
      <c r="G18" s="67">
        <f ca="1">GetFileList("P:\TP et Raccodement\FICHES CREES RACCORDEMENT\2 - SAV + COMPL + PASSAGE W XV A SAISIR DANS AX\17-07-2019\*LM PASS*.pdf")</f>
        <v>0</v>
      </c>
      <c r="H18" s="67">
        <f ca="1">GetFileList("P:\TP et Raccodement\FICHES CREES RACCORDEMENT\2 - SAV + COMPL + PASSAGE W XV A SAISIR DANS AX\17-07-2019\*LR PASS*.pdf")</f>
        <v>0</v>
      </c>
      <c r="I18" s="68">
        <f ca="1">GetFileList("P:\TP et Raccodement\FICHES CREES RACCORDEMENT\2 - SAV + COMPL + PASSAGE W XV A SAISIR DANS AX\17-07-2019\*CL PASS*.pdf")</f>
        <v>0</v>
      </c>
      <c r="J18" s="76">
        <f ca="1">GetFileList("P:\TP et Raccodement\FICHES CREES RACCORDEMENT\2 - SAV + COMPL + PASSAGE W XV A SAISIR DANS AX\17-07-2019\*SAV*.pdf")</f>
        <v>0</v>
      </c>
      <c r="K18" s="77">
        <f ca="1">GetFileList("P:\TP et Raccodement\FICHES CREES RACCORDEMENT\2 - SAV + COMPL + PASSAGE W XV A SAISIR DANS AX\17-07-2019\*COMPLEMENT*.pdf")</f>
        <v>0</v>
      </c>
      <c r="L18" s="77">
        <f ca="1">GetFileList("P:\TP et Raccodement\FICHES CREES RACCORDEMENT\2 - SAV + COMPL + PASSAGE W XV A SAISIR DANS AX\17-07-2019\*REPRISE*.pdf")</f>
        <v>0</v>
      </c>
      <c r="M18" s="78">
        <f ca="1">GetFileList("P:\TP et Raccodement\FICHES CREES RACCORDEMENT\2 - SAV + COMPL + PASSAGE W XV A SAISIR DANS AX\17-07-2019\*REMONTAGE*.pdf")</f>
        <v>0</v>
      </c>
      <c r="N18" s="61"/>
      <c r="O18" s="73">
        <f t="shared" ca="1" si="1"/>
        <v>0</v>
      </c>
    </row>
    <row r="19" spans="1:15" ht="16.5" x14ac:dyDescent="0.3">
      <c r="A19" s="59">
        <v>43664</v>
      </c>
      <c r="B19" s="74">
        <f t="shared" ca="1" si="0"/>
        <v>0</v>
      </c>
      <c r="C19" s="67">
        <f ca="1">GetFileList("P:\TP et Raccodement\FICHES CREES RACCORDEMENT\1 - RACCOS A SAISIR DANS AX\18-07-2019\*LM RACCO*.pdf")</f>
        <v>0</v>
      </c>
      <c r="D19" s="67">
        <f ca="1">GetFileList("P:\TP et Raccodement\FICHES CREES RACCORDEMENT\1 - RACCOS A SAISIR DANS AX\18-07-2019\*LR RACCO*.pdf")</f>
        <v>0</v>
      </c>
      <c r="E19" s="68">
        <f ca="1">GetFileList("P:\TP et Raccodement\FICHES CREES RACCORDEMENT\1 - RACCOS A SAISIR DANS AX\18-07-2019\*CL RACCO*.pdf")</f>
        <v>0</v>
      </c>
      <c r="F19" s="75">
        <f t="shared" ca="1" si="2"/>
        <v>0</v>
      </c>
      <c r="G19" s="67">
        <f ca="1">GetFileList("P:\TP et Raccodement\FICHES CREES RACCORDEMENT\2 - SAV + COMPL + PASSAGE W XV A SAISIR DANS AX\18-07-2019\*LM PASS*.pdf")</f>
        <v>0</v>
      </c>
      <c r="H19" s="67">
        <f ca="1">GetFileList("P:\TP et Raccodement\FICHES CREES RACCORDEMENT\2 - SAV + COMPL + PASSAGE W XV A SAISIR DANS AX\18-07-2019\*LR PASS*.pdf")</f>
        <v>0</v>
      </c>
      <c r="I19" s="68">
        <f ca="1">GetFileList("P:\TP et Raccodement\FICHES CREES RACCORDEMENT\2 - SAV + COMPL + PASSAGE W XV A SAISIR DANS AX\18-07-2019\*CL PASS*.pdf")</f>
        <v>0</v>
      </c>
      <c r="J19" s="76">
        <f ca="1">GetFileList("P:\TP et Raccodement\FICHES CREES RACCORDEMENT\2 - SAV + COMPL + PASSAGE W XV A SAISIR DANS AX\18-07-2019\*SAV*.pdf")</f>
        <v>0</v>
      </c>
      <c r="K19" s="77">
        <f ca="1">GetFileList("P:\TP et Raccodement\FICHES CREES RACCORDEMENT\2 - SAV + COMPL + PASSAGE W XV A SAISIR DANS AX\18-07-2019\*COMPLEMENT*.pdf")</f>
        <v>0</v>
      </c>
      <c r="L19" s="77">
        <f ca="1">GetFileList("P:\TP et Raccodement\FICHES CREES RACCORDEMENT\2 - SAV + COMPL + PASSAGE W XV A SAISIR DANS AX\18-07-2019\*REPRISE*.pdf")</f>
        <v>0</v>
      </c>
      <c r="M19" s="78">
        <f ca="1">GetFileList("P:\TP et Raccodement\FICHES CREES RACCORDEMENT\2 - SAV + COMPL + PASSAGE W XV A SAISIR DANS AX\18-07-2019\*REMONTAGE*.pdf")</f>
        <v>0</v>
      </c>
      <c r="N19" s="61"/>
      <c r="O19" s="73">
        <f t="shared" ca="1" si="1"/>
        <v>0</v>
      </c>
    </row>
    <row r="20" spans="1:15" ht="16.5" x14ac:dyDescent="0.3">
      <c r="A20" s="59">
        <v>43665</v>
      </c>
      <c r="B20" s="74">
        <f t="shared" ca="1" si="0"/>
        <v>0</v>
      </c>
      <c r="C20" s="67">
        <f ca="1">GetFileList("P:\TP et Raccodement\FICHES CREES RACCORDEMENT\1 - RACCOS A SAISIR DANS AX\19-07-2019\*LM RACCO*.pdf")</f>
        <v>0</v>
      </c>
      <c r="D20" s="67">
        <f ca="1">GetFileList("P:\TP et Raccodement\FICHES CREES RACCORDEMENT\1 - RACCOS A SAISIR DANS AX\19-07-2019\*LR RACCO*.pdf")</f>
        <v>0</v>
      </c>
      <c r="E20" s="68">
        <f ca="1">GetFileList("P:\TP et Raccodement\FICHES CREES RACCORDEMENT\1 - RACCOS A SAISIR DANS AX\19-07-2019\*CL RACCO*.pdf")</f>
        <v>0</v>
      </c>
      <c r="F20" s="75">
        <f t="shared" ca="1" si="2"/>
        <v>0</v>
      </c>
      <c r="G20" s="67">
        <f ca="1">GetFileList("P:\TP et Raccodement\FICHES CREES RACCORDEMENT\2 - SAV + COMPL + PASSAGE W XV A SAISIR DANS AX\19-07-2019\*LM PASS*.pdf")</f>
        <v>0</v>
      </c>
      <c r="H20" s="67">
        <f ca="1">GetFileList("P:\TP et Raccodement\FICHES CREES RACCORDEMENT\2 - SAV + COMPL + PASSAGE W XV A SAISIR DANS AX\19-07-2019\*LR PASS*.pdf")</f>
        <v>0</v>
      </c>
      <c r="I20" s="68">
        <f ca="1">GetFileList("P:\TP et Raccodement\FICHES CREES RACCORDEMENT\2 - SAV + COMPL + PASSAGE W XV A SAISIR DANS AX\19-07-2019\*CL PASS*.pdf")</f>
        <v>0</v>
      </c>
      <c r="J20" s="76">
        <f ca="1">GetFileList("P:\TP et Raccodement\FICHES CREES RACCORDEMENT\2 - SAV + COMPL + PASSAGE W XV A SAISIR DANS AX\19-07-2019\*SAV*.pdf")</f>
        <v>0</v>
      </c>
      <c r="K20" s="77">
        <f ca="1">GetFileList("P:\TP et Raccodement\FICHES CREES RACCORDEMENT\2 - SAV + COMPL + PASSAGE W XV A SAISIR DANS AX\19-07-2019\*COMPLEMENT*.pdf")</f>
        <v>0</v>
      </c>
      <c r="L20" s="77">
        <f ca="1">GetFileList("P:\TP et Raccodement\FICHES CREES RACCORDEMENT\2 - SAV + COMPL + PASSAGE W XV A SAISIR DANS AX\19-07-2019\*REPRISE*.pdf")</f>
        <v>0</v>
      </c>
      <c r="M20" s="78">
        <f ca="1">GetFileList("P:\TP et Raccodement\FICHES CREES RACCORDEMENT\2 - SAV + COMPL + PASSAGE W XV A SAISIR DANS AX\19-07-2019\*REMONTAGE*.pdf")</f>
        <v>0</v>
      </c>
      <c r="N20" s="61"/>
      <c r="O20" s="73">
        <f t="shared" ca="1" si="1"/>
        <v>0</v>
      </c>
    </row>
    <row r="21" spans="1:15" ht="16.5" x14ac:dyDescent="0.3">
      <c r="A21" s="59">
        <v>43666</v>
      </c>
      <c r="B21" s="74">
        <f t="shared" ca="1" si="0"/>
        <v>0</v>
      </c>
      <c r="C21" s="67">
        <f ca="1">GetFileList("P:\TP et Raccodement\FICHES CREES RACCORDEMENT\1 - RACCOS A SAISIR DANS AX\20-07-2019\*LM RACCO*.pdf")</f>
        <v>0</v>
      </c>
      <c r="D21" s="67">
        <f ca="1">GetFileList("P:\TP et Raccodement\FICHES CREES RACCORDEMENT\1 - RACCOS A SAISIR DANS AX\20-07-2019\*LR RACCO*.pdf")</f>
        <v>0</v>
      </c>
      <c r="E21" s="68">
        <f ca="1">GetFileList("P:\TP et Raccodement\FICHES CREES RACCORDEMENT\1 - RACCOS A SAISIR DANS AX\20-07-2019\*CL RACCO*.pdf")</f>
        <v>0</v>
      </c>
      <c r="F21" s="75">
        <f t="shared" ca="1" si="2"/>
        <v>0</v>
      </c>
      <c r="G21" s="67">
        <f ca="1">GetFileList("P:\TP et Raccodement\FICHES CREES RACCORDEMENT\2 - SAV + COMPL + PASSAGE W XV A SAISIR DANS AX\20-07-2019\*LM PASS*.pdf")</f>
        <v>0</v>
      </c>
      <c r="H21" s="67">
        <f ca="1">GetFileList("P:\TP et Raccodement\FICHES CREES RACCORDEMENT\2 - SAV + COMPL + PASSAGE W XV A SAISIR DANS AX\20-07-2019\*LR PASS*.pdf")</f>
        <v>0</v>
      </c>
      <c r="I21" s="68">
        <f ca="1">GetFileList("P:\TP et Raccodement\FICHES CREES RACCORDEMENT\2 - SAV + COMPL + PASSAGE W XV A SAISIR DANS AX\20-07-2019\*CL PASS*.pdf")</f>
        <v>0</v>
      </c>
      <c r="J21" s="76">
        <f ca="1">GetFileList("P:\TP et Raccodement\FICHES CREES RACCORDEMENT\2 - SAV + COMPL + PASSAGE W XV A SAISIR DANS AX\20-07-2019\*SAV*.pdf")</f>
        <v>0</v>
      </c>
      <c r="K21" s="77">
        <f ca="1">GetFileList("P:\TP et Raccodement\FICHES CREES RACCORDEMENT\2 - SAV + COMPL + PASSAGE W XV A SAISIR DANS AX\20-07-2019\*COMPLEMENT*.pdf")</f>
        <v>0</v>
      </c>
      <c r="L21" s="77">
        <f ca="1">GetFileList("P:\TP et Raccodement\FICHES CREES RACCORDEMENT\2 - SAV + COMPL + PASSAGE W XV A SAISIR DANS AX\20-07-2019\*REPRISE*.pdf")</f>
        <v>0</v>
      </c>
      <c r="M21" s="78">
        <f ca="1">GetFileList("P:\TP et Raccodement\FICHES CREES RACCORDEMENT\2 - SAV + COMPL + PASSAGE W XV A SAISIR DANS AX\20-07-2019\*REMONTAGE*.pdf")</f>
        <v>0</v>
      </c>
      <c r="N21" s="61"/>
      <c r="O21" s="73">
        <f t="shared" ca="1" si="1"/>
        <v>0</v>
      </c>
    </row>
    <row r="22" spans="1:15" ht="16.5" x14ac:dyDescent="0.3">
      <c r="A22" s="88">
        <v>43667</v>
      </c>
      <c r="B22" s="89">
        <f t="shared" ca="1" si="0"/>
        <v>0</v>
      </c>
      <c r="C22" s="90">
        <f ca="1">GetFileList("P:\TP et Raccodement\FICHES CREES RACCORDEMENT\1 - RACCOS A SAISIR DANS AX\21-07-2019\*LM RACCO*.pdf")</f>
        <v>0</v>
      </c>
      <c r="D22" s="90">
        <f ca="1">GetFileList("P:\TP et Raccodement\FICHES CREES RACCORDEMENT\1 - RACCOS A SAISIR DANS AX\21-07-2019\*LR RACCO*.pdf")</f>
        <v>0</v>
      </c>
      <c r="E22" s="91">
        <f ca="1">GetFileList("P:\TP et Raccodement\FICHES CREES RACCORDEMENT\1 - RACCOS A SAISIR DANS AX\21-07-2019\*CL RACCO*.pdf")</f>
        <v>0</v>
      </c>
      <c r="F22" s="92">
        <f t="shared" ca="1" si="2"/>
        <v>0</v>
      </c>
      <c r="G22" s="90">
        <f ca="1">GetFileList("P:\TP et Raccodement\FICHES CREES RACCORDEMENT\2 - SAV + COMPL + PASSAGE W XV A SAISIR DANS AX\21-07-2019\*LM PASS*.pdf")</f>
        <v>0</v>
      </c>
      <c r="H22" s="90">
        <f ca="1">GetFileList("P:\TP et Raccodement\FICHES CREES RACCORDEMENT\2 - SAV + COMPL + PASSAGE W XV A SAISIR DANS AX\21-07-2019\*LR PASS*.pdf")</f>
        <v>0</v>
      </c>
      <c r="I22" s="91">
        <f ca="1">GetFileList("P:\TP et Raccodement\FICHES CREES RACCORDEMENT\2 - SAV + COMPL + PASSAGE W XV A SAISIR DANS AX\21-07-2019\*CL PASS*.pdf")</f>
        <v>0</v>
      </c>
      <c r="J22" s="93">
        <f ca="1">GetFileList("P:\TP et Raccodement\FICHES CREES RACCORDEMENT\2 - SAV + COMPL + PASSAGE W XV A SAISIR DANS AX\21-07-2019\*SAV*.pdf")</f>
        <v>0</v>
      </c>
      <c r="K22" s="94">
        <f ca="1">GetFileList("P:\TP et Raccodement\FICHES CREES RACCORDEMENT\2 - SAV + COMPL + PASSAGE W XV A SAISIR DANS AX\21-07-2019\*COMPLEMENT*.pdf")</f>
        <v>0</v>
      </c>
      <c r="L22" s="94">
        <f ca="1">GetFileList("P:\TP et Raccodement\FICHES CREES RACCORDEMENT\2 - SAV + COMPL + PASSAGE W XV A SAISIR DANS AX\21-07-2019\*REPRISE*.pdf")</f>
        <v>0</v>
      </c>
      <c r="M22" s="95">
        <f ca="1">GetFileList("P:\TP et Raccodement\FICHES CREES RACCORDEMENT\2 - SAV + COMPL + PASSAGE W XV A SAISIR DANS AX\21-07-2019\*REMONTAGE*.pdf")</f>
        <v>0</v>
      </c>
      <c r="N22" s="61"/>
      <c r="O22" s="73">
        <f t="shared" ca="1" si="1"/>
        <v>0</v>
      </c>
    </row>
    <row r="23" spans="1:15" ht="16.5" x14ac:dyDescent="0.3">
      <c r="A23" s="59">
        <v>43668</v>
      </c>
      <c r="B23" s="74">
        <f t="shared" ca="1" si="0"/>
        <v>0</v>
      </c>
      <c r="C23" s="67">
        <f ca="1">GetFileList("P:\TP et Raccodement\FICHES CREES RACCORDEMENT\1 - RACCOS A SAISIR DANS AX\22-07-2019\*LM RACCO*.pdf")</f>
        <v>0</v>
      </c>
      <c r="D23" s="67">
        <f ca="1">GetFileList("P:\TP et Raccodement\FICHES CREES RACCORDEMENT\1 - RACCOS A SAISIR DANS AX\22-07-2019\*LR RACCO*.pdf")</f>
        <v>0</v>
      </c>
      <c r="E23" s="68">
        <f ca="1">GetFileList("P:\TP et Raccodement\FICHES CREES RACCORDEMENT\1 - RACCOS A SAISIR DANS AX\22-07-2019\*CL RACCO*.pdf")</f>
        <v>0</v>
      </c>
      <c r="F23" s="75">
        <f t="shared" ca="1" si="2"/>
        <v>0</v>
      </c>
      <c r="G23" s="67">
        <f ca="1">GetFileList("P:\TP et Raccodement\FICHES CREES RACCORDEMENT\2 - SAV + COMPL + PASSAGE W XV A SAISIR DANS AX\22-07-2019\*LM PASS*.pdf")</f>
        <v>0</v>
      </c>
      <c r="H23" s="67">
        <f ca="1">GetFileList("P:\TP et Raccodement\FICHES CREES RACCORDEMENT\2 - SAV + COMPL + PASSAGE W XV A SAISIR DANS AX\22-07-2019\*LR PASS*.pdf")</f>
        <v>0</v>
      </c>
      <c r="I23" s="68">
        <f ca="1">GetFileList("P:\TP et Raccodement\FICHES CREES RACCORDEMENT\2 - SAV + COMPL + PASSAGE W XV A SAISIR DANS AX\22-07-2019\*CL PASS*.pdf")</f>
        <v>0</v>
      </c>
      <c r="J23" s="76">
        <f ca="1">GetFileList("P:\TP et Raccodement\FICHES CREES RACCORDEMENT\2 - SAV + COMPL + PASSAGE W XV A SAISIR DANS AX\22-07-2019\*SAV*.pdf")</f>
        <v>0</v>
      </c>
      <c r="K23" s="77">
        <f ca="1">GetFileList("P:\TP et Raccodement\FICHES CREES RACCORDEMENT\2 - SAV + COMPL + PASSAGE W XV A SAISIR DANS AX\22-07-2019\*COMPLEMENT*.pdf")</f>
        <v>0</v>
      </c>
      <c r="L23" s="77">
        <f ca="1">GetFileList("P:\TP et Raccodement\FICHES CREES RACCORDEMENT\2 - SAV + COMPL + PASSAGE W XV A SAISIR DANS AX\22-07-2019\*REPRISE*.pdf")</f>
        <v>0</v>
      </c>
      <c r="M23" s="78">
        <f ca="1">GetFileList("P:\TP et Raccodement\FICHES CREES RACCORDEMENT\2 - SAV + COMPL + PASSAGE W XV A SAISIR DANS AX\22-07-2019\*REMONTAGE*.pdf")</f>
        <v>0</v>
      </c>
      <c r="N23" s="61"/>
      <c r="O23" s="73">
        <f t="shared" ca="1" si="1"/>
        <v>0</v>
      </c>
    </row>
    <row r="24" spans="1:15" ht="16.5" x14ac:dyDescent="0.3">
      <c r="A24" s="59">
        <v>43669</v>
      </c>
      <c r="B24" s="74">
        <f t="shared" ca="1" si="0"/>
        <v>0</v>
      </c>
      <c r="C24" s="67">
        <f ca="1">GetFileList("P:\TP et Raccodement\FICHES CREES RACCORDEMENT\1 - RACCOS A SAISIR DANS AX\23-07-2019\*LM RACCO*.pdf")</f>
        <v>0</v>
      </c>
      <c r="D24" s="67">
        <f ca="1">GetFileList("P:\TP et Raccodement\FICHES CREES RACCORDEMENT\1 - RACCOS A SAISIR DANS AX\23-07-2019\*LR RACCO*.pdf")</f>
        <v>0</v>
      </c>
      <c r="E24" s="68">
        <f ca="1">GetFileList("P:\TP et Raccodement\FICHES CREES RACCORDEMENT\1 - RACCOS A SAISIR DANS AX\23-07-2019\*CL RACCO*.pdf")</f>
        <v>0</v>
      </c>
      <c r="F24" s="75">
        <f t="shared" ca="1" si="2"/>
        <v>0</v>
      </c>
      <c r="G24" s="67">
        <f ca="1">GetFileList("P:\TP et Raccodement\FICHES CREES RACCORDEMENT\2 - SAV + COMPL + PASSAGE W XV A SAISIR DANS AX\23-07-2019\*LM PASS*.pdf")</f>
        <v>0</v>
      </c>
      <c r="H24" s="67">
        <f ca="1">GetFileList("P:\TP et Raccodement\FICHES CREES RACCORDEMENT\2 - SAV + COMPL + PASSAGE W XV A SAISIR DANS AX\23-07-2019\*LR PASS*.pdf")</f>
        <v>0</v>
      </c>
      <c r="I24" s="68">
        <f ca="1">GetFileList("P:\TP et Raccodement\FICHES CREES RACCORDEMENT\2 - SAV + COMPL + PASSAGE W XV A SAISIR DANS AX\23-07-2019\*CL PASS*.pdf")</f>
        <v>0</v>
      </c>
      <c r="J24" s="76">
        <f ca="1">GetFileList("P:\TP et Raccodement\FICHES CREES RACCORDEMENT\2 - SAV + COMPL + PASSAGE W XV A SAISIR DANS AX\23-07-2019\*SAV*.pdf")</f>
        <v>0</v>
      </c>
      <c r="K24" s="77">
        <f ca="1">GetFileList("P:\TP et Raccodement\FICHES CREES RACCORDEMENT\2 - SAV + COMPL + PASSAGE W XV A SAISIR DANS AX\23-07-2019\*COMPLEMENT*.pdf")</f>
        <v>0</v>
      </c>
      <c r="L24" s="77">
        <f ca="1">GetFileList("P:\TP et Raccodement\FICHES CREES RACCORDEMENT\2 - SAV + COMPL + PASSAGE W XV A SAISIR DANS AX\23-07-2019\*REPRISE*.pdf")</f>
        <v>0</v>
      </c>
      <c r="M24" s="78">
        <f ca="1">GetFileList("P:\TP et Raccodement\FICHES CREES RACCORDEMENT\2 - SAV + COMPL + PASSAGE W XV A SAISIR DANS AX\23-07-2019\*REMONTAGE*.pdf")</f>
        <v>0</v>
      </c>
      <c r="N24" s="61"/>
      <c r="O24" s="73">
        <f t="shared" ca="1" si="1"/>
        <v>0</v>
      </c>
    </row>
    <row r="25" spans="1:15" ht="16.5" x14ac:dyDescent="0.3">
      <c r="A25" s="59">
        <v>43670</v>
      </c>
      <c r="B25" s="74">
        <f t="shared" ca="1" si="0"/>
        <v>0</v>
      </c>
      <c r="C25" s="67">
        <f ca="1">GetFileList("P:\TP et Raccodement\FICHES CREES RACCORDEMENT\1 - RACCOS A SAISIR DANS AX\24-07-2019\*LM RACCO*.pdf")</f>
        <v>0</v>
      </c>
      <c r="D25" s="67">
        <f ca="1">GetFileList("P:\TP et Raccodement\FICHES CREES RACCORDEMENT\1 - RACCOS A SAISIR DANS AX\24-07-2019\*LR RACCO*.pdf")</f>
        <v>0</v>
      </c>
      <c r="E25" s="68">
        <f ca="1">GetFileList("P:\TP et Raccodement\FICHES CREES RACCORDEMENT\1 - RACCOS A SAISIR DANS AX\24-07-2019\*CL RACCO*.pdf")</f>
        <v>0</v>
      </c>
      <c r="F25" s="75">
        <f t="shared" ca="1" si="2"/>
        <v>0</v>
      </c>
      <c r="G25" s="67">
        <f ca="1">GetFileList("P:\TP et Raccodement\FICHES CREES RACCORDEMENT\2 - SAV + COMPL + PASSAGE W XV A SAISIR DANS AX\24-07-2019\*LM PASS*.pdf")</f>
        <v>0</v>
      </c>
      <c r="H25" s="67">
        <f ca="1">GetFileList("P:\TP et Raccodement\FICHES CREES RACCORDEMENT\2 - SAV + COMPL + PASSAGE W XV A SAISIR DANS AX\24-07-2019\*LR PASS*.pdf")</f>
        <v>0</v>
      </c>
      <c r="I25" s="68">
        <f ca="1">GetFileList("P:\TP et Raccodement\FICHES CREES RACCORDEMENT\2 - SAV + COMPL + PASSAGE W XV A SAISIR DANS AX\24-07-2019\*CL PASS*.pdf")</f>
        <v>0</v>
      </c>
      <c r="J25" s="76">
        <f ca="1">GetFileList("P:\TP et Raccodement\FICHES CREES RACCORDEMENT\2 - SAV + COMPL + PASSAGE W XV A SAISIR DANS AX\24-07-2019\*SAV*.pdf")</f>
        <v>0</v>
      </c>
      <c r="K25" s="77">
        <f ca="1">GetFileList("P:\TP et Raccodement\FICHES CREES RACCORDEMENT\2 - SAV + COMPL + PASSAGE W XV A SAISIR DANS AX\24-07-2019\*COMPLEMENT*.pdf")</f>
        <v>0</v>
      </c>
      <c r="L25" s="77">
        <f ca="1">GetFileList("P:\TP et Raccodement\FICHES CREES RACCORDEMENT\2 - SAV + COMPL + PASSAGE W XV A SAISIR DANS AX\24-07-2019\*REPRISE*.pdf")</f>
        <v>0</v>
      </c>
      <c r="M25" s="78">
        <f ca="1">GetFileList("P:\TP et Raccodement\FICHES CREES RACCORDEMENT\2 - SAV + COMPL + PASSAGE W XV A SAISIR DANS AX\24-07-2019\*REMONTAGE*.pdf")</f>
        <v>0</v>
      </c>
      <c r="N25" s="61"/>
      <c r="O25" s="73">
        <f t="shared" ca="1" si="1"/>
        <v>0</v>
      </c>
    </row>
    <row r="26" spans="1:15" ht="16.5" x14ac:dyDescent="0.3">
      <c r="A26" s="59">
        <v>43671</v>
      </c>
      <c r="B26" s="74">
        <f t="shared" ca="1" si="0"/>
        <v>0</v>
      </c>
      <c r="C26" s="67">
        <f ca="1">GetFileList("P:\TP et Raccodement\FICHES CREES RACCORDEMENT\1 - RACCOS A SAISIR DANS AX\25-07-2019\*LM RACCO*.pdf")</f>
        <v>0</v>
      </c>
      <c r="D26" s="67">
        <f ca="1">GetFileList("P:\TP et Raccodement\FICHES CREES RACCORDEMENT\1 - RACCOS A SAISIR DANS AX\25-07-2019\*LR RACCO*.pdf")</f>
        <v>0</v>
      </c>
      <c r="E26" s="68">
        <f ca="1">GetFileList("P:\TP et Raccodement\FICHES CREES RACCORDEMENT\1 - RACCOS A SAISIR DANS AX\25-07-2019\*CL RACCO*.pdf")</f>
        <v>0</v>
      </c>
      <c r="F26" s="75">
        <f t="shared" ca="1" si="2"/>
        <v>0</v>
      </c>
      <c r="G26" s="67">
        <f ca="1">GetFileList("P:\TP et Raccodement\FICHES CREES RACCORDEMENT\2 - SAV + COMPL + PASSAGE W XV A SAISIR DANS AX\25-07-2019\*LM PASS*.pdf")</f>
        <v>0</v>
      </c>
      <c r="H26" s="67">
        <f ca="1">GetFileList("P:\TP et Raccodement\FICHES CREES RACCORDEMENT\2 - SAV + COMPL + PASSAGE W XV A SAISIR DANS AX\25-07-2019\*LR PASS*.pdf")</f>
        <v>0</v>
      </c>
      <c r="I26" s="68">
        <f ca="1">GetFileList("P:\TP et Raccodement\FICHES CREES RACCORDEMENT\2 - SAV + COMPL + PASSAGE W XV A SAISIR DANS AX\25-07-2019\*CL PASS*.pdf")</f>
        <v>0</v>
      </c>
      <c r="J26" s="76">
        <f ca="1">GetFileList("P:\TP et Raccodement\FICHES CREES RACCORDEMENT\2 - SAV + COMPL + PASSAGE W XV A SAISIR DANS AX\25-07-2019\*SAV*.pdf")</f>
        <v>0</v>
      </c>
      <c r="K26" s="77">
        <f ca="1">GetFileList("P:\TP et Raccodement\FICHES CREES RACCORDEMENT\2 - SAV + COMPL + PASSAGE W XV A SAISIR DANS AX\25-07-2019\*COMPLEMENT*.pdf")</f>
        <v>0</v>
      </c>
      <c r="L26" s="77">
        <f ca="1">GetFileList("P:\TP et Raccodement\FICHES CREES RACCORDEMENT\2 - SAV + COMPL + PASSAGE W XV A SAISIR DANS AX\25-07-2019\*REPRISE*.pdf")</f>
        <v>0</v>
      </c>
      <c r="M26" s="78">
        <f ca="1">GetFileList("P:\TP et Raccodement\FICHES CREES RACCORDEMENT\2 - SAV + COMPL + PASSAGE W XV A SAISIR DANS AX\25-07-2019\*REMONTAGE*.pdf")</f>
        <v>0</v>
      </c>
      <c r="N26" s="61"/>
      <c r="O26" s="73">
        <f t="shared" ca="1" si="1"/>
        <v>0</v>
      </c>
    </row>
    <row r="27" spans="1:15" ht="16.5" x14ac:dyDescent="0.3">
      <c r="A27" s="59">
        <v>43672</v>
      </c>
      <c r="B27" s="74">
        <f t="shared" ca="1" si="0"/>
        <v>0</v>
      </c>
      <c r="C27" s="67">
        <f ca="1">GetFileList("P:\TP et Raccodement\FICHES CREES RACCORDEMENT\1 - RACCOS A SAISIR DANS AX\26-07-2019\*LM RACCO*.pdf")</f>
        <v>0</v>
      </c>
      <c r="D27" s="67">
        <f ca="1">GetFileList("P:\TP et Raccodement\FICHES CREES RACCORDEMENT\1 - RACCOS A SAISIR DANS AX\26-07-2019\*LR RACCO*.pdf")</f>
        <v>0</v>
      </c>
      <c r="E27" s="68">
        <f ca="1">GetFileList("P:\TP et Raccodement\FICHES CREES RACCORDEMENT\1 - RACCOS A SAISIR DANS AX\26-07-2019\*CL RACCO*.pdf")</f>
        <v>0</v>
      </c>
      <c r="F27" s="75">
        <f t="shared" ca="1" si="2"/>
        <v>0</v>
      </c>
      <c r="G27" s="67">
        <f ca="1">GetFileList("P:\TP et Raccodement\FICHES CREES RACCORDEMENT\2 - SAV + COMPL + PASSAGE W XV A SAISIR DANS AX\26-07-2019\*LM PASS*.pdf")</f>
        <v>0</v>
      </c>
      <c r="H27" s="67">
        <f ca="1">GetFileList("P:\TP et Raccodement\FICHES CREES RACCORDEMENT\2 - SAV + COMPL + PASSAGE W XV A SAISIR DANS AX\26-07-2019\*LR PASS*.pdf")</f>
        <v>0</v>
      </c>
      <c r="I27" s="68">
        <f ca="1">GetFileList("P:\TP et Raccodement\FICHES CREES RACCORDEMENT\2 - SAV + COMPL + PASSAGE W XV A SAISIR DANS AX\26-07-2019\*CL PASS*.pdf")</f>
        <v>0</v>
      </c>
      <c r="J27" s="76">
        <f ca="1">GetFileList("P:\TP et Raccodement\FICHES CREES RACCORDEMENT\2 - SAV + COMPL + PASSAGE W XV A SAISIR DANS AX\26-07-2019\*SAV*.pdf")</f>
        <v>0</v>
      </c>
      <c r="K27" s="77">
        <f ca="1">GetFileList("P:\TP et Raccodement\FICHES CREES RACCORDEMENT\2 - SAV + COMPL + PASSAGE W XV A SAISIR DANS AX\26-07-2019\*COMPLEMENT*.pdf")</f>
        <v>0</v>
      </c>
      <c r="L27" s="77">
        <f ca="1">GetFileList("P:\TP et Raccodement\FICHES CREES RACCORDEMENT\2 - SAV + COMPL + PASSAGE W XV A SAISIR DANS AX\26-07-2019\*REPRISE*.pdf")</f>
        <v>0</v>
      </c>
      <c r="M27" s="78">
        <f ca="1">GetFileList("P:\TP et Raccodement\FICHES CREES RACCORDEMENT\2 - SAV + COMPL + PASSAGE W XV A SAISIR DANS AX\26-07-2019\*REMONTAGE*.pdf")</f>
        <v>0</v>
      </c>
      <c r="N27" s="61"/>
      <c r="O27" s="73">
        <f t="shared" ca="1" si="1"/>
        <v>0</v>
      </c>
    </row>
    <row r="28" spans="1:15" ht="16.5" x14ac:dyDescent="0.3">
      <c r="A28" s="59">
        <v>43673</v>
      </c>
      <c r="B28" s="74">
        <f t="shared" ca="1" si="0"/>
        <v>0</v>
      </c>
      <c r="C28" s="67">
        <f ca="1">GetFileList("P:\TP et Raccodement\FICHES CREES RACCORDEMENT\1 - RACCOS A SAISIR DANS AX\27-07-2019\*LM RACCO*.pdf")</f>
        <v>0</v>
      </c>
      <c r="D28" s="67">
        <f ca="1">GetFileList("P:\TP et Raccodement\FICHES CREES RACCORDEMENT\1 - RACCOS A SAISIR DANS AX\27-07-2019\*LR RACCO*.pdf")</f>
        <v>0</v>
      </c>
      <c r="E28" s="68">
        <f ca="1">GetFileList("P:\TP et Raccodement\FICHES CREES RACCORDEMENT\1 - RACCOS A SAISIR DANS AX\27-07-2019\*CL RACCO*.pdf")</f>
        <v>0</v>
      </c>
      <c r="F28" s="75">
        <f t="shared" ca="1" si="2"/>
        <v>0</v>
      </c>
      <c r="G28" s="67">
        <f ca="1">GetFileList("P:\TP et Raccodement\FICHES CREES RACCORDEMENT\2 - SAV + COMPL + PASSAGE W XV A SAISIR DANS AX\27-07-2019\*LM PASS*.pdf")</f>
        <v>0</v>
      </c>
      <c r="H28" s="67">
        <f ca="1">GetFileList("P:\TP et Raccodement\FICHES CREES RACCORDEMENT\2 - SAV + COMPL + PASSAGE W XV A SAISIR DANS AX\27-07-2019\*LR PASS*.pdf")</f>
        <v>0</v>
      </c>
      <c r="I28" s="68">
        <f ca="1">GetFileList("P:\TP et Raccodement\FICHES CREES RACCORDEMENT\2 - SAV + COMPL + PASSAGE W XV A SAISIR DANS AX\27-07-2019\*CL PASS*.pdf")</f>
        <v>0</v>
      </c>
      <c r="J28" s="76">
        <f ca="1">GetFileList("P:\TP et Raccodement\FICHES CREES RACCORDEMENT\2 - SAV + COMPL + PASSAGE W XV A SAISIR DANS AX\27-07-2019\*SAV*.pdf")</f>
        <v>0</v>
      </c>
      <c r="K28" s="77">
        <f ca="1">GetFileList("P:\TP et Raccodement\FICHES CREES RACCORDEMENT\2 - SAV + COMPL + PASSAGE W XV A SAISIR DANS AX\27-07-2019\*COMPLEMENT*.pdf")</f>
        <v>0</v>
      </c>
      <c r="L28" s="77">
        <f ca="1">GetFileList("P:\TP et Raccodement\FICHES CREES RACCORDEMENT\2 - SAV + COMPL + PASSAGE W XV A SAISIR DANS AX\27-07-2019\*REPRISE*.pdf")</f>
        <v>0</v>
      </c>
      <c r="M28" s="78">
        <f ca="1">GetFileList("P:\TP et Raccodement\FICHES CREES RACCORDEMENT\2 - SAV + COMPL + PASSAGE W XV A SAISIR DANS AX\27-07-2019\*REMONTAGE*.pdf")</f>
        <v>0</v>
      </c>
      <c r="N28" s="61"/>
      <c r="O28" s="73">
        <f t="shared" ca="1" si="1"/>
        <v>0</v>
      </c>
    </row>
    <row r="29" spans="1:15" ht="16.5" x14ac:dyDescent="0.3">
      <c r="A29" s="88">
        <v>43674</v>
      </c>
      <c r="B29" s="89">
        <f t="shared" ca="1" si="0"/>
        <v>0</v>
      </c>
      <c r="C29" s="90">
        <f ca="1">GetFileList("P:\TP et Raccodement\FICHES CREES RACCORDEMENT\1 - RACCOS A SAISIR DANS AX\28-07-2019\*LM RACCO*.pdf")</f>
        <v>0</v>
      </c>
      <c r="D29" s="90">
        <f ca="1">GetFileList("P:\TP et Raccodement\FICHES CREES RACCORDEMENT\1 - RACCOS A SAISIR DANS AX\28-07-2019\*LR RACCO*.pdf")</f>
        <v>0</v>
      </c>
      <c r="E29" s="91">
        <f ca="1">GetFileList("P:\TP et Raccodement\FICHES CREES RACCORDEMENT\1 - RACCOS A SAISIR DANS AX\28-07-2019\*CL RACCO*.pdf")</f>
        <v>0</v>
      </c>
      <c r="F29" s="92">
        <f t="shared" ca="1" si="2"/>
        <v>0</v>
      </c>
      <c r="G29" s="90">
        <f ca="1">GetFileList("P:\TP et Raccodement\FICHES CREES RACCORDEMENT\2 - SAV + COMPL + PASSAGE W XV A SAISIR DANS AX\28-07-2019\*LM PASS*.pdf")</f>
        <v>0</v>
      </c>
      <c r="H29" s="90">
        <f ca="1">GetFileList("P:\TP et Raccodement\FICHES CREES RACCORDEMENT\2 - SAV + COMPL + PASSAGE W XV A SAISIR DANS AX\28-07-2019\*LR PASS*.pdf")</f>
        <v>0</v>
      </c>
      <c r="I29" s="91">
        <f ca="1">GetFileList("P:\TP et Raccodement\FICHES CREES RACCORDEMENT\2 - SAV + COMPL + PASSAGE W XV A SAISIR DANS AX\28-07-2019\*CL PASS*.pdf")</f>
        <v>0</v>
      </c>
      <c r="J29" s="93">
        <f ca="1">GetFileList("P:\TP et Raccodement\FICHES CREES RACCORDEMENT\2 - SAV + COMPL + PASSAGE W XV A SAISIR DANS AX\28-07-2019\*SAV*.pdf")</f>
        <v>0</v>
      </c>
      <c r="K29" s="94">
        <f ca="1">GetFileList("P:\TP et Raccodement\FICHES CREES RACCORDEMENT\2 - SAV + COMPL + PASSAGE W XV A SAISIR DANS AX\28-07-2019\*COMPLEMENT*.pdf")</f>
        <v>0</v>
      </c>
      <c r="L29" s="94">
        <f ca="1">GetFileList("P:\TP et Raccodement\FICHES CREES RACCORDEMENT\2 - SAV + COMPL + PASSAGE W XV A SAISIR DANS AX\28-07-2019\*REPRISE*.pdf")</f>
        <v>0</v>
      </c>
      <c r="M29" s="95">
        <f ca="1">GetFileList("P:\TP et Raccodement\FICHES CREES RACCORDEMENT\2 - SAV + COMPL + PASSAGE W XV A SAISIR DANS AX\28-07-2019\*REMONTAGE*.pdf")</f>
        <v>0</v>
      </c>
      <c r="N29" s="61"/>
      <c r="O29" s="73">
        <f t="shared" ca="1" si="1"/>
        <v>0</v>
      </c>
    </row>
    <row r="30" spans="1:15" ht="16.5" x14ac:dyDescent="0.3">
      <c r="A30" s="59">
        <v>43675</v>
      </c>
      <c r="B30" s="74">
        <f t="shared" ca="1" si="0"/>
        <v>0</v>
      </c>
      <c r="C30" s="67">
        <f ca="1">GetFileList("P:\TP et Raccodement\FICHES CREES RACCORDEMENT\1 - RACCOS A SAISIR DANS AX\29-07-2019\*LM RACCO*.pdf")</f>
        <v>0</v>
      </c>
      <c r="D30" s="67">
        <f ca="1">GetFileList("P:\TP et Raccodement\FICHES CREES RACCORDEMENT\1 - RACCOS A SAISIR DANS AX\29-07-2019\*LR RACCO*.pdf")</f>
        <v>0</v>
      </c>
      <c r="E30" s="68">
        <f ca="1">GetFileList("P:\TP et Raccodement\FICHES CREES RACCORDEMENT\1 - RACCOS A SAISIR DANS AX\29-07-2019\*CL RACCO*.pdf")</f>
        <v>0</v>
      </c>
      <c r="F30" s="75">
        <f t="shared" ca="1" si="2"/>
        <v>0</v>
      </c>
      <c r="G30" s="67">
        <f ca="1">GetFileList("P:\TP et Raccodement\FICHES CREES RACCORDEMENT\2 - SAV + COMPL + PASSAGE W XV A SAISIR DANS AX\29-07-2019\*LM PASS*.pdf")</f>
        <v>0</v>
      </c>
      <c r="H30" s="67">
        <f ca="1">GetFileList("P:\TP et Raccodement\FICHES CREES RACCORDEMENT\2 - SAV + COMPL + PASSAGE W XV A SAISIR DANS AX\29-07-2019\*LR PASS*.pdf")</f>
        <v>0</v>
      </c>
      <c r="I30" s="68">
        <f ca="1">GetFileList("P:\TP et Raccodement\FICHES CREES RACCORDEMENT\2 - SAV + COMPL + PASSAGE W XV A SAISIR DANS AX\29-07-2019\*CL PASS*.pdf")</f>
        <v>0</v>
      </c>
      <c r="J30" s="76">
        <f ca="1">GetFileList("P:\TP et Raccodement\FICHES CREES RACCORDEMENT\2 - SAV + COMPL + PASSAGE W XV A SAISIR DANS AX\29-07-2019\*SAV*.pdf")</f>
        <v>0</v>
      </c>
      <c r="K30" s="77">
        <f ca="1">GetFileList("P:\TP et Raccodement\FICHES CREES RACCORDEMENT\2 - SAV + COMPL + PASSAGE W XV A SAISIR DANS AX\29-07-2019\*COMPLEMENT*.pdf")</f>
        <v>0</v>
      </c>
      <c r="L30" s="77">
        <f ca="1">GetFileList("P:\TP et Raccodement\FICHES CREES RACCORDEMENT\2 - SAV + COMPL + PASSAGE W XV A SAISIR DANS AX\29-07-2019\*REPRISE*.pdf")</f>
        <v>0</v>
      </c>
      <c r="M30" s="78">
        <f ca="1">GetFileList("P:\TP et Raccodement\FICHES CREES RACCORDEMENT\2 - SAV + COMPL + PASSAGE W XV A SAISIR DANS AX\29-07-2019\*REMONTAGE*.pdf")</f>
        <v>0</v>
      </c>
      <c r="N30" s="61"/>
      <c r="O30" s="73">
        <f t="shared" ca="1" si="1"/>
        <v>0</v>
      </c>
    </row>
    <row r="31" spans="1:15" ht="16.5" x14ac:dyDescent="0.3">
      <c r="A31" s="59">
        <v>43676</v>
      </c>
      <c r="B31" s="74">
        <f t="shared" ca="1" si="0"/>
        <v>0</v>
      </c>
      <c r="C31" s="67">
        <f ca="1">GetFileList("P:\TP et Raccodement\FICHES CREES RACCORDEMENT\1 - RACCOS A SAISIR DANS AX\30-07-2019\*LM RACCO*.pdf")</f>
        <v>0</v>
      </c>
      <c r="D31" s="67">
        <f ca="1">GetFileList("P:\TP et Raccodement\FICHES CREES RACCORDEMENT\1 - RACCOS A SAISIR DANS AX\30-07-2019\*LR RACCO*.pdf")</f>
        <v>0</v>
      </c>
      <c r="E31" s="68">
        <f ca="1">GetFileList("P:\TP et Raccodement\FICHES CREES RACCORDEMENT\1 - RACCOS A SAISIR DANS AX\30-07-2019\*CL RACCO*.pdf")</f>
        <v>0</v>
      </c>
      <c r="F31" s="75">
        <f t="shared" ca="1" si="2"/>
        <v>0</v>
      </c>
      <c r="G31" s="67">
        <f ca="1">GetFileList("P:\TP et Raccodement\FICHES CREES RACCORDEMENT\2 - SAV + COMPL + PASSAGE W XV A SAISIR DANS AX\30-07-2019\*LM PASS*.pdf")</f>
        <v>0</v>
      </c>
      <c r="H31" s="67">
        <f ca="1">GetFileList("P:\TP et Raccodement\FICHES CREES RACCORDEMENT\2 - SAV + COMPL + PASSAGE W XV A SAISIR DANS AX\30-07-2019\*LR PASS*.pdf")</f>
        <v>0</v>
      </c>
      <c r="I31" s="68">
        <f ca="1">GetFileList("P:\TP et Raccodement\FICHES CREES RACCORDEMENT\2 - SAV + COMPL + PASSAGE W XV A SAISIR DANS AX\30-07-2019\*CL PASS*.pdf")</f>
        <v>0</v>
      </c>
      <c r="J31" s="76">
        <f ca="1">GetFileList("P:\TP et Raccodement\FICHES CREES RACCORDEMENT\2 - SAV + COMPL + PASSAGE W XV A SAISIR DANS AX\30-07-2019\*SAV*.pdf")</f>
        <v>0</v>
      </c>
      <c r="K31" s="77">
        <f ca="1">GetFileList("P:\TP et Raccodement\FICHES CREES RACCORDEMENT\2 - SAV + COMPL + PASSAGE W XV A SAISIR DANS AX\30-07-2019\*COMPLEMENT*.pdf")</f>
        <v>0</v>
      </c>
      <c r="L31" s="77">
        <f ca="1">GetFileList("P:\TP et Raccodement\FICHES CREES RACCORDEMENT\2 - SAV + COMPL + PASSAGE W XV A SAISIR DANS AX\30-07-2019\*REPRISE*.pdf")</f>
        <v>0</v>
      </c>
      <c r="M31" s="78">
        <f ca="1">GetFileList("P:\TP et Raccodement\FICHES CREES RACCORDEMENT\2 - SAV + COMPL + PASSAGE W XV A SAISIR DANS AX\30-07-2019\*REMONTAGE*.pdf")</f>
        <v>0</v>
      </c>
      <c r="N31" s="61"/>
      <c r="O31" s="73">
        <f t="shared" ca="1" si="1"/>
        <v>0</v>
      </c>
    </row>
    <row r="32" spans="1:15" ht="17.25" thickBot="1" x14ac:dyDescent="0.35">
      <c r="A32" s="59">
        <v>43677</v>
      </c>
      <c r="B32" s="74">
        <f t="shared" ca="1" si="0"/>
        <v>0</v>
      </c>
      <c r="C32" s="67">
        <f ca="1">GetFileList("P:\TP et Raccodement\FICHES CREES RACCORDEMENT\1 - RACCOS A SAISIR DANS AX\31-07-2019\*LM RACCO*.pdf")</f>
        <v>0</v>
      </c>
      <c r="D32" s="67">
        <f ca="1">GetFileList("P:\TP et Raccodement\FICHES CREES RACCORDEMENT\1 - RACCOS A SAISIR DANS AX\31-07-2019\*LR RACCO*.pdf")</f>
        <v>0</v>
      </c>
      <c r="E32" s="68">
        <f ca="1">GetFileList("P:\TP et Raccodement\FICHES CREES RACCORDEMENT\1 - RACCOS A SAISIR DANS AX\31-07-2019\*CL RACCO*.pdf")</f>
        <v>0</v>
      </c>
      <c r="F32" s="75">
        <f t="shared" ca="1" si="2"/>
        <v>0</v>
      </c>
      <c r="G32" s="67">
        <f ca="1">GetFileList("P:\TP et Raccodement\FICHES CREES RACCORDEMENT\2 - SAV + COMPL + PASSAGE W XV A SAISIR DANS AX\31-07-2019\*LM PASS*.pdf")</f>
        <v>0</v>
      </c>
      <c r="H32" s="67">
        <f ca="1">GetFileList("P:\TP et Raccodement\FICHES CREES RACCORDEMENT\2 - SAV + COMPL + PASSAGE W XV A SAISIR DANS AX\31-07-2019\*LR PASS*.pdf")</f>
        <v>0</v>
      </c>
      <c r="I32" s="68">
        <f ca="1">GetFileList("P:\TP et Raccodement\FICHES CREES RACCORDEMENT\2 - SAV + COMPL + PASSAGE W XV A SAISIR DANS AX\31-07-2019\*CL PASS*.pdf")</f>
        <v>0</v>
      </c>
      <c r="J32" s="79">
        <f ca="1">GetFileList("P:\TP et Raccodement\FICHES CREES RACCORDEMENT\2 - SAV + COMPL + PASSAGE W XV A SAISIR DANS AX\31-07-2019\*SAV*.pdf")</f>
        <v>0</v>
      </c>
      <c r="K32" s="80">
        <f ca="1">GetFileList("P:\TP et Raccodement\FICHES CREES RACCORDEMENT\2 - SAV + COMPL + PASSAGE W XV A SAISIR DANS AX\31-07-2019\*COMPLEMENT*.pdf")</f>
        <v>0</v>
      </c>
      <c r="L32" s="80">
        <f ca="1">GetFileList("P:\TP et Raccodement\FICHES CREES RACCORDEMENT\2 - SAV + COMPL + PASSAGE W XV A SAISIR DANS AX\31-07-2019\*REPRISE*.pdf")</f>
        <v>0</v>
      </c>
      <c r="M32" s="81">
        <f ca="1">GetFileList("P:\TP et Raccodement\FICHES CREES RACCORDEMENT\2 - SAV + COMPL + PASSAGE W XV A SAISIR DANS AX\31-07-2019\*REMONTAGE*.pdf")</f>
        <v>0</v>
      </c>
      <c r="N32" s="61"/>
      <c r="O32" s="73">
        <f t="shared" ca="1" si="1"/>
        <v>0</v>
      </c>
    </row>
    <row r="33" spans="1:15" ht="18" thickBot="1" x14ac:dyDescent="0.35">
      <c r="A33" s="136" t="s">
        <v>10</v>
      </c>
      <c r="B33" s="132">
        <f ca="1">SUM(B2:B32)</f>
        <v>0</v>
      </c>
      <c r="C33" s="133">
        <f t="shared" ref="C33:D33" ca="1" si="3">SUM(C2:C32)</f>
        <v>0</v>
      </c>
      <c r="D33" s="133">
        <f t="shared" ca="1" si="3"/>
        <v>0</v>
      </c>
      <c r="E33" s="134">
        <f ca="1">SUM(E2:E32)</f>
        <v>0</v>
      </c>
      <c r="F33" s="69">
        <f ca="1">SUM(F2:F32)</f>
        <v>0</v>
      </c>
      <c r="G33" s="70">
        <f t="shared" ref="G33:I33" ca="1" si="4">SUM(G2:G32)</f>
        <v>0</v>
      </c>
      <c r="H33" s="70">
        <f t="shared" ca="1" si="4"/>
        <v>0</v>
      </c>
      <c r="I33" s="86">
        <f t="shared" ca="1" si="4"/>
        <v>0</v>
      </c>
      <c r="J33" s="87">
        <f ca="1">SUM(J2:J32)</f>
        <v>0</v>
      </c>
      <c r="K33" s="82">
        <f t="shared" ref="K33:M33" ca="1" si="5">SUM(K2:K32)</f>
        <v>0</v>
      </c>
      <c r="L33" s="82">
        <f t="shared" ca="1" si="5"/>
        <v>0</v>
      </c>
      <c r="M33" s="83">
        <f t="shared" ca="1" si="5"/>
        <v>0</v>
      </c>
      <c r="N33" s="62"/>
      <c r="O33" s="72">
        <f ca="1">SUM(O2:O32)</f>
        <v>0</v>
      </c>
    </row>
  </sheetData>
  <conditionalFormatting sqref="B2:B32">
    <cfRule type="dataBar" priority="5">
      <dataBar>
        <cfvo type="min"/>
        <cfvo type="max"/>
        <color rgb="FF41A964"/>
      </dataBar>
      <extLst>
        <ext xmlns:x14="http://schemas.microsoft.com/office/spreadsheetml/2009/9/main" uri="{B025F937-C7B1-47D3-B67F-A62EFF666E3E}">
          <x14:id>{F50A2491-75FB-468A-9B27-2F45959A409B}</x14:id>
        </ext>
      </extLst>
    </cfRule>
  </conditionalFormatting>
  <conditionalFormatting sqref="B2:B6 B9:B13 B16:B20 B23:B27 B30:B32">
    <cfRule type="iconSet" priority="4">
      <iconSet iconSet="3Flags">
        <cfvo type="percent" val="0"/>
        <cfvo type="percent" val="33"/>
        <cfvo type="percent" val="67"/>
      </iconSet>
    </cfRule>
  </conditionalFormatting>
  <conditionalFormatting sqref="F2:F32">
    <cfRule type="dataBar" priority="3">
      <dataBar>
        <cfvo type="min"/>
        <cfvo type="max"/>
        <color rgb="FF53BD76"/>
      </dataBar>
      <extLst>
        <ext xmlns:x14="http://schemas.microsoft.com/office/spreadsheetml/2009/9/main" uri="{B025F937-C7B1-47D3-B67F-A62EFF666E3E}">
          <x14:id>{432689C9-40C2-41CD-B005-E76B5AFEA3D0}</x14:id>
        </ext>
      </extLst>
    </cfRule>
  </conditionalFormatting>
  <conditionalFormatting sqref="F2:F6 F9:F13 F16:F20 F23:F27 F30:F32">
    <cfRule type="iconSet" priority="2">
      <iconSet iconSet="3Flags">
        <cfvo type="percent" val="0"/>
        <cfvo type="percent" val="33"/>
        <cfvo type="percent" val="67"/>
      </iconSet>
    </cfRule>
  </conditionalFormatting>
  <conditionalFormatting sqref="O2:O32">
    <cfRule type="cellIs" dxfId="8" priority="1" operator="equal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50A2491-75FB-468A-9B27-2F45959A409B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B2:B32</xm:sqref>
        </x14:conditionalFormatting>
        <x14:conditionalFormatting xmlns:xm="http://schemas.microsoft.com/office/excel/2006/main">
          <x14:cfRule type="dataBar" id="{432689C9-40C2-41CD-B005-E76B5AFEA3D0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F2:F32</xm:sqref>
        </x14:conditionalFormatting>
      </x14:conditionalFormatting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7030A0"/>
  </sheetPr>
  <dimension ref="A1:P33"/>
  <sheetViews>
    <sheetView showGridLines="0" zoomScaleNormal="10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2.140625" customWidth="1"/>
    <col min="2" max="2" width="14.85546875" bestFit="1" customWidth="1"/>
    <col min="6" max="6" width="13.42578125" customWidth="1"/>
    <col min="13" max="13" width="12.28515625" bestFit="1" customWidth="1"/>
    <col min="14" max="14" width="0.85546875" customWidth="1"/>
    <col min="15" max="15" width="9.140625" style="1"/>
    <col min="16" max="16" width="10.7109375" bestFit="1" customWidth="1"/>
  </cols>
  <sheetData>
    <row r="1" spans="1:16" ht="31.5" customHeight="1" x14ac:dyDescent="0.25">
      <c r="A1" s="58" t="s">
        <v>11</v>
      </c>
      <c r="B1" s="66" t="s">
        <v>41</v>
      </c>
      <c r="C1" s="64" t="s">
        <v>1</v>
      </c>
      <c r="D1" s="64" t="s">
        <v>2</v>
      </c>
      <c r="E1" s="65" t="s">
        <v>3</v>
      </c>
      <c r="F1" s="71" t="s">
        <v>42</v>
      </c>
      <c r="G1" s="84" t="s">
        <v>5</v>
      </c>
      <c r="H1" s="84" t="s">
        <v>2</v>
      </c>
      <c r="I1" s="85" t="s">
        <v>3</v>
      </c>
      <c r="J1" s="63" t="s">
        <v>43</v>
      </c>
      <c r="K1" s="64" t="s">
        <v>44</v>
      </c>
      <c r="L1" s="64" t="s">
        <v>45</v>
      </c>
      <c r="M1" s="65" t="s">
        <v>46</v>
      </c>
      <c r="N1" s="60"/>
      <c r="O1" s="71" t="s">
        <v>10</v>
      </c>
    </row>
    <row r="2" spans="1:16" ht="16.5" x14ac:dyDescent="0.3">
      <c r="A2" s="59">
        <v>43678</v>
      </c>
      <c r="B2" s="74">
        <f ca="1">C2+D2+E2</f>
        <v>0</v>
      </c>
      <c r="C2" s="67">
        <f ca="1">GetFileList("P:\TP et Raccodement\FICHES CREES RACCORDEMENT\1 - RACCOS A SAISIR DANS AX\01-08-2019\*LM RACCO*.pdf")</f>
        <v>0</v>
      </c>
      <c r="D2" s="67">
        <f ca="1">GetFileList("P:\TP et Raccodement\FICHES CREES RACCORDEMENT\1 - RACCOS A SAISIR DANS AX\01-08-2019\*LR RACCO*.pdf")</f>
        <v>0</v>
      </c>
      <c r="E2" s="68">
        <f ca="1">GetFileList("P:\TP et Raccodement\FICHES CREES RACCORDEMENT\1 - RACCOS A SAISIR DANS AX\01-08-2019\*CL RACCO*.pdf")</f>
        <v>0</v>
      </c>
      <c r="F2" s="75">
        <f ca="1">G2+H2+I2</f>
        <v>0</v>
      </c>
      <c r="G2" s="67">
        <f ca="1">GetFileList("P:\TP et Raccodement\FICHES CREES RACCORDEMENT\2 - SAV + COMPL + PASSAGE W XV A SAISIR DANS AX\01-08-2019\*LM PASS*.pdf")</f>
        <v>0</v>
      </c>
      <c r="H2" s="67">
        <f ca="1">GetFileList("P:\TP et Raccodement\FICHES CREES RACCORDEMENT\2 - SAV + COMPL + PASSAGE W XV A SAISIR DANS AX\01-08-2019\*LR PASS*.pdf")</f>
        <v>0</v>
      </c>
      <c r="I2" s="68">
        <f ca="1">GetFileList("P:\TP et Raccodement\FICHES CREES RACCORDEMENT\2 - SAV + COMPL + PASSAGE W XV A SAISIR DANS AX\01-08-2019\*CL PASS*.pdf")</f>
        <v>0</v>
      </c>
      <c r="J2" s="76">
        <f ca="1">GetFileList("P:\TP et Raccodement\FICHES CREES RACCORDEMENT\2 - SAV + COMPL + PASSAGE W XV A SAISIR DANS AX\01-08-2019\*SAV*.pdf")</f>
        <v>0</v>
      </c>
      <c r="K2" s="77">
        <f ca="1">GetFileList("P:\TP et Raccodement\FICHES CREES RACCORDEMENT\2 - SAV + COMPL + PASSAGE W XV A SAISIR DANS AX\01-08-2019\*COMPLEMENT*.pdf")</f>
        <v>0</v>
      </c>
      <c r="L2" s="77">
        <f ca="1">GetFileList("P:\TP et Raccodement\FICHES CREES RACCORDEMENT\2 - SAV + COMPL + PASSAGE W XV A SAISIR DANS AX\01-08-2019\*REPRISE*.pdf")</f>
        <v>0</v>
      </c>
      <c r="M2" s="78">
        <f ca="1">GetFileList("P:\TP et Raccodement\FICHES CREES RACCORDEMENT\2 - SAV + COMPL + PASSAGE W XV A SAISIR DANS AX\01-08-2019\*REMONTAGE*.pdf")</f>
        <v>0</v>
      </c>
      <c r="N2" s="61"/>
      <c r="O2" s="73">
        <f ca="1">B2+F2+J2+K2+L2+M2</f>
        <v>0</v>
      </c>
      <c r="P2" s="54"/>
    </row>
    <row r="3" spans="1:16" ht="16.5" x14ac:dyDescent="0.3">
      <c r="A3" s="59">
        <v>43679</v>
      </c>
      <c r="B3" s="74">
        <f t="shared" ref="B3:B32" ca="1" si="0">C3+D3+E3</f>
        <v>0</v>
      </c>
      <c r="C3" s="67">
        <f ca="1">GetFileList("P:\TP et Raccodement\FICHES CREES RACCORDEMENT\1 - RACCOS A SAISIR DANS AX\02-08-2019\*LM RACCO*.pdf")</f>
        <v>0</v>
      </c>
      <c r="D3" s="67">
        <f ca="1">GetFileList("P:\TP et Raccodement\FICHES CREES RACCORDEMENT\1 - RACCOS A SAISIR DANS AX\02-08-2019\*LR RACCO*.pdf")</f>
        <v>0</v>
      </c>
      <c r="E3" s="68">
        <f ca="1">GetFileList("P:\TP et Raccodement\FICHES CREES RACCORDEMENT\1 - RACCOS A SAISIR DANS AX\02-08-2019\*CL RACCO*.pdf")</f>
        <v>0</v>
      </c>
      <c r="F3" s="75">
        <f ca="1">G3+H3+I3</f>
        <v>0</v>
      </c>
      <c r="G3" s="67">
        <f ca="1">GetFileList("P:\TP et Raccodement\FICHES CREES RACCORDEMENT\2 - SAV + COMPL + PASSAGE W XV A SAISIR DANS AX\02-08-2019\*LM PASS*.pdf")</f>
        <v>0</v>
      </c>
      <c r="H3" s="67">
        <f ca="1">GetFileList("P:\TP et Raccodement\FICHES CREES RACCORDEMENT\2 - SAV + COMPL + PASSAGE W XV A SAISIR DANS AX\02-08-2019\*LR PASS*.pdf")</f>
        <v>0</v>
      </c>
      <c r="I3" s="68">
        <f ca="1">GetFileList("P:\TP et Raccodement\FICHES CREES RACCORDEMENT\2 - SAV + COMPL + PASSAGE W XV A SAISIR DANS AX\02-08-2019\*CL PASS*.pdf")</f>
        <v>0</v>
      </c>
      <c r="J3" s="76">
        <f ca="1">GetFileList("P:\TP et Raccodement\FICHES CREES RACCORDEMENT\2 - SAV + COMPL + PASSAGE W XV A SAISIR DANS AX\02-08-2019\*SAV*.pdf")</f>
        <v>0</v>
      </c>
      <c r="K3" s="77">
        <f ca="1">GetFileList("P:\TP et Raccodement\FICHES CREES RACCORDEMENT\2 - SAV + COMPL + PASSAGE W XV A SAISIR DANS AX\02-08-2019\*COMPLEMENT*.pdf")</f>
        <v>0</v>
      </c>
      <c r="L3" s="77">
        <f ca="1">GetFileList("P:\TP et Raccodement\FICHES CREES RACCORDEMENT\2 - SAV + COMPL + PASSAGE W XV A SAISIR DANS AX\02-08-2019\*REPRISE*.pdf")</f>
        <v>0</v>
      </c>
      <c r="M3" s="78">
        <f ca="1">GetFileList("P:\TP et Raccodement\FICHES CREES RACCORDEMENT\2 - SAV + COMPL + PASSAGE W XV A SAISIR DANS AX\02-08-2019\*REMONTAGE*.pdf")</f>
        <v>0</v>
      </c>
      <c r="N3" s="61"/>
      <c r="O3" s="73">
        <f t="shared" ref="O3:O32" ca="1" si="1">B3+F3+J3+K3+L3+M3</f>
        <v>0</v>
      </c>
    </row>
    <row r="4" spans="1:16" ht="16.5" x14ac:dyDescent="0.3">
      <c r="A4" s="59">
        <v>43680</v>
      </c>
      <c r="B4" s="74">
        <f t="shared" ca="1" si="0"/>
        <v>0</v>
      </c>
      <c r="C4" s="67">
        <f ca="1">GetFileList("P:\TP et Raccodement\FICHES CREES RACCORDEMENT\1 - RACCOS A SAISIR DANS AX\03-08-2019\*LM RACCO*.pdf")</f>
        <v>0</v>
      </c>
      <c r="D4" s="67">
        <f ca="1">GetFileList("P:\TP et Raccodement\FICHES CREES RACCORDEMENT\1 - RACCOS A SAISIR DANS AX\03-08-2019\*LR RACCO*.pdf")</f>
        <v>0</v>
      </c>
      <c r="E4" s="68">
        <f ca="1">GetFileList("P:\TP et Raccodement\FICHES CREES RACCORDEMENT\1 - RACCOS A SAISIR DANS AX\03-08-2019\*CL RACCO*.pdf")</f>
        <v>0</v>
      </c>
      <c r="F4" s="75">
        <f t="shared" ref="F4:F32" ca="1" si="2">G4+H4+I4</f>
        <v>0</v>
      </c>
      <c r="G4" s="67">
        <f ca="1">GetFileList("P:\TP et Raccodement\FICHES CREES RACCORDEMENT\2 - SAV + COMPL + PASSAGE W XV A SAISIR DANS AX\03-08-2019\*LM PASS*.pdf")</f>
        <v>0</v>
      </c>
      <c r="H4" s="67">
        <f ca="1">GetFileList("P:\TP et Raccodement\FICHES CREES RACCORDEMENT\2 - SAV + COMPL + PASSAGE W XV A SAISIR DANS AX\03-08-2019\*LR PASS*.pdf")</f>
        <v>0</v>
      </c>
      <c r="I4" s="68">
        <f ca="1">GetFileList("P:\TP et Raccodement\FICHES CREES RACCORDEMENT\2 - SAV + COMPL + PASSAGE W XV A SAISIR DANS AX\03-08-2019\*CL PASS*.pdf")</f>
        <v>0</v>
      </c>
      <c r="J4" s="76">
        <f ca="1">GetFileList("P:\TP et Raccodement\FICHES CREES RACCORDEMENT\2 - SAV + COMPL + PASSAGE W XV A SAISIR DANS AX\03-08-2019\*SAV*.pdf")</f>
        <v>0</v>
      </c>
      <c r="K4" s="77">
        <f ca="1">GetFileList("P:\TP et Raccodement\FICHES CREES RACCORDEMENT\2 - SAV + COMPL + PASSAGE W XV A SAISIR DANS AX\03-08-2019\*COMPLEMENT*.pdf")</f>
        <v>0</v>
      </c>
      <c r="L4" s="77">
        <f ca="1">GetFileList("P:\TP et Raccodement\FICHES CREES RACCORDEMENT\2 - SAV + COMPL + PASSAGE W XV A SAISIR DANS AX\03-08-2019\*REPRISE*.pdf")</f>
        <v>0</v>
      </c>
      <c r="M4" s="78">
        <f ca="1">GetFileList("P:\TP et Raccodement\FICHES CREES RACCORDEMENT\2 - SAV + COMPL + PASSAGE W XV A SAISIR DANS AX\03-08-2019\*REMONTAGE*.pdf")</f>
        <v>0</v>
      </c>
      <c r="N4" s="61"/>
      <c r="O4" s="73">
        <f t="shared" ca="1" si="1"/>
        <v>0</v>
      </c>
    </row>
    <row r="5" spans="1:16" ht="16.5" x14ac:dyDescent="0.3">
      <c r="A5" s="88">
        <v>43681</v>
      </c>
      <c r="B5" s="89">
        <f t="shared" ca="1" si="0"/>
        <v>0</v>
      </c>
      <c r="C5" s="90">
        <f ca="1">GetFileList("P:\TP et Raccodement\FICHES CREES RACCORDEMENT\1 - RACCOS A SAISIR DANS AX\04-08-2019\*LM RACCO*.pdf")</f>
        <v>0</v>
      </c>
      <c r="D5" s="90">
        <f ca="1">GetFileList("P:\TP et Raccodement\FICHES CREES RACCORDEMENT\1 - RACCOS A SAISIR DANS AX\04-08-2019\*LR RACCO*.pdf")</f>
        <v>0</v>
      </c>
      <c r="E5" s="91">
        <f ca="1">GetFileList("P:\TP et Raccodement\FICHES CREES RACCORDEMENT\1 - RACCOS A SAISIR DANS AX\04-08-2019\*CL RACCO*.pdf")</f>
        <v>0</v>
      </c>
      <c r="F5" s="92">
        <f t="shared" ca="1" si="2"/>
        <v>0</v>
      </c>
      <c r="G5" s="90">
        <f ca="1">GetFileList("P:\TP et Raccodement\FICHES CREES RACCORDEMENT\2 - SAV + COMPL + PASSAGE W XV A SAISIR DANS AX\04-08-2019\*LM PASS*.pdf")</f>
        <v>0</v>
      </c>
      <c r="H5" s="90">
        <f ca="1">GetFileList("P:\TP et Raccodement\FICHES CREES RACCORDEMENT\2 - SAV + COMPL + PASSAGE W XV A SAISIR DANS AX\04-08-2019\*LR PASS*.pdf")</f>
        <v>0</v>
      </c>
      <c r="I5" s="91">
        <f ca="1">GetFileList("P:\TP et Raccodement\FICHES CREES RACCORDEMENT\2 - SAV + COMPL + PASSAGE W XV A SAISIR DANS AX\04-08-2019\*CL PASS*.pdf")</f>
        <v>0</v>
      </c>
      <c r="J5" s="93">
        <f ca="1">GetFileList("P:\TP et Raccodement\FICHES CREES RACCORDEMENT\2 - SAV + COMPL + PASSAGE W XV A SAISIR DANS AX\04-08-2019\*SAV*.pdf")</f>
        <v>0</v>
      </c>
      <c r="K5" s="94">
        <f ca="1">GetFileList("P:\TP et Raccodement\FICHES CREES RACCORDEMENT\2 - SAV + COMPL + PASSAGE W XV A SAISIR DANS AX\04-08-2019\*COMPLEMENT*.pdf")</f>
        <v>0</v>
      </c>
      <c r="L5" s="94">
        <f ca="1">GetFileList("P:\TP et Raccodement\FICHES CREES RACCORDEMENT\2 - SAV + COMPL + PASSAGE W XV A SAISIR DANS AX\04-08-2019\*REPRISE*.pdf")</f>
        <v>0</v>
      </c>
      <c r="M5" s="95">
        <f ca="1">GetFileList("P:\TP et Raccodement\FICHES CREES RACCORDEMENT\2 - SAV + COMPL + PASSAGE W XV A SAISIR DANS AX\04-08-2019\*REMONTAGE*.pdf")</f>
        <v>0</v>
      </c>
      <c r="N5" s="61"/>
      <c r="O5" s="73">
        <f t="shared" ca="1" si="1"/>
        <v>0</v>
      </c>
    </row>
    <row r="6" spans="1:16" ht="16.5" x14ac:dyDescent="0.3">
      <c r="A6" s="59">
        <v>43682</v>
      </c>
      <c r="B6" s="74">
        <f t="shared" ca="1" si="0"/>
        <v>0</v>
      </c>
      <c r="C6" s="67">
        <f ca="1">GetFileList("P:\TP et Raccodement\FICHES CREES RACCORDEMENT\1 - RACCOS A SAISIR DANS AX\05-08-2019\*LM RACCO*.pdf")</f>
        <v>0</v>
      </c>
      <c r="D6" s="67">
        <f ca="1">GetFileList("P:\TP et Raccodement\FICHES CREES RACCORDEMENT\1 - RACCOS A SAISIR DANS AX\05-08-2019\*LR RACCO*.pdf")</f>
        <v>0</v>
      </c>
      <c r="E6" s="68">
        <f ca="1">GetFileList("P:\TP et Raccodement\FICHES CREES RACCORDEMENT\1 - RACCOS A SAISIR DANS AX\05-08-2019\*CL RACCO*.pdf")</f>
        <v>0</v>
      </c>
      <c r="F6" s="75">
        <f t="shared" ca="1" si="2"/>
        <v>0</v>
      </c>
      <c r="G6" s="67">
        <f ca="1">GetFileList("P:\TP et Raccodement\FICHES CREES RACCORDEMENT\2 - SAV + COMPL + PASSAGE W XV A SAISIR DANS AX\05-08-2019\*LM PASS*.pdf")</f>
        <v>0</v>
      </c>
      <c r="H6" s="67">
        <f ca="1">GetFileList("P:\TP et Raccodement\FICHES CREES RACCORDEMENT\2 - SAV + COMPL + PASSAGE W XV A SAISIR DANS AX\05-08-2019\*LR PASS*.pdf")</f>
        <v>0</v>
      </c>
      <c r="I6" s="68">
        <f ca="1">GetFileList("P:\TP et Raccodement\FICHES CREES RACCORDEMENT\2 - SAV + COMPL + PASSAGE W XV A SAISIR DANS AX\05-08-2019\*CL PASS*.pdf")</f>
        <v>0</v>
      </c>
      <c r="J6" s="76">
        <f ca="1">GetFileList("P:\TP et Raccodement\FICHES CREES RACCORDEMENT\2 - SAV + COMPL + PASSAGE W XV A SAISIR DANS AX\05-08-2019\*SAV*.pdf")</f>
        <v>0</v>
      </c>
      <c r="K6" s="77">
        <f ca="1">GetFileList("P:\TP et Raccodement\FICHES CREES RACCORDEMENT\2 - SAV + COMPL + PASSAGE W XV A SAISIR DANS AX\05-08-2019\*COMPLEMENT*.pdf")</f>
        <v>0</v>
      </c>
      <c r="L6" s="77">
        <f ca="1">GetFileList("P:\TP et Raccodement\FICHES CREES RACCORDEMENT\2 - SAV + COMPL + PASSAGE W XV A SAISIR DANS AX\05-08-2019\*REPRISE*.pdf")</f>
        <v>0</v>
      </c>
      <c r="M6" s="78">
        <f ca="1">GetFileList("P:\TP et Raccodement\FICHES CREES RACCORDEMENT\2 - SAV + COMPL + PASSAGE W XV A SAISIR DANS AX\05-08-2019\*REMONTAGE*.pdf")</f>
        <v>0</v>
      </c>
      <c r="N6" s="61"/>
      <c r="O6" s="73">
        <f t="shared" ca="1" si="1"/>
        <v>0</v>
      </c>
    </row>
    <row r="7" spans="1:16" ht="16.5" x14ac:dyDescent="0.3">
      <c r="A7" s="59">
        <v>43683</v>
      </c>
      <c r="B7" s="74">
        <f t="shared" ca="1" si="0"/>
        <v>0</v>
      </c>
      <c r="C7" s="67">
        <f ca="1">GetFileList("P:\TP et Raccodement\FICHES CREES RACCORDEMENT\1 - RACCOS A SAISIR DANS AX\06-08-2019\*LM RACCO*.pdf")</f>
        <v>0</v>
      </c>
      <c r="D7" s="67">
        <f ca="1">GetFileList("P:\TP et Raccodement\FICHES CREES RACCORDEMENT\1 - RACCOS A SAISIR DANS AX\06-08-2019\*LR RACCO*.pdf")</f>
        <v>0</v>
      </c>
      <c r="E7" s="68">
        <f ca="1">GetFileList("P:\TP et Raccodement\FICHES CREES RACCORDEMENT\1 - RACCOS A SAISIR DANS AX\06-08-2019\*CL RACCO*.pdf")</f>
        <v>0</v>
      </c>
      <c r="F7" s="75">
        <f t="shared" ca="1" si="2"/>
        <v>0</v>
      </c>
      <c r="G7" s="67">
        <f ca="1">GetFileList("P:\TP et Raccodement\FICHES CREES RACCORDEMENT\2 - SAV + COMPL + PASSAGE W XV A SAISIR DANS AX\06-08-2019\*LM PASS*.pdf")</f>
        <v>0</v>
      </c>
      <c r="H7" s="67">
        <f ca="1">GetFileList("P:\TP et Raccodement\FICHES CREES RACCORDEMENT\2 - SAV + COMPL + PASSAGE W XV A SAISIR DANS AX\06-08-2019\*LR PASS*.pdf")</f>
        <v>0</v>
      </c>
      <c r="I7" s="68">
        <f ca="1">GetFileList("P:\TP et Raccodement\FICHES CREES RACCORDEMENT\2 - SAV + COMPL + PASSAGE W XV A SAISIR DANS AX\06-08-2019\*CL PASS*.pdf")</f>
        <v>0</v>
      </c>
      <c r="J7" s="76">
        <f ca="1">GetFileList("P:\TP et Raccodement\FICHES CREES RACCORDEMENT\2 - SAV + COMPL + PASSAGE W XV A SAISIR DANS AX\06-08-2019\*SAV*.pdf")</f>
        <v>0</v>
      </c>
      <c r="K7" s="77">
        <f ca="1">GetFileList("P:\TP et Raccodement\FICHES CREES RACCORDEMENT\2 - SAV + COMPL + PASSAGE W XV A SAISIR DANS AX\06-08-2019\*COMPLEMENT*.pdf")</f>
        <v>0</v>
      </c>
      <c r="L7" s="77">
        <f ca="1">GetFileList("P:\TP et Raccodement\FICHES CREES RACCORDEMENT\2 - SAV + COMPL + PASSAGE W XV A SAISIR DANS AX\06-08-2019\*REPRISE*.pdf")</f>
        <v>0</v>
      </c>
      <c r="M7" s="78">
        <f ca="1">GetFileList("P:\TP et Raccodement\FICHES CREES RACCORDEMENT\2 - SAV + COMPL + PASSAGE W XV A SAISIR DANS AX\06-08-2019\*REMONTAGE*.pdf")</f>
        <v>0</v>
      </c>
      <c r="N7" s="61"/>
      <c r="O7" s="73">
        <f t="shared" ca="1" si="1"/>
        <v>0</v>
      </c>
    </row>
    <row r="8" spans="1:16" ht="16.5" x14ac:dyDescent="0.3">
      <c r="A8" s="59">
        <v>43684</v>
      </c>
      <c r="B8" s="74">
        <f t="shared" ca="1" si="0"/>
        <v>0</v>
      </c>
      <c r="C8" s="67">
        <f ca="1">GetFileList("P:\TP et Raccodement\FICHES CREES RACCORDEMENT\1 - RACCOS A SAISIR DANS AX\07-08-2019\*LM RACCO*.pdf")</f>
        <v>0</v>
      </c>
      <c r="D8" s="67">
        <f ca="1">GetFileList("P:\TP et Raccodement\FICHES CREES RACCORDEMENT\1 - RACCOS A SAISIR DANS AX\07-08-2019\*LR RACCO*.pdf")</f>
        <v>0</v>
      </c>
      <c r="E8" s="68">
        <f ca="1">GetFileList("P:\TP et Raccodement\FICHES CREES RACCORDEMENT\1 - RACCOS A SAISIR DANS AX\07-08-2019\*CL RACCO*.pdf")</f>
        <v>0</v>
      </c>
      <c r="F8" s="75">
        <f t="shared" ca="1" si="2"/>
        <v>0</v>
      </c>
      <c r="G8" s="67">
        <f ca="1">GetFileList("P:\TP et Raccodement\FICHES CREES RACCORDEMENT\2 - SAV + COMPL + PASSAGE W XV A SAISIR DANS AX\07-08-2019\*LM PASS*.pdf")</f>
        <v>0</v>
      </c>
      <c r="H8" s="67">
        <f ca="1">GetFileList("P:\TP et Raccodement\FICHES CREES RACCORDEMENT\2 - SAV + COMPL + PASSAGE W XV A SAISIR DANS AX\07-08-2019\*LR PASS*.pdf")</f>
        <v>0</v>
      </c>
      <c r="I8" s="68">
        <f ca="1">GetFileList("P:\TP et Raccodement\FICHES CREES RACCORDEMENT\2 - SAV + COMPL + PASSAGE W XV A SAISIR DANS AX\07-08-2019\*CL PASS*.pdf")</f>
        <v>0</v>
      </c>
      <c r="J8" s="76">
        <f ca="1">GetFileList("P:\TP et Raccodement\FICHES CREES RACCORDEMENT\2 - SAV + COMPL + PASSAGE W XV A SAISIR DANS AX\07-08-2019\*SAV*.pdf")</f>
        <v>0</v>
      </c>
      <c r="K8" s="77">
        <f ca="1">GetFileList("P:\TP et Raccodement\FICHES CREES RACCORDEMENT\2 - SAV + COMPL + PASSAGE W XV A SAISIR DANS AX\07-08-2019\*COMPLEMENT*.pdf")</f>
        <v>0</v>
      </c>
      <c r="L8" s="77">
        <f ca="1">GetFileList("P:\TP et Raccodement\FICHES CREES RACCORDEMENT\2 - SAV + COMPL + PASSAGE W XV A SAISIR DANS AX\07-08-2019\*REPRISE*.pdf")</f>
        <v>0</v>
      </c>
      <c r="M8" s="78">
        <f ca="1">GetFileList("P:\TP et Raccodement\FICHES CREES RACCORDEMENT\2 - SAV + COMPL + PASSAGE W XV A SAISIR DANS AX\07-08-2019\*REMONTAGE*.pdf")</f>
        <v>0</v>
      </c>
      <c r="N8" s="61"/>
      <c r="O8" s="73">
        <f t="shared" ca="1" si="1"/>
        <v>0</v>
      </c>
    </row>
    <row r="9" spans="1:16" ht="16.5" x14ac:dyDescent="0.3">
      <c r="A9" s="59">
        <v>43685</v>
      </c>
      <c r="B9" s="74">
        <f t="shared" ca="1" si="0"/>
        <v>0</v>
      </c>
      <c r="C9" s="67">
        <f ca="1">GetFileList("P:\TP et Raccodement\FICHES CREES RACCORDEMENT\1 - RACCOS A SAISIR DANS AX\08-08-2019\*LM RACCO*.pdf")</f>
        <v>0</v>
      </c>
      <c r="D9" s="67">
        <f ca="1">GetFileList("P:\TP et Raccodement\FICHES CREES RACCORDEMENT\1 - RACCOS A SAISIR DANS AX\08-08-2019\*LR RACCO*.pdf")</f>
        <v>0</v>
      </c>
      <c r="E9" s="68">
        <f ca="1">GetFileList("P:\TP et Raccodement\FICHES CREES RACCORDEMENT\1 - RACCOS A SAISIR DANS AX\08-08-2019\*CL RACCO*.pdf")</f>
        <v>0</v>
      </c>
      <c r="F9" s="75">
        <f t="shared" ca="1" si="2"/>
        <v>0</v>
      </c>
      <c r="G9" s="67">
        <f ca="1">GetFileList("P:\TP et Raccodement\FICHES CREES RACCORDEMENT\2 - SAV + COMPL + PASSAGE W XV A SAISIR DANS AX\08-08-2019\*LM PASS*.pdf")</f>
        <v>0</v>
      </c>
      <c r="H9" s="67">
        <f ca="1">GetFileList("P:\TP et Raccodement\FICHES CREES RACCORDEMENT\2 - SAV + COMPL + PASSAGE W XV A SAISIR DANS AX\08-08-2019\*LR PASS*.pdf")</f>
        <v>0</v>
      </c>
      <c r="I9" s="68">
        <f ca="1">GetFileList("P:\TP et Raccodement\FICHES CREES RACCORDEMENT\2 - SAV + COMPL + PASSAGE W XV A SAISIR DANS AX\08-08-2019\*CL PASS*.pdf")</f>
        <v>0</v>
      </c>
      <c r="J9" s="76">
        <f ca="1">GetFileList("P:\TP et Raccodement\FICHES CREES RACCORDEMENT\2 - SAV + COMPL + PASSAGE W XV A SAISIR DANS AX\08-08-2019\*SAV*.pdf")</f>
        <v>0</v>
      </c>
      <c r="K9" s="77">
        <f ca="1">GetFileList("P:\TP et Raccodement\FICHES CREES RACCORDEMENT\2 - SAV + COMPL + PASSAGE W XV A SAISIR DANS AX\08-08-2019\*COMPLEMENT*.pdf")</f>
        <v>0</v>
      </c>
      <c r="L9" s="77">
        <f ca="1">GetFileList("P:\TP et Raccodement\FICHES CREES RACCORDEMENT\2 - SAV + COMPL + PASSAGE W XV A SAISIR DANS AX\08-08-2019\*REPRISE*.pdf")</f>
        <v>0</v>
      </c>
      <c r="M9" s="78">
        <f ca="1">GetFileList("P:\TP et Raccodement\FICHES CREES RACCORDEMENT\2 - SAV + COMPL + PASSAGE W XV A SAISIR DANS AX\08-08-2019\*REMONTAGE*.pdf")</f>
        <v>0</v>
      </c>
      <c r="N9" s="61"/>
      <c r="O9" s="73">
        <f t="shared" ca="1" si="1"/>
        <v>0</v>
      </c>
    </row>
    <row r="10" spans="1:16" ht="16.5" x14ac:dyDescent="0.3">
      <c r="A10" s="59">
        <v>43686</v>
      </c>
      <c r="B10" s="74">
        <f t="shared" ca="1" si="0"/>
        <v>0</v>
      </c>
      <c r="C10" s="67">
        <f ca="1">GetFileList("P:\TP et Raccodement\FICHES CREES RACCORDEMENT\1 - RACCOS A SAISIR DANS AX\09-08-2019\*LM RACCO*.pdf")</f>
        <v>0</v>
      </c>
      <c r="D10" s="67">
        <f ca="1">GetFileList("P:\TP et Raccodement\FICHES CREES RACCORDEMENT\1 - RACCOS A SAISIR DANS AX\09-08-2019\*LR RACCO*.pdf")</f>
        <v>0</v>
      </c>
      <c r="E10" s="68">
        <f ca="1">GetFileList("P:\TP et Raccodement\FICHES CREES RACCORDEMENT\1 - RACCOS A SAISIR DANS AX\09-08-2019\*CL RACCO*.pdf")</f>
        <v>0</v>
      </c>
      <c r="F10" s="75">
        <f t="shared" ca="1" si="2"/>
        <v>0</v>
      </c>
      <c r="G10" s="67">
        <f ca="1">GetFileList("P:\TP et Raccodement\FICHES CREES RACCORDEMENT\2 - SAV + COMPL + PASSAGE W XV A SAISIR DANS AX\09-08-2019\*LM PASS*.pdf")</f>
        <v>0</v>
      </c>
      <c r="H10" s="67">
        <f ca="1">GetFileList("P:\TP et Raccodement\FICHES CREES RACCORDEMENT\2 - SAV + COMPL + PASSAGE W XV A SAISIR DANS AX\09-08-2019\*LR PASS*.pdf")</f>
        <v>0</v>
      </c>
      <c r="I10" s="68">
        <f ca="1">GetFileList("P:\TP et Raccodement\FICHES CREES RACCORDEMENT\2 - SAV + COMPL + PASSAGE W XV A SAISIR DANS AX\09-08-2019\*CL PASS*.pdf")</f>
        <v>0</v>
      </c>
      <c r="J10" s="76">
        <f ca="1">GetFileList("P:\TP et Raccodement\FICHES CREES RACCORDEMENT\2 - SAV + COMPL + PASSAGE W XV A SAISIR DANS AX\09-08-2019\*SAV*.pdf")</f>
        <v>0</v>
      </c>
      <c r="K10" s="77">
        <f ca="1">GetFileList("P:\TP et Raccodement\FICHES CREES RACCORDEMENT\2 - SAV + COMPL + PASSAGE W XV A SAISIR DANS AX\09-08-2019\*COMPLEMENT*.pdf")</f>
        <v>0</v>
      </c>
      <c r="L10" s="77">
        <f ca="1">GetFileList("P:\TP et Raccodement\FICHES CREES RACCORDEMENT\2 - SAV + COMPL + PASSAGE W XV A SAISIR DANS AX\09-08-2019\*REPRISE*.pdf")</f>
        <v>0</v>
      </c>
      <c r="M10" s="78">
        <f ca="1">GetFileList("P:\TP et Raccodement\FICHES CREES RACCORDEMENT\2 - SAV + COMPL + PASSAGE W XV A SAISIR DANS AX\09-08-2019\*REMONTAGE*.pdf")</f>
        <v>0</v>
      </c>
      <c r="N10" s="61"/>
      <c r="O10" s="73">
        <f t="shared" ca="1" si="1"/>
        <v>0</v>
      </c>
    </row>
    <row r="11" spans="1:16" ht="16.5" x14ac:dyDescent="0.3">
      <c r="A11" s="59">
        <v>43687</v>
      </c>
      <c r="B11" s="74">
        <f t="shared" ca="1" si="0"/>
        <v>0</v>
      </c>
      <c r="C11" s="67">
        <f ca="1">GetFileList("P:\TP et Raccodement\FICHES CREES RACCORDEMENT\1 - RACCOS A SAISIR DANS AX\10-08-2019\*LM RACCO*.pdf")</f>
        <v>0</v>
      </c>
      <c r="D11" s="67">
        <f ca="1">GetFileList("P:\TP et Raccodement\FICHES CREES RACCORDEMENT\1 - RACCOS A SAISIR DANS AX\10-08-2019\*LR RACCO*.pdf")</f>
        <v>0</v>
      </c>
      <c r="E11" s="68">
        <f ca="1">GetFileList("P:\TP et Raccodement\FICHES CREES RACCORDEMENT\1 - RACCOS A SAISIR DANS AX\10-08-2019\*CL RACCO*.pdf")</f>
        <v>0</v>
      </c>
      <c r="F11" s="75">
        <f t="shared" ca="1" si="2"/>
        <v>0</v>
      </c>
      <c r="G11" s="67">
        <f ca="1">GetFileList("P:\TP et Raccodement\FICHES CREES RACCORDEMENT\2 - SAV + COMPL + PASSAGE W XV A SAISIR DANS AX\10-08-2019\*LM PASS*.pdf")</f>
        <v>0</v>
      </c>
      <c r="H11" s="67">
        <f ca="1">GetFileList("P:\TP et Raccodement\FICHES CREES RACCORDEMENT\2 - SAV + COMPL + PASSAGE W XV A SAISIR DANS AX\10-08-2019\*LR PASS*.pdf")</f>
        <v>0</v>
      </c>
      <c r="I11" s="68">
        <f ca="1">GetFileList("P:\TP et Raccodement\FICHES CREES RACCORDEMENT\2 - SAV + COMPL + PASSAGE W XV A SAISIR DANS AX\10-08-2019\*CL PASS*.pdf")</f>
        <v>0</v>
      </c>
      <c r="J11" s="76">
        <f ca="1">GetFileList("P:\TP et Raccodement\FICHES CREES RACCORDEMENT\2 - SAV + COMPL + PASSAGE W XV A SAISIR DANS AX\10-08-2019\*SAV*.pdf")</f>
        <v>0</v>
      </c>
      <c r="K11" s="77">
        <f ca="1">GetFileList("P:\TP et Raccodement\FICHES CREES RACCORDEMENT\2 - SAV + COMPL + PASSAGE W XV A SAISIR DANS AX\10-08-2019\*COMPLEMENT*.pdf")</f>
        <v>0</v>
      </c>
      <c r="L11" s="77">
        <f ca="1">GetFileList("P:\TP et Raccodement\FICHES CREES RACCORDEMENT\2 - SAV + COMPL + PASSAGE W XV A SAISIR DANS AX\10-08-2019\*REPRISE*.pdf")</f>
        <v>0</v>
      </c>
      <c r="M11" s="78">
        <f ca="1">GetFileList("P:\TP et Raccodement\FICHES CREES RACCORDEMENT\2 - SAV + COMPL + PASSAGE W XV A SAISIR DANS AX\10-08-2019\*REMONTAGE*.pdf")</f>
        <v>0</v>
      </c>
      <c r="N11" s="61"/>
      <c r="O11" s="73">
        <f t="shared" ca="1" si="1"/>
        <v>0</v>
      </c>
    </row>
    <row r="12" spans="1:16" ht="16.5" x14ac:dyDescent="0.3">
      <c r="A12" s="88">
        <v>43688</v>
      </c>
      <c r="B12" s="89">
        <f t="shared" ca="1" si="0"/>
        <v>0</v>
      </c>
      <c r="C12" s="90">
        <f ca="1">GetFileList("P:\TP et Raccodement\FICHES CREES RACCORDEMENT\1 - RACCOS A SAISIR DANS AX\11-08-2019\*LM RACCO*.pdf")</f>
        <v>0</v>
      </c>
      <c r="D12" s="90">
        <f ca="1">GetFileList("P:\TP et Raccodement\FICHES CREES RACCORDEMENT\1 - RACCOS A SAISIR DANS AX\11-08-2019\*LR RACCO*.pdf")</f>
        <v>0</v>
      </c>
      <c r="E12" s="91">
        <f ca="1">GetFileList("P:\TP et Raccodement\FICHES CREES RACCORDEMENT\1 - RACCOS A SAISIR DANS AX\11-08-2019\*CL RACCO*.pdf")</f>
        <v>0</v>
      </c>
      <c r="F12" s="92">
        <f t="shared" ca="1" si="2"/>
        <v>0</v>
      </c>
      <c r="G12" s="90">
        <f ca="1">GetFileList("P:\TP et Raccodement\FICHES CREES RACCORDEMENT\2 - SAV + COMPL + PASSAGE W XV A SAISIR DANS AX\11-08-2019\*LM PASS*.pdf")</f>
        <v>0</v>
      </c>
      <c r="H12" s="90">
        <f ca="1">GetFileList("P:\TP et Raccodement\FICHES CREES RACCORDEMENT\2 - SAV + COMPL + PASSAGE W XV A SAISIR DANS AX\11-08-2019\*LR PASS*.pdf")</f>
        <v>0</v>
      </c>
      <c r="I12" s="91">
        <f ca="1">GetFileList("P:\TP et Raccodement\FICHES CREES RACCORDEMENT\2 - SAV + COMPL + PASSAGE W XV A SAISIR DANS AX\11-08-2019\*CL PASS*.pdf")</f>
        <v>0</v>
      </c>
      <c r="J12" s="93">
        <f ca="1">GetFileList("P:\TP et Raccodement\FICHES CREES RACCORDEMENT\2 - SAV + COMPL + PASSAGE W XV A SAISIR DANS AX\11-08-2019\*SAV*.pdf")</f>
        <v>0</v>
      </c>
      <c r="K12" s="94">
        <f ca="1">GetFileList("P:\TP et Raccodement\FICHES CREES RACCORDEMENT\2 - SAV + COMPL + PASSAGE W XV A SAISIR DANS AX\11-08-2019\*COMPLEMENT*.pdf")</f>
        <v>0</v>
      </c>
      <c r="L12" s="94">
        <f ca="1">GetFileList("P:\TP et Raccodement\FICHES CREES RACCORDEMENT\2 - SAV + COMPL + PASSAGE W XV A SAISIR DANS AX\11-08-2019\*REPRISE*.pdf")</f>
        <v>0</v>
      </c>
      <c r="M12" s="95">
        <f ca="1">GetFileList("P:\TP et Raccodement\FICHES CREES RACCORDEMENT\2 - SAV + COMPL + PASSAGE W XV A SAISIR DANS AX\11-08-2019\*REMONTAGE*.pdf")</f>
        <v>0</v>
      </c>
      <c r="N12" s="61"/>
      <c r="O12" s="73">
        <f t="shared" ca="1" si="1"/>
        <v>0</v>
      </c>
    </row>
    <row r="13" spans="1:16" ht="16.5" x14ac:dyDescent="0.3">
      <c r="A13" s="59">
        <v>43689</v>
      </c>
      <c r="B13" s="74">
        <f t="shared" ca="1" si="0"/>
        <v>0</v>
      </c>
      <c r="C13" s="67">
        <f ca="1">GetFileList("P:\TP et Raccodement\FICHES CREES RACCORDEMENT\1 - RACCOS A SAISIR DANS AX\12-08-2019\*LM RACCO*.pdf")</f>
        <v>0</v>
      </c>
      <c r="D13" s="67">
        <f ca="1">GetFileList("P:\TP et Raccodement\FICHES CREES RACCORDEMENT\1 - RACCOS A SAISIR DANS AX\12-08-2019\*LR RACCO*.pdf")</f>
        <v>0</v>
      </c>
      <c r="E13" s="68">
        <f ca="1">GetFileList("P:\TP et Raccodement\FICHES CREES RACCORDEMENT\1 - RACCOS A SAISIR DANS AX\12-08-2019\*CL RACCO*.pdf")</f>
        <v>0</v>
      </c>
      <c r="F13" s="75">
        <f t="shared" ca="1" si="2"/>
        <v>0</v>
      </c>
      <c r="G13" s="67">
        <f ca="1">GetFileList("P:\TP et Raccodement\FICHES CREES RACCORDEMENT\2 - SAV + COMPL + PASSAGE W XV A SAISIR DANS AX\12-08-2019\*LM PASS*.pdf")</f>
        <v>0</v>
      </c>
      <c r="H13" s="67">
        <f ca="1">GetFileList("P:\TP et Raccodement\FICHES CREES RACCORDEMENT\2 - SAV + COMPL + PASSAGE W XV A SAISIR DANS AX\12-08-2019\*LR PASS*.pdf")</f>
        <v>0</v>
      </c>
      <c r="I13" s="68">
        <f ca="1">GetFileList("P:\TP et Raccodement\FICHES CREES RACCORDEMENT\2 - SAV + COMPL + PASSAGE W XV A SAISIR DANS AX\12-08-2019\*CL PASS*.pdf")</f>
        <v>0</v>
      </c>
      <c r="J13" s="76">
        <f ca="1">GetFileList("P:\TP et Raccodement\FICHES CREES RACCORDEMENT\2 - SAV + COMPL + PASSAGE W XV A SAISIR DANS AX\12-08-2019\*SAV*.pdf")</f>
        <v>0</v>
      </c>
      <c r="K13" s="77">
        <f ca="1">GetFileList("P:\TP et Raccodement\FICHES CREES RACCORDEMENT\2 - SAV + COMPL + PASSAGE W XV A SAISIR DANS AX\12-08-2019\*COMPLEMENT*.pdf")</f>
        <v>0</v>
      </c>
      <c r="L13" s="77">
        <f ca="1">GetFileList("P:\TP et Raccodement\FICHES CREES RACCORDEMENT\2 - SAV + COMPL + PASSAGE W XV A SAISIR DANS AX\12-08-2019\*REPRISE*.pdf")</f>
        <v>0</v>
      </c>
      <c r="M13" s="78">
        <f ca="1">GetFileList("P:\TP et Raccodement\FICHES CREES RACCORDEMENT\2 - SAV + COMPL + PASSAGE W XV A SAISIR DANS AX\12-08-2019\*REMONTAGE*.pdf")</f>
        <v>0</v>
      </c>
      <c r="N13" s="61"/>
      <c r="O13" s="73">
        <f t="shared" ca="1" si="1"/>
        <v>0</v>
      </c>
    </row>
    <row r="14" spans="1:16" ht="16.5" x14ac:dyDescent="0.3">
      <c r="A14" s="59">
        <v>43690</v>
      </c>
      <c r="B14" s="74">
        <f t="shared" ca="1" si="0"/>
        <v>0</v>
      </c>
      <c r="C14" s="67">
        <f ca="1">GetFileList("P:\TP et Raccodement\FICHES CREES RACCORDEMENT\1 - RACCOS A SAISIR DANS AX\13-08-2019\*LM RACCO*.pdf")</f>
        <v>0</v>
      </c>
      <c r="D14" s="67">
        <f ca="1">GetFileList("P:\TP et Raccodement\FICHES CREES RACCORDEMENT\1 - RACCOS A SAISIR DANS AX\13-08-2019\*LR RACCO*.pdf")</f>
        <v>0</v>
      </c>
      <c r="E14" s="68">
        <f ca="1">GetFileList("P:\TP et Raccodement\FICHES CREES RACCORDEMENT\1 - RACCOS A SAISIR DANS AX\13-08-2019\*CL RACCO*.pdf")</f>
        <v>0</v>
      </c>
      <c r="F14" s="75">
        <f t="shared" ca="1" si="2"/>
        <v>0</v>
      </c>
      <c r="G14" s="67">
        <f ca="1">GetFileList("P:\TP et Raccodement\FICHES CREES RACCORDEMENT\2 - SAV + COMPL + PASSAGE W XV A SAISIR DANS AX\13-08-2019\*LM PASS*.pdf")</f>
        <v>0</v>
      </c>
      <c r="H14" s="67">
        <f ca="1">GetFileList("P:\TP et Raccodement\FICHES CREES RACCORDEMENT\2 - SAV + COMPL + PASSAGE W XV A SAISIR DANS AX\13-08-2019\*LR PASS*.pdf")</f>
        <v>0</v>
      </c>
      <c r="I14" s="68">
        <f ca="1">GetFileList("P:\TP et Raccodement\FICHES CREES RACCORDEMENT\2 - SAV + COMPL + PASSAGE W XV A SAISIR DANS AX\13-08-2019\*CL PASS*.pdf")</f>
        <v>0</v>
      </c>
      <c r="J14" s="76">
        <f ca="1">GetFileList("P:\TP et Raccodement\FICHES CREES RACCORDEMENT\2 - SAV + COMPL + PASSAGE W XV A SAISIR DANS AX\13-08-2019\*SAV*.pdf")</f>
        <v>0</v>
      </c>
      <c r="K14" s="77">
        <f ca="1">GetFileList("P:\TP et Raccodement\FICHES CREES RACCORDEMENT\2 - SAV + COMPL + PASSAGE W XV A SAISIR DANS AX\13-08-2019\*COMPLEMENT*.pdf")</f>
        <v>0</v>
      </c>
      <c r="L14" s="77">
        <f ca="1">GetFileList("P:\TP et Raccodement\FICHES CREES RACCORDEMENT\2 - SAV + COMPL + PASSAGE W XV A SAISIR DANS AX\13-08-2019\*REPRISE*.pdf")</f>
        <v>0</v>
      </c>
      <c r="M14" s="78">
        <f ca="1">GetFileList("P:\TP et Raccodement\FICHES CREES RACCORDEMENT\2 - SAV + COMPL + PASSAGE W XV A SAISIR DANS AX\13-08-2019\*REMONTAGE*.pdf")</f>
        <v>0</v>
      </c>
      <c r="N14" s="61"/>
      <c r="O14" s="73">
        <f t="shared" ca="1" si="1"/>
        <v>0</v>
      </c>
    </row>
    <row r="15" spans="1:16" ht="16.5" x14ac:dyDescent="0.3">
      <c r="A15" s="59">
        <v>43691</v>
      </c>
      <c r="B15" s="74">
        <f t="shared" ca="1" si="0"/>
        <v>0</v>
      </c>
      <c r="C15" s="67">
        <f ca="1">GetFileList("P:\TP et Raccodement\FICHES CREES RACCORDEMENT\1 - RACCOS A SAISIR DANS AX\14-08-2019\*LM RACCO*.pdf")</f>
        <v>0</v>
      </c>
      <c r="D15" s="67">
        <f ca="1">GetFileList("P:\TP et Raccodement\FICHES CREES RACCORDEMENT\1 - RACCOS A SAISIR DANS AX\14-08-2019\*LR RACCO*.pdf")</f>
        <v>0</v>
      </c>
      <c r="E15" s="68">
        <f ca="1">GetFileList("P:\TP et Raccodement\FICHES CREES RACCORDEMENT\1 - RACCOS A SAISIR DANS AX\14-08-2019\*CL RACCO*.pdf")</f>
        <v>0</v>
      </c>
      <c r="F15" s="75">
        <f t="shared" ca="1" si="2"/>
        <v>0</v>
      </c>
      <c r="G15" s="67">
        <f ca="1">GetFileList("P:\TP et Raccodement\FICHES CREES RACCORDEMENT\2 - SAV + COMPL + PASSAGE W XV A SAISIR DANS AX\14-08-2019\*LM PASS*.pdf")</f>
        <v>0</v>
      </c>
      <c r="H15" s="67">
        <f ca="1">GetFileList("P:\TP et Raccodement\FICHES CREES RACCORDEMENT\2 - SAV + COMPL + PASSAGE W XV A SAISIR DANS AX\14-08-2019\*LR PASS*.pdf")</f>
        <v>0</v>
      </c>
      <c r="I15" s="68">
        <f ca="1">GetFileList("P:\TP et Raccodement\FICHES CREES RACCORDEMENT\2 - SAV + COMPL + PASSAGE W XV A SAISIR DANS AX\14-08-2019\*CL PASS*.pdf")</f>
        <v>0</v>
      </c>
      <c r="J15" s="76">
        <f ca="1">GetFileList("P:\TP et Raccodement\FICHES CREES RACCORDEMENT\2 - SAV + COMPL + PASSAGE W XV A SAISIR DANS AX\14-08-2019\*SAV*.pdf")</f>
        <v>0</v>
      </c>
      <c r="K15" s="77">
        <f ca="1">GetFileList("P:\TP et Raccodement\FICHES CREES RACCORDEMENT\2 - SAV + COMPL + PASSAGE W XV A SAISIR DANS AX\14-08-2019\*COMPLEMENT*.pdf")</f>
        <v>0</v>
      </c>
      <c r="L15" s="77">
        <f ca="1">GetFileList("P:\TP et Raccodement\FICHES CREES RACCORDEMENT\2 - SAV + COMPL + PASSAGE W XV A SAISIR DANS AX\14-08-2019\*REPRISE*.pdf")</f>
        <v>0</v>
      </c>
      <c r="M15" s="78">
        <f ca="1">GetFileList("P:\TP et Raccodement\FICHES CREES RACCORDEMENT\2 - SAV + COMPL + PASSAGE W XV A SAISIR DANS AX\14-08-2019\*REMONTAGE*.pdf")</f>
        <v>0</v>
      </c>
      <c r="N15" s="61"/>
      <c r="O15" s="73">
        <f t="shared" ca="1" si="1"/>
        <v>0</v>
      </c>
    </row>
    <row r="16" spans="1:16" ht="16.5" x14ac:dyDescent="0.3">
      <c r="A16" s="88">
        <v>43692</v>
      </c>
      <c r="B16" s="89">
        <f t="shared" ca="1" si="0"/>
        <v>0</v>
      </c>
      <c r="C16" s="90">
        <f ca="1">GetFileList("P:\TP et Raccodement\FICHES CREES RACCORDEMENT\1 - RACCOS A SAISIR DANS AX\15-08-2019\*LM RACCO*.pdf")</f>
        <v>0</v>
      </c>
      <c r="D16" s="90">
        <f ca="1">GetFileList("P:\TP et Raccodement\FICHES CREES RACCORDEMENT\1 - RACCOS A SAISIR DANS AX\15-08-2019\*LR RACCO*.pdf")</f>
        <v>0</v>
      </c>
      <c r="E16" s="91">
        <f ca="1">GetFileList("P:\TP et Raccodement\FICHES CREES RACCORDEMENT\1 - RACCOS A SAISIR DANS AX\15-08-2019\*CL RACCO*.pdf")</f>
        <v>0</v>
      </c>
      <c r="F16" s="92">
        <f t="shared" ca="1" si="2"/>
        <v>0</v>
      </c>
      <c r="G16" s="90">
        <f ca="1">GetFileList("P:\TP et Raccodement\FICHES CREES RACCORDEMENT\2 - SAV + COMPL + PASSAGE W XV A SAISIR DANS AX\15-08-2019\*LM PASS*.pdf")</f>
        <v>0</v>
      </c>
      <c r="H16" s="90">
        <f ca="1">GetFileList("P:\TP et Raccodement\FICHES CREES RACCORDEMENT\2 - SAV + COMPL + PASSAGE W XV A SAISIR DANS AX\15-08-2019\*LR PASS*.pdf")</f>
        <v>0</v>
      </c>
      <c r="I16" s="91">
        <f ca="1">GetFileList("P:\TP et Raccodement\FICHES CREES RACCORDEMENT\2 - SAV + COMPL + PASSAGE W XV A SAISIR DANS AX\15-08-2019\*CL PASS*.pdf")</f>
        <v>0</v>
      </c>
      <c r="J16" s="93">
        <f ca="1">GetFileList("P:\TP et Raccodement\FICHES CREES RACCORDEMENT\2 - SAV + COMPL + PASSAGE W XV A SAISIR DANS AX\15-08-2019\*SAV*.pdf")</f>
        <v>0</v>
      </c>
      <c r="K16" s="94">
        <f ca="1">GetFileList("P:\TP et Raccodement\FICHES CREES RACCORDEMENT\2 - SAV + COMPL + PASSAGE W XV A SAISIR DANS AX\15-08-2019\*COMPLEMENT*.pdf")</f>
        <v>0</v>
      </c>
      <c r="L16" s="94">
        <f ca="1">GetFileList("P:\TP et Raccodement\FICHES CREES RACCORDEMENT\2 - SAV + COMPL + PASSAGE W XV A SAISIR DANS AX\15-08-2019\*REPRISE*.pdf")</f>
        <v>0</v>
      </c>
      <c r="M16" s="95">
        <f ca="1">GetFileList("P:\TP et Raccodement\FICHES CREES RACCORDEMENT\2 - SAV + COMPL + PASSAGE W XV A SAISIR DANS AX\15-08-2019\*REMONTAGE*.pdf")</f>
        <v>0</v>
      </c>
      <c r="N16" s="61"/>
      <c r="O16" s="73">
        <f t="shared" ca="1" si="1"/>
        <v>0</v>
      </c>
    </row>
    <row r="17" spans="1:15" ht="16.5" x14ac:dyDescent="0.3">
      <c r="A17" s="59">
        <v>43693</v>
      </c>
      <c r="B17" s="74">
        <f t="shared" ca="1" si="0"/>
        <v>0</v>
      </c>
      <c r="C17" s="67">
        <f ca="1">GetFileList("P:\TP et Raccodement\FICHES CREES RACCORDEMENT\1 - RACCOS A SAISIR DANS AX\16-08-2019\*LM RACCO*.pdf")</f>
        <v>0</v>
      </c>
      <c r="D17" s="67">
        <f ca="1">GetFileList("P:\TP et Raccodement\FICHES CREES RACCORDEMENT\1 - RACCOS A SAISIR DANS AX\16-08-2019\*LR RACCO*.pdf")</f>
        <v>0</v>
      </c>
      <c r="E17" s="68">
        <f ca="1">GetFileList("P:\TP et Raccodement\FICHES CREES RACCORDEMENT\1 - RACCOS A SAISIR DANS AX\16-08-2019\*CL RACCO*.pdf")</f>
        <v>0</v>
      </c>
      <c r="F17" s="75">
        <f t="shared" ca="1" si="2"/>
        <v>0</v>
      </c>
      <c r="G17" s="67">
        <f ca="1">GetFileList("P:\TP et Raccodement\FICHES CREES RACCORDEMENT\2 - SAV + COMPL + PASSAGE W XV A SAISIR DANS AX\16-08-2019\*LM PASS*.pdf")</f>
        <v>0</v>
      </c>
      <c r="H17" s="67">
        <f ca="1">GetFileList("P:\TP et Raccodement\FICHES CREES RACCORDEMENT\2 - SAV + COMPL + PASSAGE W XV A SAISIR DANS AX\16-08-2019\*LR PASS*.pdf")</f>
        <v>0</v>
      </c>
      <c r="I17" s="68">
        <f ca="1">GetFileList("P:\TP et Raccodement\FICHES CREES RACCORDEMENT\2 - SAV + COMPL + PASSAGE W XV A SAISIR DANS AX\16-08-2019\*CL PASS*.pdf")</f>
        <v>0</v>
      </c>
      <c r="J17" s="76">
        <f ca="1">GetFileList("P:\TP et Raccodement\FICHES CREES RACCORDEMENT\2 - SAV + COMPL + PASSAGE W XV A SAISIR DANS AX\16-08-2019\*SAV*.pdf")</f>
        <v>0</v>
      </c>
      <c r="K17" s="77">
        <f ca="1">GetFileList("P:\TP et Raccodement\FICHES CREES RACCORDEMENT\2 - SAV + COMPL + PASSAGE W XV A SAISIR DANS AX\16-08-2019\*COMPLEMENT*.pdf")</f>
        <v>0</v>
      </c>
      <c r="L17" s="77">
        <f ca="1">GetFileList("P:\TP et Raccodement\FICHES CREES RACCORDEMENT\2 - SAV + COMPL + PASSAGE W XV A SAISIR DANS AX\16-08-2019\*REPRISE*.pdf")</f>
        <v>0</v>
      </c>
      <c r="M17" s="78">
        <f ca="1">GetFileList("P:\TP et Raccodement\FICHES CREES RACCORDEMENT\2 - SAV + COMPL + PASSAGE W XV A SAISIR DANS AX\16-08-2019\*REMONTAGE*.pdf")</f>
        <v>0</v>
      </c>
      <c r="N17" s="61"/>
      <c r="O17" s="73">
        <f t="shared" ca="1" si="1"/>
        <v>0</v>
      </c>
    </row>
    <row r="18" spans="1:15" ht="16.5" x14ac:dyDescent="0.3">
      <c r="A18" s="59">
        <v>43694</v>
      </c>
      <c r="B18" s="74">
        <f t="shared" ca="1" si="0"/>
        <v>0</v>
      </c>
      <c r="C18" s="67">
        <f ca="1">GetFileList("P:\TP et Raccodement\FICHES CREES RACCORDEMENT\1 - RACCOS A SAISIR DANS AX\17-08-2019\*LM RACCO*.pdf")</f>
        <v>0</v>
      </c>
      <c r="D18" s="67">
        <f ca="1">GetFileList("P:\TP et Raccodement\FICHES CREES RACCORDEMENT\1 - RACCOS A SAISIR DANS AX\17-08-2019\*LR RACCO*.pdf")</f>
        <v>0</v>
      </c>
      <c r="E18" s="68">
        <f ca="1">GetFileList("P:\TP et Raccodement\FICHES CREES RACCORDEMENT\1 - RACCOS A SAISIR DANS AX\17-08-2019\*CL RACCO*.pdf")</f>
        <v>0</v>
      </c>
      <c r="F18" s="75">
        <f t="shared" ca="1" si="2"/>
        <v>0</v>
      </c>
      <c r="G18" s="67">
        <f ca="1">GetFileList("P:\TP et Raccodement\FICHES CREES RACCORDEMENT\2 - SAV + COMPL + PASSAGE W XV A SAISIR DANS AX\17-08-2019\*LM PASS*.pdf")</f>
        <v>0</v>
      </c>
      <c r="H18" s="67">
        <f ca="1">GetFileList("P:\TP et Raccodement\FICHES CREES RACCORDEMENT\2 - SAV + COMPL + PASSAGE W XV A SAISIR DANS AX\17-08-2019\*LR PASS*.pdf")</f>
        <v>0</v>
      </c>
      <c r="I18" s="68">
        <f ca="1">GetFileList("P:\TP et Raccodement\FICHES CREES RACCORDEMENT\2 - SAV + COMPL + PASSAGE W XV A SAISIR DANS AX\17-08-2019\*CL PASS*.pdf")</f>
        <v>0</v>
      </c>
      <c r="J18" s="76">
        <f ca="1">GetFileList("P:\TP et Raccodement\FICHES CREES RACCORDEMENT\2 - SAV + COMPL + PASSAGE W XV A SAISIR DANS AX\17-08-2019\*SAV*.pdf")</f>
        <v>0</v>
      </c>
      <c r="K18" s="77">
        <f ca="1">GetFileList("P:\TP et Raccodement\FICHES CREES RACCORDEMENT\2 - SAV + COMPL + PASSAGE W XV A SAISIR DANS AX\17-08-2019\*COMPLEMENT*.pdf")</f>
        <v>0</v>
      </c>
      <c r="L18" s="77">
        <f ca="1">GetFileList("P:\TP et Raccodement\FICHES CREES RACCORDEMENT\2 - SAV + COMPL + PASSAGE W XV A SAISIR DANS AX\17-08-2019\*REPRISE*.pdf")</f>
        <v>0</v>
      </c>
      <c r="M18" s="78">
        <f ca="1">GetFileList("P:\TP et Raccodement\FICHES CREES RACCORDEMENT\2 - SAV + COMPL + PASSAGE W XV A SAISIR DANS AX\17-08-2019\*REMONTAGE*.pdf")</f>
        <v>0</v>
      </c>
      <c r="N18" s="61"/>
      <c r="O18" s="73">
        <f t="shared" ca="1" si="1"/>
        <v>0</v>
      </c>
    </row>
    <row r="19" spans="1:15" ht="16.5" x14ac:dyDescent="0.3">
      <c r="A19" s="88">
        <v>43695</v>
      </c>
      <c r="B19" s="89">
        <f t="shared" ca="1" si="0"/>
        <v>0</v>
      </c>
      <c r="C19" s="90">
        <f ca="1">GetFileList("P:\TP et Raccodement\FICHES CREES RACCORDEMENT\1 - RACCOS A SAISIR DANS AX\18-08-2019\*LM RACCO*.pdf")</f>
        <v>0</v>
      </c>
      <c r="D19" s="90">
        <f ca="1">GetFileList("P:\TP et Raccodement\FICHES CREES RACCORDEMENT\1 - RACCOS A SAISIR DANS AX\18-08-2019\*LR RACCO*.pdf")</f>
        <v>0</v>
      </c>
      <c r="E19" s="91">
        <f ca="1">GetFileList("P:\TP et Raccodement\FICHES CREES RACCORDEMENT\1 - RACCOS A SAISIR DANS AX\18-08-2019\*CL RACCO*.pdf")</f>
        <v>0</v>
      </c>
      <c r="F19" s="92">
        <f t="shared" ca="1" si="2"/>
        <v>0</v>
      </c>
      <c r="G19" s="90">
        <f ca="1">GetFileList("P:\TP et Raccodement\FICHES CREES RACCORDEMENT\2 - SAV + COMPL + PASSAGE W XV A SAISIR DANS AX\18-08-2019\*LM PASS*.pdf")</f>
        <v>0</v>
      </c>
      <c r="H19" s="90">
        <f ca="1">GetFileList("P:\TP et Raccodement\FICHES CREES RACCORDEMENT\2 - SAV + COMPL + PASSAGE W XV A SAISIR DANS AX\18-08-2019\*LR PASS*.pdf")</f>
        <v>0</v>
      </c>
      <c r="I19" s="91">
        <f ca="1">GetFileList("P:\TP et Raccodement\FICHES CREES RACCORDEMENT\2 - SAV + COMPL + PASSAGE W XV A SAISIR DANS AX\18-08-2019\*CL PASS*.pdf")</f>
        <v>0</v>
      </c>
      <c r="J19" s="93">
        <f ca="1">GetFileList("P:\TP et Raccodement\FICHES CREES RACCORDEMENT\2 - SAV + COMPL + PASSAGE W XV A SAISIR DANS AX\18-08-2019\*SAV*.pdf")</f>
        <v>0</v>
      </c>
      <c r="K19" s="94">
        <f ca="1">GetFileList("P:\TP et Raccodement\FICHES CREES RACCORDEMENT\2 - SAV + COMPL + PASSAGE W XV A SAISIR DANS AX\18-08-2019\*COMPLEMENT*.pdf")</f>
        <v>0</v>
      </c>
      <c r="L19" s="94">
        <f ca="1">GetFileList("P:\TP et Raccodement\FICHES CREES RACCORDEMENT\2 - SAV + COMPL + PASSAGE W XV A SAISIR DANS AX\18-08-2019\*REPRISE*.pdf")</f>
        <v>0</v>
      </c>
      <c r="M19" s="95">
        <f ca="1">GetFileList("P:\TP et Raccodement\FICHES CREES RACCORDEMENT\2 - SAV + COMPL + PASSAGE W XV A SAISIR DANS AX\18-08-2019\*REMONTAGE*.pdf")</f>
        <v>0</v>
      </c>
      <c r="N19" s="61"/>
      <c r="O19" s="73">
        <f t="shared" ca="1" si="1"/>
        <v>0</v>
      </c>
    </row>
    <row r="20" spans="1:15" ht="16.5" x14ac:dyDescent="0.3">
      <c r="A20" s="59">
        <v>43696</v>
      </c>
      <c r="B20" s="74">
        <f t="shared" ca="1" si="0"/>
        <v>0</v>
      </c>
      <c r="C20" s="67">
        <f ca="1">GetFileList("P:\TP et Raccodement\FICHES CREES RACCORDEMENT\1 - RACCOS A SAISIR DANS AX\19-08-2019\*LM RACCO*.pdf")</f>
        <v>0</v>
      </c>
      <c r="D20" s="67">
        <f ca="1">GetFileList("P:\TP et Raccodement\FICHES CREES RACCORDEMENT\1 - RACCOS A SAISIR DANS AX\19-08-2019\*LR RACCO*.pdf")</f>
        <v>0</v>
      </c>
      <c r="E20" s="68">
        <f ca="1">GetFileList("P:\TP et Raccodement\FICHES CREES RACCORDEMENT\1 - RACCOS A SAISIR DANS AX\19-08-2019\*CL RACCO*.pdf")</f>
        <v>0</v>
      </c>
      <c r="F20" s="75">
        <f t="shared" ca="1" si="2"/>
        <v>0</v>
      </c>
      <c r="G20" s="67">
        <f ca="1">GetFileList("P:\TP et Raccodement\FICHES CREES RACCORDEMENT\2 - SAV + COMPL + PASSAGE W XV A SAISIR DANS AX\19-08-2019\*LM PASS*.pdf")</f>
        <v>0</v>
      </c>
      <c r="H20" s="67">
        <f ca="1">GetFileList("P:\TP et Raccodement\FICHES CREES RACCORDEMENT\2 - SAV + COMPL + PASSAGE W XV A SAISIR DANS AX\19-08-2019\*LR PASS*.pdf")</f>
        <v>0</v>
      </c>
      <c r="I20" s="68">
        <f ca="1">GetFileList("P:\TP et Raccodement\FICHES CREES RACCORDEMENT\2 - SAV + COMPL + PASSAGE W XV A SAISIR DANS AX\19-08-2019\*CL PASS*.pdf")</f>
        <v>0</v>
      </c>
      <c r="J20" s="76">
        <f ca="1">GetFileList("P:\TP et Raccodement\FICHES CREES RACCORDEMENT\2 - SAV + COMPL + PASSAGE W XV A SAISIR DANS AX\19-08-2019\*SAV*.pdf")</f>
        <v>0</v>
      </c>
      <c r="K20" s="77">
        <f ca="1">GetFileList("P:\TP et Raccodement\FICHES CREES RACCORDEMENT\2 - SAV + COMPL + PASSAGE W XV A SAISIR DANS AX\19-08-2019\*COMPLEMENT*.pdf")</f>
        <v>0</v>
      </c>
      <c r="L20" s="77">
        <f ca="1">GetFileList("P:\TP et Raccodement\FICHES CREES RACCORDEMENT\2 - SAV + COMPL + PASSAGE W XV A SAISIR DANS AX\19-08-2019\*REPRISE*.pdf")</f>
        <v>0</v>
      </c>
      <c r="M20" s="78">
        <f ca="1">GetFileList("P:\TP et Raccodement\FICHES CREES RACCORDEMENT\2 - SAV + COMPL + PASSAGE W XV A SAISIR DANS AX\19-08-2019\*REMONTAGE*.pdf")</f>
        <v>0</v>
      </c>
      <c r="N20" s="61"/>
      <c r="O20" s="73">
        <f t="shared" ca="1" si="1"/>
        <v>0</v>
      </c>
    </row>
    <row r="21" spans="1:15" ht="16.5" x14ac:dyDescent="0.3">
      <c r="A21" s="59">
        <v>43697</v>
      </c>
      <c r="B21" s="74">
        <f t="shared" ca="1" si="0"/>
        <v>0</v>
      </c>
      <c r="C21" s="67">
        <f ca="1">GetFileList("P:\TP et Raccodement\FICHES CREES RACCORDEMENT\1 - RACCOS A SAISIR DANS AX\20-08-2019\*LM RACCO*.pdf")</f>
        <v>0</v>
      </c>
      <c r="D21" s="67">
        <f ca="1">GetFileList("P:\TP et Raccodement\FICHES CREES RACCORDEMENT\1 - RACCOS A SAISIR DANS AX\20-08-2019\*LR RACCO*.pdf")</f>
        <v>0</v>
      </c>
      <c r="E21" s="68">
        <f ca="1">GetFileList("P:\TP et Raccodement\FICHES CREES RACCORDEMENT\1 - RACCOS A SAISIR DANS AX\20-08-2019\*CL RACCO*.pdf")</f>
        <v>0</v>
      </c>
      <c r="F21" s="75">
        <f t="shared" ca="1" si="2"/>
        <v>0</v>
      </c>
      <c r="G21" s="67">
        <f ca="1">GetFileList("P:\TP et Raccodement\FICHES CREES RACCORDEMENT\2 - SAV + COMPL + PASSAGE W XV A SAISIR DANS AX\20-08-2019\*LM PASS*.pdf")</f>
        <v>0</v>
      </c>
      <c r="H21" s="67">
        <f ca="1">GetFileList("P:\TP et Raccodement\FICHES CREES RACCORDEMENT\2 - SAV + COMPL + PASSAGE W XV A SAISIR DANS AX\20-08-2019\*LR PASS*.pdf")</f>
        <v>0</v>
      </c>
      <c r="I21" s="68">
        <f ca="1">GetFileList("P:\TP et Raccodement\FICHES CREES RACCORDEMENT\2 - SAV + COMPL + PASSAGE W XV A SAISIR DANS AX\20-08-2019\*CL PASS*.pdf")</f>
        <v>0</v>
      </c>
      <c r="J21" s="76">
        <f ca="1">GetFileList("P:\TP et Raccodement\FICHES CREES RACCORDEMENT\2 - SAV + COMPL + PASSAGE W XV A SAISIR DANS AX\20-08-2019\*SAV*.pdf")</f>
        <v>0</v>
      </c>
      <c r="K21" s="77">
        <f ca="1">GetFileList("P:\TP et Raccodement\FICHES CREES RACCORDEMENT\2 - SAV + COMPL + PASSAGE W XV A SAISIR DANS AX\20-08-2019\*COMPLEMENT*.pdf")</f>
        <v>0</v>
      </c>
      <c r="L21" s="77">
        <f ca="1">GetFileList("P:\TP et Raccodement\FICHES CREES RACCORDEMENT\2 - SAV + COMPL + PASSAGE W XV A SAISIR DANS AX\20-08-2019\*REPRISE*.pdf")</f>
        <v>0</v>
      </c>
      <c r="M21" s="78">
        <f ca="1">GetFileList("P:\TP et Raccodement\FICHES CREES RACCORDEMENT\2 - SAV + COMPL + PASSAGE W XV A SAISIR DANS AX\20-08-2019\*REMONTAGE*.pdf")</f>
        <v>0</v>
      </c>
      <c r="N21" s="61"/>
      <c r="O21" s="73">
        <f t="shared" ca="1" si="1"/>
        <v>0</v>
      </c>
    </row>
    <row r="22" spans="1:15" ht="16.5" x14ac:dyDescent="0.3">
      <c r="A22" s="59">
        <v>43698</v>
      </c>
      <c r="B22" s="74">
        <f t="shared" ca="1" si="0"/>
        <v>0</v>
      </c>
      <c r="C22" s="67">
        <f ca="1">GetFileList("P:\TP et Raccodement\FICHES CREES RACCORDEMENT\1 - RACCOS A SAISIR DANS AX\21-08-2019\*LM RACCO*.pdf")</f>
        <v>0</v>
      </c>
      <c r="D22" s="67">
        <f ca="1">GetFileList("P:\TP et Raccodement\FICHES CREES RACCORDEMENT\1 - RACCOS A SAISIR DANS AX\21-08-2019\*LR RACCO*.pdf")</f>
        <v>0</v>
      </c>
      <c r="E22" s="68">
        <f ca="1">GetFileList("P:\TP et Raccodement\FICHES CREES RACCORDEMENT\1 - RACCOS A SAISIR DANS AX\21-08-2019\*CL RACCO*.pdf")</f>
        <v>0</v>
      </c>
      <c r="F22" s="75">
        <f t="shared" ca="1" si="2"/>
        <v>0</v>
      </c>
      <c r="G22" s="67">
        <f ca="1">GetFileList("P:\TP et Raccodement\FICHES CREES RACCORDEMENT\2 - SAV + COMPL + PASSAGE W XV A SAISIR DANS AX\21-08-2019\*LM PASS*.pdf")</f>
        <v>0</v>
      </c>
      <c r="H22" s="67">
        <f ca="1">GetFileList("P:\TP et Raccodement\FICHES CREES RACCORDEMENT\2 - SAV + COMPL + PASSAGE W XV A SAISIR DANS AX\21-08-2019\*LR PASS*.pdf")</f>
        <v>0</v>
      </c>
      <c r="I22" s="68">
        <f ca="1">GetFileList("P:\TP et Raccodement\FICHES CREES RACCORDEMENT\2 - SAV + COMPL + PASSAGE W XV A SAISIR DANS AX\21-08-2019\*CL PASS*.pdf")</f>
        <v>0</v>
      </c>
      <c r="J22" s="76">
        <f ca="1">GetFileList("P:\TP et Raccodement\FICHES CREES RACCORDEMENT\2 - SAV + COMPL + PASSAGE W XV A SAISIR DANS AX\21-08-2019\*SAV*.pdf")</f>
        <v>0</v>
      </c>
      <c r="K22" s="77">
        <f ca="1">GetFileList("P:\TP et Raccodement\FICHES CREES RACCORDEMENT\2 - SAV + COMPL + PASSAGE W XV A SAISIR DANS AX\21-08-2019\*COMPLEMENT*.pdf")</f>
        <v>0</v>
      </c>
      <c r="L22" s="77">
        <f ca="1">GetFileList("P:\TP et Raccodement\FICHES CREES RACCORDEMENT\2 - SAV + COMPL + PASSAGE W XV A SAISIR DANS AX\21-08-2019\*REPRISE*.pdf")</f>
        <v>0</v>
      </c>
      <c r="M22" s="78">
        <f ca="1">GetFileList("P:\TP et Raccodement\FICHES CREES RACCORDEMENT\2 - SAV + COMPL + PASSAGE W XV A SAISIR DANS AX\21-08-2019\*REMONTAGE*.pdf")</f>
        <v>0</v>
      </c>
      <c r="N22" s="61"/>
      <c r="O22" s="73">
        <f t="shared" ca="1" si="1"/>
        <v>0</v>
      </c>
    </row>
    <row r="23" spans="1:15" ht="16.5" x14ac:dyDescent="0.3">
      <c r="A23" s="59">
        <v>43699</v>
      </c>
      <c r="B23" s="74">
        <f t="shared" ca="1" si="0"/>
        <v>0</v>
      </c>
      <c r="C23" s="67">
        <f ca="1">GetFileList("P:\TP et Raccodement\FICHES CREES RACCORDEMENT\1 - RACCOS A SAISIR DANS AX\22-08-2019\*LM RACCO*.pdf")</f>
        <v>0</v>
      </c>
      <c r="D23" s="67">
        <f ca="1">GetFileList("P:\TP et Raccodement\FICHES CREES RACCORDEMENT\1 - RACCOS A SAISIR DANS AX\22-08-2019\*LR RACCO*.pdf")</f>
        <v>0</v>
      </c>
      <c r="E23" s="68">
        <f ca="1">GetFileList("P:\TP et Raccodement\FICHES CREES RACCORDEMENT\1 - RACCOS A SAISIR DANS AX\22-08-2019\*CL RACCO*.pdf")</f>
        <v>0</v>
      </c>
      <c r="F23" s="75">
        <f t="shared" ca="1" si="2"/>
        <v>0</v>
      </c>
      <c r="G23" s="67">
        <f ca="1">GetFileList("P:\TP et Raccodement\FICHES CREES RACCORDEMENT\2 - SAV + COMPL + PASSAGE W XV A SAISIR DANS AX\22-08-2019\*LM PASS*.pdf")</f>
        <v>0</v>
      </c>
      <c r="H23" s="67">
        <f ca="1">GetFileList("P:\TP et Raccodement\FICHES CREES RACCORDEMENT\2 - SAV + COMPL + PASSAGE W XV A SAISIR DANS AX\22-08-2019\*LR PASS*.pdf")</f>
        <v>0</v>
      </c>
      <c r="I23" s="68">
        <f ca="1">GetFileList("P:\TP et Raccodement\FICHES CREES RACCORDEMENT\2 - SAV + COMPL + PASSAGE W XV A SAISIR DANS AX\22-08-2019\*CL PASS*.pdf")</f>
        <v>0</v>
      </c>
      <c r="J23" s="76">
        <f ca="1">GetFileList("P:\TP et Raccodement\FICHES CREES RACCORDEMENT\2 - SAV + COMPL + PASSAGE W XV A SAISIR DANS AX\22-08-2019\*SAV*.pdf")</f>
        <v>0</v>
      </c>
      <c r="K23" s="77">
        <f ca="1">GetFileList("P:\TP et Raccodement\FICHES CREES RACCORDEMENT\2 - SAV + COMPL + PASSAGE W XV A SAISIR DANS AX\22-08-2019\*COMPLEMENT*.pdf")</f>
        <v>0</v>
      </c>
      <c r="L23" s="77">
        <f ca="1">GetFileList("P:\TP et Raccodement\FICHES CREES RACCORDEMENT\2 - SAV + COMPL + PASSAGE W XV A SAISIR DANS AX\22-08-2019\*REPRISE*.pdf")</f>
        <v>0</v>
      </c>
      <c r="M23" s="78">
        <f ca="1">GetFileList("P:\TP et Raccodement\FICHES CREES RACCORDEMENT\2 - SAV + COMPL + PASSAGE W XV A SAISIR DANS AX\22-08-2019\*REMONTAGE*.pdf")</f>
        <v>0</v>
      </c>
      <c r="N23" s="61"/>
      <c r="O23" s="73">
        <f t="shared" ca="1" si="1"/>
        <v>0</v>
      </c>
    </row>
    <row r="24" spans="1:15" ht="16.5" x14ac:dyDescent="0.3">
      <c r="A24" s="59">
        <v>43700</v>
      </c>
      <c r="B24" s="74">
        <f t="shared" ca="1" si="0"/>
        <v>0</v>
      </c>
      <c r="C24" s="67">
        <f ca="1">GetFileList("P:\TP et Raccodement\FICHES CREES RACCORDEMENT\1 - RACCOS A SAISIR DANS AX\23-08-2019\*LM RACCO*.pdf")</f>
        <v>0</v>
      </c>
      <c r="D24" s="67">
        <f ca="1">GetFileList("P:\TP et Raccodement\FICHES CREES RACCORDEMENT\1 - RACCOS A SAISIR DANS AX\23-08-2019\*LR RACCO*.pdf")</f>
        <v>0</v>
      </c>
      <c r="E24" s="68">
        <f ca="1">GetFileList("P:\TP et Raccodement\FICHES CREES RACCORDEMENT\1 - RACCOS A SAISIR DANS AX\23-08-2019\*CL RACCO*.pdf")</f>
        <v>0</v>
      </c>
      <c r="F24" s="75">
        <f t="shared" ca="1" si="2"/>
        <v>0</v>
      </c>
      <c r="G24" s="67">
        <f ca="1">GetFileList("P:\TP et Raccodement\FICHES CREES RACCORDEMENT\2 - SAV + COMPL + PASSAGE W XV A SAISIR DANS AX\23-08-2019\*LM PASS*.pdf")</f>
        <v>0</v>
      </c>
      <c r="H24" s="67">
        <f ca="1">GetFileList("P:\TP et Raccodement\FICHES CREES RACCORDEMENT\2 - SAV + COMPL + PASSAGE W XV A SAISIR DANS AX\23-08-2019\*LR PASS*.pdf")</f>
        <v>0</v>
      </c>
      <c r="I24" s="68">
        <f ca="1">GetFileList("P:\TP et Raccodement\FICHES CREES RACCORDEMENT\2 - SAV + COMPL + PASSAGE W XV A SAISIR DANS AX\23-08-2019\*CL PASS*.pdf")</f>
        <v>0</v>
      </c>
      <c r="J24" s="76">
        <f ca="1">GetFileList("P:\TP et Raccodement\FICHES CREES RACCORDEMENT\2 - SAV + COMPL + PASSAGE W XV A SAISIR DANS AX\23-08-2019\*SAV*.pdf")</f>
        <v>0</v>
      </c>
      <c r="K24" s="77">
        <f ca="1">GetFileList("P:\TP et Raccodement\FICHES CREES RACCORDEMENT\2 - SAV + COMPL + PASSAGE W XV A SAISIR DANS AX\23-08-2019\*COMPLEMENT*.pdf")</f>
        <v>0</v>
      </c>
      <c r="L24" s="77">
        <f ca="1">GetFileList("P:\TP et Raccodement\FICHES CREES RACCORDEMENT\2 - SAV + COMPL + PASSAGE W XV A SAISIR DANS AX\23-08-2019\*REPRISE*.pdf")</f>
        <v>0</v>
      </c>
      <c r="M24" s="78">
        <f ca="1">GetFileList("P:\TP et Raccodement\FICHES CREES RACCORDEMENT\2 - SAV + COMPL + PASSAGE W XV A SAISIR DANS AX\23-08-2019\*REMONTAGE*.pdf")</f>
        <v>0</v>
      </c>
      <c r="N24" s="61"/>
      <c r="O24" s="73">
        <f t="shared" ca="1" si="1"/>
        <v>0</v>
      </c>
    </row>
    <row r="25" spans="1:15" ht="16.5" x14ac:dyDescent="0.3">
      <c r="A25" s="59">
        <v>43701</v>
      </c>
      <c r="B25" s="74">
        <f t="shared" ca="1" si="0"/>
        <v>0</v>
      </c>
      <c r="C25" s="67">
        <f ca="1">GetFileList("P:\TP et Raccodement\FICHES CREES RACCORDEMENT\1 - RACCOS A SAISIR DANS AX\24-08-2019\*LM RACCO*.pdf")</f>
        <v>0</v>
      </c>
      <c r="D25" s="67">
        <f ca="1">GetFileList("P:\TP et Raccodement\FICHES CREES RACCORDEMENT\1 - RACCOS A SAISIR DANS AX\24-08-2019\*LR RACCO*.pdf")</f>
        <v>0</v>
      </c>
      <c r="E25" s="68">
        <f ca="1">GetFileList("P:\TP et Raccodement\FICHES CREES RACCORDEMENT\1 - RACCOS A SAISIR DANS AX\24-08-2019\*CL RACCO*.pdf")</f>
        <v>0</v>
      </c>
      <c r="F25" s="75">
        <f t="shared" ca="1" si="2"/>
        <v>0</v>
      </c>
      <c r="G25" s="67">
        <f ca="1">GetFileList("P:\TP et Raccodement\FICHES CREES RACCORDEMENT\2 - SAV + COMPL + PASSAGE W XV A SAISIR DANS AX\24-08-2019\*LM PASS*.pdf")</f>
        <v>0</v>
      </c>
      <c r="H25" s="67">
        <f ca="1">GetFileList("P:\TP et Raccodement\FICHES CREES RACCORDEMENT\2 - SAV + COMPL + PASSAGE W XV A SAISIR DANS AX\24-08-2019\*LR PASS*.pdf")</f>
        <v>0</v>
      </c>
      <c r="I25" s="68">
        <f ca="1">GetFileList("P:\TP et Raccodement\FICHES CREES RACCORDEMENT\2 - SAV + COMPL + PASSAGE W XV A SAISIR DANS AX\24-08-2019\*CL PASS*.pdf")</f>
        <v>0</v>
      </c>
      <c r="J25" s="76">
        <f ca="1">GetFileList("P:\TP et Raccodement\FICHES CREES RACCORDEMENT\2 - SAV + COMPL + PASSAGE W XV A SAISIR DANS AX\24-08-2019\*SAV*.pdf")</f>
        <v>0</v>
      </c>
      <c r="K25" s="77">
        <f ca="1">GetFileList("P:\TP et Raccodement\FICHES CREES RACCORDEMENT\2 - SAV + COMPL + PASSAGE W XV A SAISIR DANS AX\24-08-2019\*COMPLEMENT*.pdf")</f>
        <v>0</v>
      </c>
      <c r="L25" s="77">
        <f ca="1">GetFileList("P:\TP et Raccodement\FICHES CREES RACCORDEMENT\2 - SAV + COMPL + PASSAGE W XV A SAISIR DANS AX\24-08-2019\*REPRISE*.pdf")</f>
        <v>0</v>
      </c>
      <c r="M25" s="78">
        <f ca="1">GetFileList("P:\TP et Raccodement\FICHES CREES RACCORDEMENT\2 - SAV + COMPL + PASSAGE W XV A SAISIR DANS AX\24-08-2019\*REMONTAGE*.pdf")</f>
        <v>0</v>
      </c>
      <c r="N25" s="61"/>
      <c r="O25" s="73">
        <f t="shared" ca="1" si="1"/>
        <v>0</v>
      </c>
    </row>
    <row r="26" spans="1:15" ht="16.5" x14ac:dyDescent="0.3">
      <c r="A26" s="88">
        <v>43702</v>
      </c>
      <c r="B26" s="89">
        <f t="shared" ca="1" si="0"/>
        <v>0</v>
      </c>
      <c r="C26" s="90">
        <f ca="1">GetFileList("P:\TP et Raccodement\FICHES CREES RACCORDEMENT\1 - RACCOS A SAISIR DANS AX\25-08-2019\*LM RACCO*.pdf")</f>
        <v>0</v>
      </c>
      <c r="D26" s="90">
        <f ca="1">GetFileList("P:\TP et Raccodement\FICHES CREES RACCORDEMENT\1 - RACCOS A SAISIR DANS AX\25-08-2019\*LR RACCO*.pdf")</f>
        <v>0</v>
      </c>
      <c r="E26" s="91">
        <f ca="1">GetFileList("P:\TP et Raccodement\FICHES CREES RACCORDEMENT\1 - RACCOS A SAISIR DANS AX\25-08-2019\*CL RACCO*.pdf")</f>
        <v>0</v>
      </c>
      <c r="F26" s="92">
        <f t="shared" ca="1" si="2"/>
        <v>0</v>
      </c>
      <c r="G26" s="90">
        <f ca="1">GetFileList("P:\TP et Raccodement\FICHES CREES RACCORDEMENT\2 - SAV + COMPL + PASSAGE W XV A SAISIR DANS AX\25-08-2019\*LM PASS*.pdf")</f>
        <v>0</v>
      </c>
      <c r="H26" s="90">
        <f ca="1">GetFileList("P:\TP et Raccodement\FICHES CREES RACCORDEMENT\2 - SAV + COMPL + PASSAGE W XV A SAISIR DANS AX\25-08-2019\*LR PASS*.pdf")</f>
        <v>0</v>
      </c>
      <c r="I26" s="91">
        <f ca="1">GetFileList("P:\TP et Raccodement\FICHES CREES RACCORDEMENT\2 - SAV + COMPL + PASSAGE W XV A SAISIR DANS AX\25-08-2019\*CL PASS*.pdf")</f>
        <v>0</v>
      </c>
      <c r="J26" s="93">
        <f ca="1">GetFileList("P:\TP et Raccodement\FICHES CREES RACCORDEMENT\2 - SAV + COMPL + PASSAGE W XV A SAISIR DANS AX\25-08-2019\*SAV*.pdf")</f>
        <v>0</v>
      </c>
      <c r="K26" s="94">
        <f ca="1">GetFileList("P:\TP et Raccodement\FICHES CREES RACCORDEMENT\2 - SAV + COMPL + PASSAGE W XV A SAISIR DANS AX\25-08-2019\*COMPLEMENT*.pdf")</f>
        <v>0</v>
      </c>
      <c r="L26" s="94">
        <f ca="1">GetFileList("P:\TP et Raccodement\FICHES CREES RACCORDEMENT\2 - SAV + COMPL + PASSAGE W XV A SAISIR DANS AX\25-08-2019\*REPRISE*.pdf")</f>
        <v>0</v>
      </c>
      <c r="M26" s="95">
        <f ca="1">GetFileList("P:\TP et Raccodement\FICHES CREES RACCORDEMENT\2 - SAV + COMPL + PASSAGE W XV A SAISIR DANS AX\25-08-2019\*REMONTAGE*.pdf")</f>
        <v>0</v>
      </c>
      <c r="N26" s="61"/>
      <c r="O26" s="73">
        <f t="shared" ca="1" si="1"/>
        <v>0</v>
      </c>
    </row>
    <row r="27" spans="1:15" ht="16.5" x14ac:dyDescent="0.3">
      <c r="A27" s="59">
        <v>43703</v>
      </c>
      <c r="B27" s="74">
        <f t="shared" ca="1" si="0"/>
        <v>0</v>
      </c>
      <c r="C27" s="67">
        <f ca="1">GetFileList("P:\TP et Raccodement\FICHES CREES RACCORDEMENT\1 - RACCOS A SAISIR DANS AX\26-08-2019\*LM RACCO*.pdf")</f>
        <v>0</v>
      </c>
      <c r="D27" s="67">
        <f ca="1">GetFileList("P:\TP et Raccodement\FICHES CREES RACCORDEMENT\1 - RACCOS A SAISIR DANS AX\26-08-2019\*LR RACCO*.pdf")</f>
        <v>0</v>
      </c>
      <c r="E27" s="68">
        <f ca="1">GetFileList("P:\TP et Raccodement\FICHES CREES RACCORDEMENT\1 - RACCOS A SAISIR DANS AX\26-08-2019\*CL RACCO*.pdf")</f>
        <v>0</v>
      </c>
      <c r="F27" s="75">
        <f t="shared" ca="1" si="2"/>
        <v>0</v>
      </c>
      <c r="G27" s="67">
        <f ca="1">GetFileList("P:\TP et Raccodement\FICHES CREES RACCORDEMENT\2 - SAV + COMPL + PASSAGE W XV A SAISIR DANS AX\26-08-2019\*LM PASS*.pdf")</f>
        <v>0</v>
      </c>
      <c r="H27" s="67">
        <f ca="1">GetFileList("P:\TP et Raccodement\FICHES CREES RACCORDEMENT\2 - SAV + COMPL + PASSAGE W XV A SAISIR DANS AX\26-08-2019\*LR PASS*.pdf")</f>
        <v>0</v>
      </c>
      <c r="I27" s="68">
        <f ca="1">GetFileList("P:\TP et Raccodement\FICHES CREES RACCORDEMENT\2 - SAV + COMPL + PASSAGE W XV A SAISIR DANS AX\26-08-2019\*CL PASS*.pdf")</f>
        <v>0</v>
      </c>
      <c r="J27" s="76">
        <f ca="1">GetFileList("P:\TP et Raccodement\FICHES CREES RACCORDEMENT\2 - SAV + COMPL + PASSAGE W XV A SAISIR DANS AX\26-08-2019\*SAV*.pdf")</f>
        <v>0</v>
      </c>
      <c r="K27" s="77">
        <f ca="1">GetFileList("P:\TP et Raccodement\FICHES CREES RACCORDEMENT\2 - SAV + COMPL + PASSAGE W XV A SAISIR DANS AX\26-08-2019\*COMPLEMENT*.pdf")</f>
        <v>0</v>
      </c>
      <c r="L27" s="77">
        <f ca="1">GetFileList("P:\TP et Raccodement\FICHES CREES RACCORDEMENT\2 - SAV + COMPL + PASSAGE W XV A SAISIR DANS AX\26-08-2019\*REPRISE*.pdf")</f>
        <v>0</v>
      </c>
      <c r="M27" s="78">
        <f ca="1">GetFileList("P:\TP et Raccodement\FICHES CREES RACCORDEMENT\2 - SAV + COMPL + PASSAGE W XV A SAISIR DANS AX\26-08-2019\*REMONTAGE*.pdf")</f>
        <v>0</v>
      </c>
      <c r="N27" s="61"/>
      <c r="O27" s="73">
        <f t="shared" ca="1" si="1"/>
        <v>0</v>
      </c>
    </row>
    <row r="28" spans="1:15" ht="16.5" x14ac:dyDescent="0.3">
      <c r="A28" s="59">
        <v>43704</v>
      </c>
      <c r="B28" s="74">
        <f t="shared" ca="1" si="0"/>
        <v>0</v>
      </c>
      <c r="C28" s="67">
        <f ca="1">GetFileList("P:\TP et Raccodement\FICHES CREES RACCORDEMENT\1 - RACCOS A SAISIR DANS AX\27-08-2019\*LM RACCO*.pdf")</f>
        <v>0</v>
      </c>
      <c r="D28" s="67">
        <f ca="1">GetFileList("P:\TP et Raccodement\FICHES CREES RACCORDEMENT\1 - RACCOS A SAISIR DANS AX\27-08-2019\*LR RACCO*.pdf")</f>
        <v>0</v>
      </c>
      <c r="E28" s="68">
        <f ca="1">GetFileList("P:\TP et Raccodement\FICHES CREES RACCORDEMENT\1 - RACCOS A SAISIR DANS AX\27-08-2019\*CL RACCO*.pdf")</f>
        <v>0</v>
      </c>
      <c r="F28" s="75">
        <f t="shared" ca="1" si="2"/>
        <v>0</v>
      </c>
      <c r="G28" s="67">
        <f ca="1">GetFileList("P:\TP et Raccodement\FICHES CREES RACCORDEMENT\2 - SAV + COMPL + PASSAGE W XV A SAISIR DANS AX\27-08-2019\*LM PASS*.pdf")</f>
        <v>0</v>
      </c>
      <c r="H28" s="67">
        <f ca="1">GetFileList("P:\TP et Raccodement\FICHES CREES RACCORDEMENT\2 - SAV + COMPL + PASSAGE W XV A SAISIR DANS AX\27-08-2019\*LR PASS*.pdf")</f>
        <v>0</v>
      </c>
      <c r="I28" s="68">
        <f ca="1">GetFileList("P:\TP et Raccodement\FICHES CREES RACCORDEMENT\2 - SAV + COMPL + PASSAGE W XV A SAISIR DANS AX\27-08-2019\*CL PASS*.pdf")</f>
        <v>0</v>
      </c>
      <c r="J28" s="76">
        <f ca="1">GetFileList("P:\TP et Raccodement\FICHES CREES RACCORDEMENT\2 - SAV + COMPL + PASSAGE W XV A SAISIR DANS AX\27-08-2019\*SAV*.pdf")</f>
        <v>0</v>
      </c>
      <c r="K28" s="77">
        <f ca="1">GetFileList("P:\TP et Raccodement\FICHES CREES RACCORDEMENT\2 - SAV + COMPL + PASSAGE W XV A SAISIR DANS AX\27-08-2019\*COMPLEMENT*.pdf")</f>
        <v>0</v>
      </c>
      <c r="L28" s="77">
        <f ca="1">GetFileList("P:\TP et Raccodement\FICHES CREES RACCORDEMENT\2 - SAV + COMPL + PASSAGE W XV A SAISIR DANS AX\27-08-2019\*REPRISE*.pdf")</f>
        <v>0</v>
      </c>
      <c r="M28" s="78">
        <f ca="1">GetFileList("P:\TP et Raccodement\FICHES CREES RACCORDEMENT\2 - SAV + COMPL + PASSAGE W XV A SAISIR DANS AX\27-08-2019\*REMONTAGE*.pdf")</f>
        <v>0</v>
      </c>
      <c r="N28" s="61"/>
      <c r="O28" s="73">
        <f t="shared" ca="1" si="1"/>
        <v>0</v>
      </c>
    </row>
    <row r="29" spans="1:15" ht="16.5" x14ac:dyDescent="0.3">
      <c r="A29" s="59">
        <v>43705</v>
      </c>
      <c r="B29" s="74">
        <f t="shared" ca="1" si="0"/>
        <v>0</v>
      </c>
      <c r="C29" s="67">
        <f ca="1">GetFileList("P:\TP et Raccodement\FICHES CREES RACCORDEMENT\1 - RACCOS A SAISIR DANS AX\28-08-2019\*LM RACCO*.pdf")</f>
        <v>0</v>
      </c>
      <c r="D29" s="67">
        <f ca="1">GetFileList("P:\TP et Raccodement\FICHES CREES RACCORDEMENT\1 - RACCOS A SAISIR DANS AX\28-08-2019\*LR RACCO*.pdf")</f>
        <v>0</v>
      </c>
      <c r="E29" s="68">
        <f ca="1">GetFileList("P:\TP et Raccodement\FICHES CREES RACCORDEMENT\1 - RACCOS A SAISIR DANS AX\28-08-2019\*CL RACCO*.pdf")</f>
        <v>0</v>
      </c>
      <c r="F29" s="75">
        <f t="shared" ca="1" si="2"/>
        <v>0</v>
      </c>
      <c r="G29" s="67">
        <f ca="1">GetFileList("P:\TP et Raccodement\FICHES CREES RACCORDEMENT\2 - SAV + COMPL + PASSAGE W XV A SAISIR DANS AX\28-08-2019\*LM PASS*.pdf")</f>
        <v>0</v>
      </c>
      <c r="H29" s="67">
        <f ca="1">GetFileList("P:\TP et Raccodement\FICHES CREES RACCORDEMENT\2 - SAV + COMPL + PASSAGE W XV A SAISIR DANS AX\28-08-2019\*LR PASS*.pdf")</f>
        <v>0</v>
      </c>
      <c r="I29" s="68">
        <f ca="1">GetFileList("P:\TP et Raccodement\FICHES CREES RACCORDEMENT\2 - SAV + COMPL + PASSAGE W XV A SAISIR DANS AX\28-08-2019\*CL PASS*.pdf")</f>
        <v>0</v>
      </c>
      <c r="J29" s="76">
        <f ca="1">GetFileList("P:\TP et Raccodement\FICHES CREES RACCORDEMENT\2 - SAV + COMPL + PASSAGE W XV A SAISIR DANS AX\28-08-2019\*SAV*.pdf")</f>
        <v>0</v>
      </c>
      <c r="K29" s="77">
        <f ca="1">GetFileList("P:\TP et Raccodement\FICHES CREES RACCORDEMENT\2 - SAV + COMPL + PASSAGE W XV A SAISIR DANS AX\28-08-2019\*COMPLEMENT*.pdf")</f>
        <v>0</v>
      </c>
      <c r="L29" s="77">
        <f ca="1">GetFileList("P:\TP et Raccodement\FICHES CREES RACCORDEMENT\2 - SAV + COMPL + PASSAGE W XV A SAISIR DANS AX\28-08-2019\*REPRISE*.pdf")</f>
        <v>0</v>
      </c>
      <c r="M29" s="78">
        <f ca="1">GetFileList("P:\TP et Raccodement\FICHES CREES RACCORDEMENT\2 - SAV + COMPL + PASSAGE W XV A SAISIR DANS AX\28-08-2019\*REMONTAGE*.pdf")</f>
        <v>0</v>
      </c>
      <c r="N29" s="61"/>
      <c r="O29" s="73">
        <f t="shared" ca="1" si="1"/>
        <v>0</v>
      </c>
    </row>
    <row r="30" spans="1:15" ht="16.5" x14ac:dyDescent="0.3">
      <c r="A30" s="59">
        <v>43706</v>
      </c>
      <c r="B30" s="74">
        <f t="shared" ca="1" si="0"/>
        <v>0</v>
      </c>
      <c r="C30" s="67">
        <f ca="1">GetFileList("P:\TP et Raccodement\FICHES CREES RACCORDEMENT\1 - RACCOS A SAISIR DANS AX\29-08-2019\*LM RACCO*.pdf")</f>
        <v>0</v>
      </c>
      <c r="D30" s="67">
        <f ca="1">GetFileList("P:\TP et Raccodement\FICHES CREES RACCORDEMENT\1 - RACCOS A SAISIR DANS AX\29-08-2019\*LR RACCO*.pdf")</f>
        <v>0</v>
      </c>
      <c r="E30" s="68">
        <f ca="1">GetFileList("P:\TP et Raccodement\FICHES CREES RACCORDEMENT\1 - RACCOS A SAISIR DANS AX\29-08-2019\*CL RACCO*.pdf")</f>
        <v>0</v>
      </c>
      <c r="F30" s="75">
        <f t="shared" ca="1" si="2"/>
        <v>0</v>
      </c>
      <c r="G30" s="67">
        <f ca="1">GetFileList("P:\TP et Raccodement\FICHES CREES RACCORDEMENT\2 - SAV + COMPL + PASSAGE W XV A SAISIR DANS AX\29-08-2019\*LM PASS*.pdf")</f>
        <v>0</v>
      </c>
      <c r="H30" s="67">
        <f ca="1">GetFileList("P:\TP et Raccodement\FICHES CREES RACCORDEMENT\2 - SAV + COMPL + PASSAGE W XV A SAISIR DANS AX\29-08-2019\*LR PASS*.pdf")</f>
        <v>0</v>
      </c>
      <c r="I30" s="68">
        <f ca="1">GetFileList("P:\TP et Raccodement\FICHES CREES RACCORDEMENT\2 - SAV + COMPL + PASSAGE W XV A SAISIR DANS AX\29-08-2019\*CL PASS*.pdf")</f>
        <v>0</v>
      </c>
      <c r="J30" s="76">
        <f ca="1">GetFileList("P:\TP et Raccodement\FICHES CREES RACCORDEMENT\2 - SAV + COMPL + PASSAGE W XV A SAISIR DANS AX\29-08-2019\*SAV*.pdf")</f>
        <v>0</v>
      </c>
      <c r="K30" s="77">
        <f ca="1">GetFileList("P:\TP et Raccodement\FICHES CREES RACCORDEMENT\2 - SAV + COMPL + PASSAGE W XV A SAISIR DANS AX\29-08-2019\*COMPLEMENT*.pdf")</f>
        <v>0</v>
      </c>
      <c r="L30" s="77">
        <f ca="1">GetFileList("P:\TP et Raccodement\FICHES CREES RACCORDEMENT\2 - SAV + COMPL + PASSAGE W XV A SAISIR DANS AX\29-08-2019\*REPRISE*.pdf")</f>
        <v>0</v>
      </c>
      <c r="M30" s="78">
        <f ca="1">GetFileList("P:\TP et Raccodement\FICHES CREES RACCORDEMENT\2 - SAV + COMPL + PASSAGE W XV A SAISIR DANS AX\29-08-2019\*REMONTAGE*.pdf")</f>
        <v>0</v>
      </c>
      <c r="N30" s="61"/>
      <c r="O30" s="73">
        <f t="shared" ca="1" si="1"/>
        <v>0</v>
      </c>
    </row>
    <row r="31" spans="1:15" ht="16.5" x14ac:dyDescent="0.3">
      <c r="A31" s="59">
        <v>43707</v>
      </c>
      <c r="B31" s="74">
        <f t="shared" ca="1" si="0"/>
        <v>0</v>
      </c>
      <c r="C31" s="67">
        <f ca="1">GetFileList("P:\TP et Raccodement\FICHES CREES RACCORDEMENT\1 - RACCOS A SAISIR DANS AX\30-08-2019\*LM RACCO*.pdf")</f>
        <v>0</v>
      </c>
      <c r="D31" s="67">
        <f ca="1">GetFileList("P:\TP et Raccodement\FICHES CREES RACCORDEMENT\1 - RACCOS A SAISIR DANS AX\30-08-2019\*LR RACCO*.pdf")</f>
        <v>0</v>
      </c>
      <c r="E31" s="68">
        <f ca="1">GetFileList("P:\TP et Raccodement\FICHES CREES RACCORDEMENT\1 - RACCOS A SAISIR DANS AX\30-08-2019\*CL RACCO*.pdf")</f>
        <v>0</v>
      </c>
      <c r="F31" s="75">
        <f t="shared" ca="1" si="2"/>
        <v>0</v>
      </c>
      <c r="G31" s="67">
        <f ca="1">GetFileList("P:\TP et Raccodement\FICHES CREES RACCORDEMENT\2 - SAV + COMPL + PASSAGE W XV A SAISIR DANS AX\30-08-2019\*LM PASS*.pdf")</f>
        <v>0</v>
      </c>
      <c r="H31" s="67">
        <f ca="1">GetFileList("P:\TP et Raccodement\FICHES CREES RACCORDEMENT\2 - SAV + COMPL + PASSAGE W XV A SAISIR DANS AX\30-08-2019\*LR PASS*.pdf")</f>
        <v>0</v>
      </c>
      <c r="I31" s="68">
        <f ca="1">GetFileList("P:\TP et Raccodement\FICHES CREES RACCORDEMENT\2 - SAV + COMPL + PASSAGE W XV A SAISIR DANS AX\30-08-2019\*CL PASS*.pdf")</f>
        <v>0</v>
      </c>
      <c r="J31" s="76">
        <f ca="1">GetFileList("P:\TP et Raccodement\FICHES CREES RACCORDEMENT\2 - SAV + COMPL + PASSAGE W XV A SAISIR DANS AX\30-08-2019\*SAV*.pdf")</f>
        <v>0</v>
      </c>
      <c r="K31" s="77">
        <f ca="1">GetFileList("P:\TP et Raccodement\FICHES CREES RACCORDEMENT\2 - SAV + COMPL + PASSAGE W XV A SAISIR DANS AX\30-08-2019\*COMPLEMENT*.pdf")</f>
        <v>0</v>
      </c>
      <c r="L31" s="77">
        <f ca="1">GetFileList("P:\TP et Raccodement\FICHES CREES RACCORDEMENT\2 - SAV + COMPL + PASSAGE W XV A SAISIR DANS AX\30-08-2019\*REPRISE*.pdf")</f>
        <v>0</v>
      </c>
      <c r="M31" s="78">
        <f ca="1">GetFileList("P:\TP et Raccodement\FICHES CREES RACCORDEMENT\2 - SAV + COMPL + PASSAGE W XV A SAISIR DANS AX\30-08-2019\*REMONTAGE*.pdf")</f>
        <v>0</v>
      </c>
      <c r="N31" s="61"/>
      <c r="O31" s="73">
        <f t="shared" ca="1" si="1"/>
        <v>0</v>
      </c>
    </row>
    <row r="32" spans="1:15" ht="17.25" thickBot="1" x14ac:dyDescent="0.35">
      <c r="A32" s="59">
        <v>43708</v>
      </c>
      <c r="B32" s="74">
        <f t="shared" ca="1" si="0"/>
        <v>0</v>
      </c>
      <c r="C32" s="67">
        <f ca="1">GetFileList("P:\TP et Raccodement\FICHES CREES RACCORDEMENT\1 - RACCOS A SAISIR DANS AX\31-08-2019\*LM RACCO*.pdf")</f>
        <v>0</v>
      </c>
      <c r="D32" s="67">
        <f ca="1">GetFileList("P:\TP et Raccodement\FICHES CREES RACCORDEMENT\1 - RACCOS A SAISIR DANS AX\31-08-2019\*LR RACCO*.pdf")</f>
        <v>0</v>
      </c>
      <c r="E32" s="68">
        <f ca="1">GetFileList("P:\TP et Raccodement\FICHES CREES RACCORDEMENT\1 - RACCOS A SAISIR DANS AX\31-08-2019\*CL RACCO*.pdf")</f>
        <v>0</v>
      </c>
      <c r="F32" s="75">
        <f t="shared" ca="1" si="2"/>
        <v>0</v>
      </c>
      <c r="G32" s="67">
        <f ca="1">GetFileList("P:\TP et Raccodement\FICHES CREES RACCORDEMENT\2 - SAV + COMPL + PASSAGE W XV A SAISIR DANS AX\31-08-2019\*LM PASS*.pdf")</f>
        <v>0</v>
      </c>
      <c r="H32" s="67">
        <f ca="1">GetFileList("P:\TP et Raccodement\FICHES CREES RACCORDEMENT\2 - SAV + COMPL + PASSAGE W XV A SAISIR DANS AX\31-08-2019\*LR PASS*.pdf")</f>
        <v>0</v>
      </c>
      <c r="I32" s="68">
        <f ca="1">GetFileList("P:\TP et Raccodement\FICHES CREES RACCORDEMENT\2 - SAV + COMPL + PASSAGE W XV A SAISIR DANS AX\31-08-2019\*CL PASS*.pdf")</f>
        <v>0</v>
      </c>
      <c r="J32" s="79">
        <f ca="1">GetFileList("P:\TP et Raccodement\FICHES CREES RACCORDEMENT\2 - SAV + COMPL + PASSAGE W XV A SAISIR DANS AX\31-08-2019\*SAV*.pdf")</f>
        <v>0</v>
      </c>
      <c r="K32" s="80">
        <f ca="1">GetFileList("P:\TP et Raccodement\FICHES CREES RACCORDEMENT\2 - SAV + COMPL + PASSAGE W XV A SAISIR DANS AX\31-08-2019\*COMPLEMENT*.pdf")</f>
        <v>0</v>
      </c>
      <c r="L32" s="80">
        <f ca="1">GetFileList("P:\TP et Raccodement\FICHES CREES RACCORDEMENT\2 - SAV + COMPL + PASSAGE W XV A SAISIR DANS AX\31-08-2019\*REPRISE*.pdf")</f>
        <v>0</v>
      </c>
      <c r="M32" s="81">
        <f ca="1">GetFileList("P:\TP et Raccodement\FICHES CREES RACCORDEMENT\2 - SAV + COMPL + PASSAGE W XV A SAISIR DANS AX\31-08-2019\*REMONTAGE*.pdf")</f>
        <v>0</v>
      </c>
      <c r="N32" s="61"/>
      <c r="O32" s="73">
        <f t="shared" ca="1" si="1"/>
        <v>0</v>
      </c>
    </row>
    <row r="33" spans="1:15" ht="18" thickBot="1" x14ac:dyDescent="0.35">
      <c r="A33" s="136" t="s">
        <v>10</v>
      </c>
      <c r="B33" s="132">
        <f ca="1">SUM(B2:B32)</f>
        <v>0</v>
      </c>
      <c r="C33" s="133">
        <f t="shared" ref="C33:D33" ca="1" si="3">SUM(C2:C32)</f>
        <v>0</v>
      </c>
      <c r="D33" s="133">
        <f t="shared" ca="1" si="3"/>
        <v>0</v>
      </c>
      <c r="E33" s="134">
        <f ca="1">SUM(E2:E32)</f>
        <v>0</v>
      </c>
      <c r="F33" s="69">
        <f ca="1">SUM(F2:F32)</f>
        <v>0</v>
      </c>
      <c r="G33" s="70">
        <f t="shared" ref="G33:I33" ca="1" si="4">SUM(G2:G32)</f>
        <v>0</v>
      </c>
      <c r="H33" s="70">
        <f t="shared" ca="1" si="4"/>
        <v>0</v>
      </c>
      <c r="I33" s="86">
        <f t="shared" ca="1" si="4"/>
        <v>0</v>
      </c>
      <c r="J33" s="87">
        <f ca="1">SUM(J2:J32)</f>
        <v>0</v>
      </c>
      <c r="K33" s="82">
        <f t="shared" ref="K33:M33" ca="1" si="5">SUM(K2:K32)</f>
        <v>0</v>
      </c>
      <c r="L33" s="82">
        <f t="shared" ca="1" si="5"/>
        <v>0</v>
      </c>
      <c r="M33" s="83">
        <f t="shared" ca="1" si="5"/>
        <v>0</v>
      </c>
      <c r="N33" s="62"/>
      <c r="O33" s="72">
        <f ca="1">SUM(O2:O32)</f>
        <v>0</v>
      </c>
    </row>
  </sheetData>
  <conditionalFormatting sqref="B2:B32">
    <cfRule type="dataBar" priority="5">
      <dataBar>
        <cfvo type="min"/>
        <cfvo type="max"/>
        <color rgb="FF41A964"/>
      </dataBar>
      <extLst>
        <ext xmlns:x14="http://schemas.microsoft.com/office/spreadsheetml/2009/9/main" uri="{B025F937-C7B1-47D3-B67F-A62EFF666E3E}">
          <x14:id>{FD412A65-05B1-468D-9DE6-400DECFDD454}</x14:id>
        </ext>
      </extLst>
    </cfRule>
  </conditionalFormatting>
  <conditionalFormatting sqref="B2:B3 B6:B10 B13:B15 B17 B20:B24 B27:B31">
    <cfRule type="iconSet" priority="4">
      <iconSet iconSet="3Flags">
        <cfvo type="percent" val="0"/>
        <cfvo type="percent" val="33"/>
        <cfvo type="percent" val="67"/>
      </iconSet>
    </cfRule>
  </conditionalFormatting>
  <conditionalFormatting sqref="F2:F32">
    <cfRule type="dataBar" priority="3">
      <dataBar>
        <cfvo type="min"/>
        <cfvo type="max"/>
        <color rgb="FF53BD76"/>
      </dataBar>
      <extLst>
        <ext xmlns:x14="http://schemas.microsoft.com/office/spreadsheetml/2009/9/main" uri="{B025F937-C7B1-47D3-B67F-A62EFF666E3E}">
          <x14:id>{D5261E5F-692C-4960-A45A-6C7F2BAB4221}</x14:id>
        </ext>
      </extLst>
    </cfRule>
  </conditionalFormatting>
  <conditionalFormatting sqref="F2:F3 F6:F10 F13:F15 F17 F20:F24 F27:F31">
    <cfRule type="iconSet" priority="2">
      <iconSet iconSet="3Flags">
        <cfvo type="percent" val="0"/>
        <cfvo type="percent" val="33"/>
        <cfvo type="percent" val="67"/>
      </iconSet>
    </cfRule>
  </conditionalFormatting>
  <conditionalFormatting sqref="O2:O32">
    <cfRule type="cellIs" dxfId="7" priority="1" operator="equal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412A65-05B1-468D-9DE6-400DECFDD454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B2:B32</xm:sqref>
        </x14:conditionalFormatting>
        <x14:conditionalFormatting xmlns:xm="http://schemas.microsoft.com/office/excel/2006/main">
          <x14:cfRule type="dataBar" id="{D5261E5F-692C-4960-A45A-6C7F2BAB4221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F2:F32</xm:sqref>
        </x14:conditionalFormatting>
      </x14:conditionalFormatting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rgb="FF7030A0"/>
  </sheetPr>
  <dimension ref="A1:P32"/>
  <sheetViews>
    <sheetView showGridLines="0" zoomScaleNormal="10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2.140625" customWidth="1"/>
    <col min="2" max="2" width="14.85546875" bestFit="1" customWidth="1"/>
    <col min="6" max="6" width="13.42578125" customWidth="1"/>
    <col min="13" max="13" width="12.28515625" bestFit="1" customWidth="1"/>
    <col min="14" max="14" width="0.85546875" customWidth="1"/>
    <col min="15" max="15" width="9.140625" style="1"/>
    <col min="16" max="16" width="10.7109375" bestFit="1" customWidth="1"/>
  </cols>
  <sheetData>
    <row r="1" spans="1:16" ht="31.5" customHeight="1" x14ac:dyDescent="0.25">
      <c r="A1" s="58" t="s">
        <v>11</v>
      </c>
      <c r="B1" s="66" t="s">
        <v>41</v>
      </c>
      <c r="C1" s="64" t="s">
        <v>1</v>
      </c>
      <c r="D1" s="64" t="s">
        <v>2</v>
      </c>
      <c r="E1" s="65" t="s">
        <v>3</v>
      </c>
      <c r="F1" s="71" t="s">
        <v>42</v>
      </c>
      <c r="G1" s="84" t="s">
        <v>5</v>
      </c>
      <c r="H1" s="84" t="s">
        <v>2</v>
      </c>
      <c r="I1" s="85" t="s">
        <v>3</v>
      </c>
      <c r="J1" s="63" t="s">
        <v>43</v>
      </c>
      <c r="K1" s="64" t="s">
        <v>44</v>
      </c>
      <c r="L1" s="64" t="s">
        <v>45</v>
      </c>
      <c r="M1" s="65" t="s">
        <v>46</v>
      </c>
      <c r="N1" s="60"/>
      <c r="O1" s="71" t="s">
        <v>10</v>
      </c>
    </row>
    <row r="2" spans="1:16" ht="16.5" x14ac:dyDescent="0.3">
      <c r="A2" s="88">
        <v>43709</v>
      </c>
      <c r="B2" s="89">
        <f ca="1">C2+D2+E2</f>
        <v>0</v>
      </c>
      <c r="C2" s="90">
        <f ca="1">GetFileList("P:\TP et Raccodement\FICHES CREES RACCORDEMENT\1 - RACCOS A SAISIR DANS AX\01-09-2019\*LM RACCO*.pdf")</f>
        <v>0</v>
      </c>
      <c r="D2" s="90">
        <f ca="1">GetFileList("P:\TP et Raccodement\FICHES CREES RACCORDEMENT\1 - RACCOS A SAISIR DANS AX\01-09-2019\*LR RACCO*.pdf")</f>
        <v>0</v>
      </c>
      <c r="E2" s="91">
        <f ca="1">GetFileList("P:\TP et Raccodement\FICHES CREES RACCORDEMENT\1 - RACCOS A SAISIR DANS AX\01-09-2019\*CL RACCO*.pdf")</f>
        <v>0</v>
      </c>
      <c r="F2" s="92">
        <f ca="1">G2+H2+I2</f>
        <v>0</v>
      </c>
      <c r="G2" s="90">
        <f ca="1">GetFileList("P:\TP et Raccodement\FICHES CREES RACCORDEMENT\2 - SAV + COMPL + PASSAGE W XV A SAISIR DANS AX\01-09-2019\*LM PASS*.pdf")</f>
        <v>0</v>
      </c>
      <c r="H2" s="90">
        <f ca="1">GetFileList("P:\TP et Raccodement\FICHES CREES RACCORDEMENT\2 - SAV + COMPL + PASSAGE W XV A SAISIR DANS AX\01-09-2019\*LR PASS*.pdf")</f>
        <v>0</v>
      </c>
      <c r="I2" s="91">
        <f ca="1">GetFileList("P:\TP et Raccodement\FICHES CREES RACCORDEMENT\2 - SAV + COMPL + PASSAGE W XV A SAISIR DANS AX\01-09-2019\*CL PASS*.pdf")</f>
        <v>0</v>
      </c>
      <c r="J2" s="93">
        <f ca="1">GetFileList("P:\TP et Raccodement\FICHES CREES RACCORDEMENT\2 - SAV + COMPL + PASSAGE W XV A SAISIR DANS AX\01-09-2019\*SAV*.pdf")</f>
        <v>0</v>
      </c>
      <c r="K2" s="94">
        <f ca="1">GetFileList("P:\TP et Raccodement\FICHES CREES RACCORDEMENT\2 - SAV + COMPL + PASSAGE W XV A SAISIR DANS AX\01-09-2019\*COMPLEMENT*.pdf")</f>
        <v>0</v>
      </c>
      <c r="L2" s="94">
        <f ca="1">GetFileList("P:\TP et Raccodement\FICHES CREES RACCORDEMENT\2 - SAV + COMPL + PASSAGE W XV A SAISIR DANS AX\01-09-2019\*REPRISE*.pdf")</f>
        <v>0</v>
      </c>
      <c r="M2" s="95">
        <f ca="1">GetFileList("P:\TP et Raccodement\FICHES CREES RACCORDEMENT\2 - SAV + COMPL + PASSAGE W XV A SAISIR DANS AX\01-09-2019\*REMONTAGE*.pdf")</f>
        <v>0</v>
      </c>
      <c r="N2" s="61"/>
      <c r="O2" s="73">
        <f ca="1">B2+F2+J2+K2+L2+M2</f>
        <v>0</v>
      </c>
      <c r="P2" s="54"/>
    </row>
    <row r="3" spans="1:16" ht="16.5" x14ac:dyDescent="0.3">
      <c r="A3" s="59">
        <v>43710</v>
      </c>
      <c r="B3" s="74">
        <f t="shared" ref="B3:B31" ca="1" si="0">C3+D3+E3</f>
        <v>0</v>
      </c>
      <c r="C3" s="67">
        <f ca="1">GetFileList("P:\TP et Raccodement\FICHES CREES RACCORDEMENT\1 - RACCOS A SAISIR DANS AX\02-09-2019\*LM RACCO*.pdf")</f>
        <v>0</v>
      </c>
      <c r="D3" s="67">
        <f ca="1">GetFileList("P:\TP et Raccodement\FICHES CREES RACCORDEMENT\1 - RACCOS A SAISIR DANS AX\02-09-2019\*LR RACCO*.pdf")</f>
        <v>0</v>
      </c>
      <c r="E3" s="68">
        <f ca="1">GetFileList("P:\TP et Raccodement\FICHES CREES RACCORDEMENT\1 - RACCOS A SAISIR DANS AX\02-09-2019\*CL RACCO*.pdf")</f>
        <v>0</v>
      </c>
      <c r="F3" s="75">
        <f ca="1">G3+H3+I3</f>
        <v>0</v>
      </c>
      <c r="G3" s="67">
        <f ca="1">GetFileList("P:\TP et Raccodement\FICHES CREES RACCORDEMENT\2 - SAV + COMPL + PASSAGE W XV A SAISIR DANS AX\02-09-2019\*LM PASS*.pdf")</f>
        <v>0</v>
      </c>
      <c r="H3" s="67">
        <f ca="1">GetFileList("P:\TP et Raccodement\FICHES CREES RACCORDEMENT\2 - SAV + COMPL + PASSAGE W XV A SAISIR DANS AX\02-09-2019\*LR PASS*.pdf")</f>
        <v>0</v>
      </c>
      <c r="I3" s="68">
        <f ca="1">GetFileList("P:\TP et Raccodement\FICHES CREES RACCORDEMENT\2 - SAV + COMPL + PASSAGE W XV A SAISIR DANS AX\02-09-2019\*CL PASS*.pdf")</f>
        <v>0</v>
      </c>
      <c r="J3" s="76">
        <f ca="1">GetFileList("P:\TP et Raccodement\FICHES CREES RACCORDEMENT\2 - SAV + COMPL + PASSAGE W XV A SAISIR DANS AX\02-09-2019\*SAV*.pdf")</f>
        <v>0</v>
      </c>
      <c r="K3" s="77">
        <f ca="1">GetFileList("P:\TP et Raccodement\FICHES CREES RACCORDEMENT\2 - SAV + COMPL + PASSAGE W XV A SAISIR DANS AX\02-09-2019\*COMPLEMENT*.pdf")</f>
        <v>0</v>
      </c>
      <c r="L3" s="77">
        <f ca="1">GetFileList("P:\TP et Raccodement\FICHES CREES RACCORDEMENT\2 - SAV + COMPL + PASSAGE W XV A SAISIR DANS AX\02-09-2019\*REPRISE*.pdf")</f>
        <v>0</v>
      </c>
      <c r="M3" s="78">
        <f ca="1">GetFileList("P:\TP et Raccodement\FICHES CREES RACCORDEMENT\2 - SAV + COMPL + PASSAGE W XV A SAISIR DANS AX\02-09-2019\*REMONTAGE*.pdf")</f>
        <v>0</v>
      </c>
      <c r="N3" s="61"/>
      <c r="O3" s="73">
        <f t="shared" ref="O3:O31" ca="1" si="1">B3+F3+J3+K3+L3+M3</f>
        <v>0</v>
      </c>
    </row>
    <row r="4" spans="1:16" ht="16.5" x14ac:dyDescent="0.3">
      <c r="A4" s="59">
        <v>43711</v>
      </c>
      <c r="B4" s="74">
        <f t="shared" ca="1" si="0"/>
        <v>0</v>
      </c>
      <c r="C4" s="67">
        <f ca="1">GetFileList("P:\TP et Raccodement\FICHES CREES RACCORDEMENT\1 - RACCOS A SAISIR DANS AX\03-09-2019\*LM RACCO*.pdf")</f>
        <v>0</v>
      </c>
      <c r="D4" s="67">
        <f ca="1">GetFileList("P:\TP et Raccodement\FICHES CREES RACCORDEMENT\1 - RACCOS A SAISIR DANS AX\03-09-2019\*LR RACCO*.pdf")</f>
        <v>0</v>
      </c>
      <c r="E4" s="68">
        <f ca="1">GetFileList("P:\TP et Raccodement\FICHES CREES RACCORDEMENT\1 - RACCOS A SAISIR DANS AX\03-09-2019\*CL RACCO*.pdf")</f>
        <v>0</v>
      </c>
      <c r="F4" s="75">
        <f t="shared" ref="F4:F31" ca="1" si="2">G4+H4+I4</f>
        <v>0</v>
      </c>
      <c r="G4" s="67">
        <f ca="1">GetFileList("P:\TP et Raccodement\FICHES CREES RACCORDEMENT\2 - SAV + COMPL + PASSAGE W XV A SAISIR DANS AX\03-09-2019\*LM PASS*.pdf")</f>
        <v>0</v>
      </c>
      <c r="H4" s="67">
        <f ca="1">GetFileList("P:\TP et Raccodement\FICHES CREES RACCORDEMENT\2 - SAV + COMPL + PASSAGE W XV A SAISIR DANS AX\03-09-2019\*LR PASS*.pdf")</f>
        <v>0</v>
      </c>
      <c r="I4" s="68">
        <f ca="1">GetFileList("P:\TP et Raccodement\FICHES CREES RACCORDEMENT\2 - SAV + COMPL + PASSAGE W XV A SAISIR DANS AX\03-09-2019\*CL PASS*.pdf")</f>
        <v>0</v>
      </c>
      <c r="J4" s="76">
        <f ca="1">GetFileList("P:\TP et Raccodement\FICHES CREES RACCORDEMENT\2 - SAV + COMPL + PASSAGE W XV A SAISIR DANS AX\03-09-2019\*SAV*.pdf")</f>
        <v>0</v>
      </c>
      <c r="K4" s="77">
        <f ca="1">GetFileList("P:\TP et Raccodement\FICHES CREES RACCORDEMENT\2 - SAV + COMPL + PASSAGE W XV A SAISIR DANS AX\03-09-2019\*COMPLEMENT*.pdf")</f>
        <v>0</v>
      </c>
      <c r="L4" s="77">
        <f ca="1">GetFileList("P:\TP et Raccodement\FICHES CREES RACCORDEMENT\2 - SAV + COMPL + PASSAGE W XV A SAISIR DANS AX\03-09-2019\*REPRISE*.pdf")</f>
        <v>0</v>
      </c>
      <c r="M4" s="78">
        <f ca="1">GetFileList("P:\TP et Raccodement\FICHES CREES RACCORDEMENT\2 - SAV + COMPL + PASSAGE W XV A SAISIR DANS AX\03-09-2019\*REMONTAGE*.pdf")</f>
        <v>0</v>
      </c>
      <c r="N4" s="61"/>
      <c r="O4" s="73">
        <f t="shared" ca="1" si="1"/>
        <v>0</v>
      </c>
    </row>
    <row r="5" spans="1:16" ht="16.5" x14ac:dyDescent="0.3">
      <c r="A5" s="59">
        <v>43712</v>
      </c>
      <c r="B5" s="74">
        <f t="shared" ca="1" si="0"/>
        <v>0</v>
      </c>
      <c r="C5" s="67">
        <f ca="1">GetFileList("P:\TP et Raccodement\FICHES CREES RACCORDEMENT\1 - RACCOS A SAISIR DANS AX\04-09-2019\*LM RACCO*.pdf")</f>
        <v>0</v>
      </c>
      <c r="D5" s="67">
        <f ca="1">GetFileList("P:\TP et Raccodement\FICHES CREES RACCORDEMENT\1 - RACCOS A SAISIR DANS AX\04-09-2019\*LR RACCO*.pdf")</f>
        <v>0</v>
      </c>
      <c r="E5" s="68">
        <f ca="1">GetFileList("P:\TP et Raccodement\FICHES CREES RACCORDEMENT\1 - RACCOS A SAISIR DANS AX\04-09-2019\*CL RACCO*.pdf")</f>
        <v>0</v>
      </c>
      <c r="F5" s="75">
        <f t="shared" ca="1" si="2"/>
        <v>0</v>
      </c>
      <c r="G5" s="67">
        <f ca="1">GetFileList("P:\TP et Raccodement\FICHES CREES RACCORDEMENT\2 - SAV + COMPL + PASSAGE W XV A SAISIR DANS AX\04-09-2019\*LM PASS*.pdf")</f>
        <v>0</v>
      </c>
      <c r="H5" s="67">
        <f ca="1">GetFileList("P:\TP et Raccodement\FICHES CREES RACCORDEMENT\2 - SAV + COMPL + PASSAGE W XV A SAISIR DANS AX\04-09-2019\*LR PASS*.pdf")</f>
        <v>0</v>
      </c>
      <c r="I5" s="68">
        <f ca="1">GetFileList("P:\TP et Raccodement\FICHES CREES RACCORDEMENT\2 - SAV + COMPL + PASSAGE W XV A SAISIR DANS AX\04-09-2019\*CL PASS*.pdf")</f>
        <v>0</v>
      </c>
      <c r="J5" s="76">
        <f ca="1">GetFileList("P:\TP et Raccodement\FICHES CREES RACCORDEMENT\2 - SAV + COMPL + PASSAGE W XV A SAISIR DANS AX\04-09-2019\*SAV*.pdf")</f>
        <v>0</v>
      </c>
      <c r="K5" s="77">
        <f ca="1">GetFileList("P:\TP et Raccodement\FICHES CREES RACCORDEMENT\2 - SAV + COMPL + PASSAGE W XV A SAISIR DANS AX\04-09-2019\*COMPLEMENT*.pdf")</f>
        <v>0</v>
      </c>
      <c r="L5" s="77">
        <f ca="1">GetFileList("P:\TP et Raccodement\FICHES CREES RACCORDEMENT\2 - SAV + COMPL + PASSAGE W XV A SAISIR DANS AX\04-09-2019\*REPRISE*.pdf")</f>
        <v>0</v>
      </c>
      <c r="M5" s="78">
        <f ca="1">GetFileList("P:\TP et Raccodement\FICHES CREES RACCORDEMENT\2 - SAV + COMPL + PASSAGE W XV A SAISIR DANS AX\04-09-2019\*REMONTAGE*.pdf")</f>
        <v>0</v>
      </c>
      <c r="N5" s="61"/>
      <c r="O5" s="73">
        <f t="shared" ca="1" si="1"/>
        <v>0</v>
      </c>
    </row>
    <row r="6" spans="1:16" ht="16.5" x14ac:dyDescent="0.3">
      <c r="A6" s="59">
        <v>43713</v>
      </c>
      <c r="B6" s="74">
        <f t="shared" ca="1" si="0"/>
        <v>0</v>
      </c>
      <c r="C6" s="67">
        <f ca="1">GetFileList("P:\TP et Raccodement\FICHES CREES RACCORDEMENT\1 - RACCOS A SAISIR DANS AX\05-09-2019\*LM RACCO*.pdf")</f>
        <v>0</v>
      </c>
      <c r="D6" s="67">
        <f ca="1">GetFileList("P:\TP et Raccodement\FICHES CREES RACCORDEMENT\1 - RACCOS A SAISIR DANS AX\05-09-2019\*LR RACCO*.pdf")</f>
        <v>0</v>
      </c>
      <c r="E6" s="68">
        <f ca="1">GetFileList("P:\TP et Raccodement\FICHES CREES RACCORDEMENT\1 - RACCOS A SAISIR DANS AX\05-09-2019\*CL RACCO*.pdf")</f>
        <v>0</v>
      </c>
      <c r="F6" s="75">
        <f t="shared" ca="1" si="2"/>
        <v>0</v>
      </c>
      <c r="G6" s="67">
        <f ca="1">GetFileList("P:\TP et Raccodement\FICHES CREES RACCORDEMENT\2 - SAV + COMPL + PASSAGE W XV A SAISIR DANS AX\05-09-2019\*LM PASS*.pdf")</f>
        <v>0</v>
      </c>
      <c r="H6" s="67">
        <f ca="1">GetFileList("P:\TP et Raccodement\FICHES CREES RACCORDEMENT\2 - SAV + COMPL + PASSAGE W XV A SAISIR DANS AX\05-09-2019\*LR PASS*.pdf")</f>
        <v>0</v>
      </c>
      <c r="I6" s="68">
        <f ca="1">GetFileList("P:\TP et Raccodement\FICHES CREES RACCORDEMENT\2 - SAV + COMPL + PASSAGE W XV A SAISIR DANS AX\05-09-2019\*CL PASS*.pdf")</f>
        <v>0</v>
      </c>
      <c r="J6" s="76">
        <f ca="1">GetFileList("P:\TP et Raccodement\FICHES CREES RACCORDEMENT\2 - SAV + COMPL + PASSAGE W XV A SAISIR DANS AX\05-09-2019\*SAV*.pdf")</f>
        <v>0</v>
      </c>
      <c r="K6" s="77">
        <f ca="1">GetFileList("P:\TP et Raccodement\FICHES CREES RACCORDEMENT\2 - SAV + COMPL + PASSAGE W XV A SAISIR DANS AX\05-09-2019\*COMPLEMENT*.pdf")</f>
        <v>0</v>
      </c>
      <c r="L6" s="77">
        <f ca="1">GetFileList("P:\TP et Raccodement\FICHES CREES RACCORDEMENT\2 - SAV + COMPL + PASSAGE W XV A SAISIR DANS AX\05-09-2019\*REPRISE*.pdf")</f>
        <v>0</v>
      </c>
      <c r="M6" s="78">
        <f ca="1">GetFileList("P:\TP et Raccodement\FICHES CREES RACCORDEMENT\2 - SAV + COMPL + PASSAGE W XV A SAISIR DANS AX\05-09-2019\*REMONTAGE*.pdf")</f>
        <v>0</v>
      </c>
      <c r="N6" s="61"/>
      <c r="O6" s="73">
        <f t="shared" ca="1" si="1"/>
        <v>0</v>
      </c>
    </row>
    <row r="7" spans="1:16" ht="16.5" x14ac:dyDescent="0.3">
      <c r="A7" s="59">
        <v>43714</v>
      </c>
      <c r="B7" s="74">
        <f t="shared" ca="1" si="0"/>
        <v>0</v>
      </c>
      <c r="C7" s="67">
        <f ca="1">GetFileList("P:\TP et Raccodement\FICHES CREES RACCORDEMENT\1 - RACCOS A SAISIR DANS AX\06-09-2019\*LM RACCO*.pdf")</f>
        <v>0</v>
      </c>
      <c r="D7" s="67">
        <f ca="1">GetFileList("P:\TP et Raccodement\FICHES CREES RACCORDEMENT\1 - RACCOS A SAISIR DANS AX\06-09-2019\*LR RACCO*.pdf")</f>
        <v>0</v>
      </c>
      <c r="E7" s="68">
        <f ca="1">GetFileList("P:\TP et Raccodement\FICHES CREES RACCORDEMENT\1 - RACCOS A SAISIR DANS AX\06-09-2019\*CL RACCO*.pdf")</f>
        <v>0</v>
      </c>
      <c r="F7" s="75">
        <f t="shared" ca="1" si="2"/>
        <v>0</v>
      </c>
      <c r="G7" s="67">
        <f ca="1">GetFileList("P:\TP et Raccodement\FICHES CREES RACCORDEMENT\2 - SAV + COMPL + PASSAGE W XV A SAISIR DANS AX\06-09-2019\*LM PASS*.pdf")</f>
        <v>0</v>
      </c>
      <c r="H7" s="67">
        <f ca="1">GetFileList("P:\TP et Raccodement\FICHES CREES RACCORDEMENT\2 - SAV + COMPL + PASSAGE W XV A SAISIR DANS AX\06-09-2019\*LR PASS*.pdf")</f>
        <v>0</v>
      </c>
      <c r="I7" s="68">
        <f ca="1">GetFileList("P:\TP et Raccodement\FICHES CREES RACCORDEMENT\2 - SAV + COMPL + PASSAGE W XV A SAISIR DANS AX\06-09-2019\*CL PASS*.pdf")</f>
        <v>0</v>
      </c>
      <c r="J7" s="76">
        <f ca="1">GetFileList("P:\TP et Raccodement\FICHES CREES RACCORDEMENT\2 - SAV + COMPL + PASSAGE W XV A SAISIR DANS AX\06-09-2019\*SAV*.pdf")</f>
        <v>0</v>
      </c>
      <c r="K7" s="77">
        <f ca="1">GetFileList("P:\TP et Raccodement\FICHES CREES RACCORDEMENT\2 - SAV + COMPL + PASSAGE W XV A SAISIR DANS AX\06-09-2019\*COMPLEMENT*.pdf")</f>
        <v>0</v>
      </c>
      <c r="L7" s="77">
        <f ca="1">GetFileList("P:\TP et Raccodement\FICHES CREES RACCORDEMENT\2 - SAV + COMPL + PASSAGE W XV A SAISIR DANS AX\06-09-2019\*REPRISE*.pdf")</f>
        <v>0</v>
      </c>
      <c r="M7" s="78">
        <f ca="1">GetFileList("P:\TP et Raccodement\FICHES CREES RACCORDEMENT\2 - SAV + COMPL + PASSAGE W XV A SAISIR DANS AX\06-09-2019\*REMONTAGE*.pdf")</f>
        <v>0</v>
      </c>
      <c r="N7" s="61"/>
      <c r="O7" s="73">
        <f t="shared" ca="1" si="1"/>
        <v>0</v>
      </c>
    </row>
    <row r="8" spans="1:16" ht="16.5" x14ac:dyDescent="0.3">
      <c r="A8" s="59">
        <v>43715</v>
      </c>
      <c r="B8" s="74">
        <f t="shared" ca="1" si="0"/>
        <v>0</v>
      </c>
      <c r="C8" s="67">
        <f ca="1">GetFileList("P:\TP et Raccodement\FICHES CREES RACCORDEMENT\1 - RACCOS A SAISIR DANS AX\07-09-2019\*LM RACCO*.pdf")</f>
        <v>0</v>
      </c>
      <c r="D8" s="67">
        <f ca="1">GetFileList("P:\TP et Raccodement\FICHES CREES RACCORDEMENT\1 - RACCOS A SAISIR DANS AX\07-09-2019\*LR RACCO*.pdf")</f>
        <v>0</v>
      </c>
      <c r="E8" s="68">
        <f ca="1">GetFileList("P:\TP et Raccodement\FICHES CREES RACCORDEMENT\1 - RACCOS A SAISIR DANS AX\07-09-2019\*CL RACCO*.pdf")</f>
        <v>0</v>
      </c>
      <c r="F8" s="75">
        <f t="shared" ca="1" si="2"/>
        <v>0</v>
      </c>
      <c r="G8" s="67">
        <f ca="1">GetFileList("P:\TP et Raccodement\FICHES CREES RACCORDEMENT\2 - SAV + COMPL + PASSAGE W XV A SAISIR DANS AX\07-09-2019\*LM PASS*.pdf")</f>
        <v>0</v>
      </c>
      <c r="H8" s="67">
        <f ca="1">GetFileList("P:\TP et Raccodement\FICHES CREES RACCORDEMENT\2 - SAV + COMPL + PASSAGE W XV A SAISIR DANS AX\07-09-2019\*LR PASS*.pdf")</f>
        <v>0</v>
      </c>
      <c r="I8" s="68">
        <f ca="1">GetFileList("P:\TP et Raccodement\FICHES CREES RACCORDEMENT\2 - SAV + COMPL + PASSAGE W XV A SAISIR DANS AX\07-09-2019\*CL PASS*.pdf")</f>
        <v>0</v>
      </c>
      <c r="J8" s="76">
        <f ca="1">GetFileList("P:\TP et Raccodement\FICHES CREES RACCORDEMENT\2 - SAV + COMPL + PASSAGE W XV A SAISIR DANS AX\07-09-2019\*SAV*.pdf")</f>
        <v>0</v>
      </c>
      <c r="K8" s="77">
        <f ca="1">GetFileList("P:\TP et Raccodement\FICHES CREES RACCORDEMENT\2 - SAV + COMPL + PASSAGE W XV A SAISIR DANS AX\07-09-2019\*COMPLEMENT*.pdf")</f>
        <v>0</v>
      </c>
      <c r="L8" s="77">
        <f ca="1">GetFileList("P:\TP et Raccodement\FICHES CREES RACCORDEMENT\2 - SAV + COMPL + PASSAGE W XV A SAISIR DANS AX\07-09-2019\*REPRISE*.pdf")</f>
        <v>0</v>
      </c>
      <c r="M8" s="78">
        <f ca="1">GetFileList("P:\TP et Raccodement\FICHES CREES RACCORDEMENT\2 - SAV + COMPL + PASSAGE W XV A SAISIR DANS AX\07-09-2019\*REMONTAGE*.pdf")</f>
        <v>0</v>
      </c>
      <c r="N8" s="61"/>
      <c r="O8" s="73">
        <f t="shared" ca="1" si="1"/>
        <v>0</v>
      </c>
    </row>
    <row r="9" spans="1:16" ht="16.5" x14ac:dyDescent="0.3">
      <c r="A9" s="88">
        <v>43716</v>
      </c>
      <c r="B9" s="89">
        <f t="shared" ca="1" si="0"/>
        <v>0</v>
      </c>
      <c r="C9" s="90">
        <f ca="1">GetFileList("P:\TP et Raccodement\FICHES CREES RACCORDEMENT\1 - RACCOS A SAISIR DANS AX\08-09-2019\*LM RACCO*.pdf")</f>
        <v>0</v>
      </c>
      <c r="D9" s="90">
        <f ca="1">GetFileList("P:\TP et Raccodement\FICHES CREES RACCORDEMENT\1 - RACCOS A SAISIR DANS AX\08-09-2019\*LR RACCO*.pdf")</f>
        <v>0</v>
      </c>
      <c r="E9" s="91">
        <f ca="1">GetFileList("P:\TP et Raccodement\FICHES CREES RACCORDEMENT\1 - RACCOS A SAISIR DANS AX\08-09-2019\*CL RACCO*.pdf")</f>
        <v>0</v>
      </c>
      <c r="F9" s="92">
        <f t="shared" ca="1" si="2"/>
        <v>0</v>
      </c>
      <c r="G9" s="90">
        <f ca="1">GetFileList("P:\TP et Raccodement\FICHES CREES RACCORDEMENT\2 - SAV + COMPL + PASSAGE W XV A SAISIR DANS AX\08-09-2019\*LM PASS*.pdf")</f>
        <v>0</v>
      </c>
      <c r="H9" s="90">
        <f ca="1">GetFileList("P:\TP et Raccodement\FICHES CREES RACCORDEMENT\2 - SAV + COMPL + PASSAGE W XV A SAISIR DANS AX\08-09-2019\*LR PASS*.pdf")</f>
        <v>0</v>
      </c>
      <c r="I9" s="91">
        <f ca="1">GetFileList("P:\TP et Raccodement\FICHES CREES RACCORDEMENT\2 - SAV + COMPL + PASSAGE W XV A SAISIR DANS AX\08-09-2019\*CL PASS*.pdf")</f>
        <v>0</v>
      </c>
      <c r="J9" s="93">
        <f ca="1">GetFileList("P:\TP et Raccodement\FICHES CREES RACCORDEMENT\2 - SAV + COMPL + PASSAGE W XV A SAISIR DANS AX\08-09-2019\*SAV*.pdf")</f>
        <v>0</v>
      </c>
      <c r="K9" s="94">
        <f ca="1">GetFileList("P:\TP et Raccodement\FICHES CREES RACCORDEMENT\2 - SAV + COMPL + PASSAGE W XV A SAISIR DANS AX\08-09-2019\*COMPLEMENT*.pdf")</f>
        <v>0</v>
      </c>
      <c r="L9" s="94">
        <f ca="1">GetFileList("P:\TP et Raccodement\FICHES CREES RACCORDEMENT\2 - SAV + COMPL + PASSAGE W XV A SAISIR DANS AX\08-09-2019\*REPRISE*.pdf")</f>
        <v>0</v>
      </c>
      <c r="M9" s="95">
        <f ca="1">GetFileList("P:\TP et Raccodement\FICHES CREES RACCORDEMENT\2 - SAV + COMPL + PASSAGE W XV A SAISIR DANS AX\08-09-2019\*REMONTAGE*.pdf")</f>
        <v>0</v>
      </c>
      <c r="N9" s="61"/>
      <c r="O9" s="73">
        <f t="shared" ca="1" si="1"/>
        <v>0</v>
      </c>
    </row>
    <row r="10" spans="1:16" ht="16.5" x14ac:dyDescent="0.3">
      <c r="A10" s="59">
        <v>43717</v>
      </c>
      <c r="B10" s="74">
        <f t="shared" ca="1" si="0"/>
        <v>0</v>
      </c>
      <c r="C10" s="67">
        <f ca="1">GetFileList("P:\TP et Raccodement\FICHES CREES RACCORDEMENT\1 - RACCOS A SAISIR DANS AX\09-09-2019\*LM RACCO*.pdf")</f>
        <v>0</v>
      </c>
      <c r="D10" s="67">
        <f ca="1">GetFileList("P:\TP et Raccodement\FICHES CREES RACCORDEMENT\1 - RACCOS A SAISIR DANS AX\09-09-2019\*LR RACCO*.pdf")</f>
        <v>0</v>
      </c>
      <c r="E10" s="68">
        <f ca="1">GetFileList("P:\TP et Raccodement\FICHES CREES RACCORDEMENT\1 - RACCOS A SAISIR DANS AX\09-09-2019\*CL RACCO*.pdf")</f>
        <v>0</v>
      </c>
      <c r="F10" s="75">
        <f t="shared" ca="1" si="2"/>
        <v>0</v>
      </c>
      <c r="G10" s="67">
        <f ca="1">GetFileList("P:\TP et Raccodement\FICHES CREES RACCORDEMENT\2 - SAV + COMPL + PASSAGE W XV A SAISIR DANS AX\09-09-2019\*LM PASS*.pdf")</f>
        <v>0</v>
      </c>
      <c r="H10" s="67">
        <f ca="1">GetFileList("P:\TP et Raccodement\FICHES CREES RACCORDEMENT\2 - SAV + COMPL + PASSAGE W XV A SAISIR DANS AX\09-09-2019\*LR PASS*.pdf")</f>
        <v>0</v>
      </c>
      <c r="I10" s="68">
        <f ca="1">GetFileList("P:\TP et Raccodement\FICHES CREES RACCORDEMENT\2 - SAV + COMPL + PASSAGE W XV A SAISIR DANS AX\09-09-2019\*CL PASS*.pdf")</f>
        <v>0</v>
      </c>
      <c r="J10" s="76">
        <f ca="1">GetFileList("P:\TP et Raccodement\FICHES CREES RACCORDEMENT\2 - SAV + COMPL + PASSAGE W XV A SAISIR DANS AX\09-09-2019\*SAV*.pdf")</f>
        <v>0</v>
      </c>
      <c r="K10" s="77">
        <f ca="1">GetFileList("P:\TP et Raccodement\FICHES CREES RACCORDEMENT\2 - SAV + COMPL + PASSAGE W XV A SAISIR DANS AX\09-09-2019\*COMPLEMENT*.pdf")</f>
        <v>0</v>
      </c>
      <c r="L10" s="77">
        <f ca="1">GetFileList("P:\TP et Raccodement\FICHES CREES RACCORDEMENT\2 - SAV + COMPL + PASSAGE W XV A SAISIR DANS AX\09-09-2019\*REPRISE*.pdf")</f>
        <v>0</v>
      </c>
      <c r="M10" s="78">
        <f ca="1">GetFileList("P:\TP et Raccodement\FICHES CREES RACCORDEMENT\2 - SAV + COMPL + PASSAGE W XV A SAISIR DANS AX\09-09-2019\*REMONTAGE*.pdf")</f>
        <v>0</v>
      </c>
      <c r="N10" s="61"/>
      <c r="O10" s="73">
        <f t="shared" ca="1" si="1"/>
        <v>0</v>
      </c>
    </row>
    <row r="11" spans="1:16" ht="16.5" x14ac:dyDescent="0.3">
      <c r="A11" s="59">
        <v>43718</v>
      </c>
      <c r="B11" s="74">
        <f t="shared" ca="1" si="0"/>
        <v>0</v>
      </c>
      <c r="C11" s="67">
        <f ca="1">GetFileList("P:\TP et Raccodement\FICHES CREES RACCORDEMENT\1 - RACCOS A SAISIR DANS AX\10-09-2019\*LM RACCO*.pdf")</f>
        <v>0</v>
      </c>
      <c r="D11" s="67">
        <f ca="1">GetFileList("P:\TP et Raccodement\FICHES CREES RACCORDEMENT\1 - RACCOS A SAISIR DANS AX\10-09-2019\*LR RACCO*.pdf")</f>
        <v>0</v>
      </c>
      <c r="E11" s="68">
        <f ca="1">GetFileList("P:\TP et Raccodement\FICHES CREES RACCORDEMENT\1 - RACCOS A SAISIR DANS AX\10-09-2019\*CL RACCO*.pdf")</f>
        <v>0</v>
      </c>
      <c r="F11" s="75">
        <f t="shared" ca="1" si="2"/>
        <v>0</v>
      </c>
      <c r="G11" s="67">
        <f ca="1">GetFileList("P:\TP et Raccodement\FICHES CREES RACCORDEMENT\2 - SAV + COMPL + PASSAGE W XV A SAISIR DANS AX\10-09-2019\*LM PASS*.pdf")</f>
        <v>0</v>
      </c>
      <c r="H11" s="67">
        <f ca="1">GetFileList("P:\TP et Raccodement\FICHES CREES RACCORDEMENT\2 - SAV + COMPL + PASSAGE W XV A SAISIR DANS AX\10-09-2019\*LR PASS*.pdf")</f>
        <v>0</v>
      </c>
      <c r="I11" s="68">
        <f ca="1">GetFileList("P:\TP et Raccodement\FICHES CREES RACCORDEMENT\2 - SAV + COMPL + PASSAGE W XV A SAISIR DANS AX\10-09-2019\*CL PASS*.pdf")</f>
        <v>0</v>
      </c>
      <c r="J11" s="76">
        <f ca="1">GetFileList("P:\TP et Raccodement\FICHES CREES RACCORDEMENT\2 - SAV + COMPL + PASSAGE W XV A SAISIR DANS AX\10-09-2019\*SAV*.pdf")</f>
        <v>0</v>
      </c>
      <c r="K11" s="77">
        <f ca="1">GetFileList("P:\TP et Raccodement\FICHES CREES RACCORDEMENT\2 - SAV + COMPL + PASSAGE W XV A SAISIR DANS AX\10-09-2019\*COMPLEMENT*.pdf")</f>
        <v>0</v>
      </c>
      <c r="L11" s="77">
        <f ca="1">GetFileList("P:\TP et Raccodement\FICHES CREES RACCORDEMENT\2 - SAV + COMPL + PASSAGE W XV A SAISIR DANS AX\10-09-2019\*REPRISE*.pdf")</f>
        <v>0</v>
      </c>
      <c r="M11" s="78">
        <f ca="1">GetFileList("P:\TP et Raccodement\FICHES CREES RACCORDEMENT\2 - SAV + COMPL + PASSAGE W XV A SAISIR DANS AX\10-09-2019\*REMONTAGE*.pdf")</f>
        <v>0</v>
      </c>
      <c r="N11" s="61"/>
      <c r="O11" s="73">
        <f t="shared" ca="1" si="1"/>
        <v>0</v>
      </c>
    </row>
    <row r="12" spans="1:16" ht="16.5" x14ac:dyDescent="0.3">
      <c r="A12" s="59">
        <v>43719</v>
      </c>
      <c r="B12" s="74">
        <f t="shared" ca="1" si="0"/>
        <v>0</v>
      </c>
      <c r="C12" s="67">
        <f ca="1">GetFileList("P:\TP et Raccodement\FICHES CREES RACCORDEMENT\1 - RACCOS A SAISIR DANS AX\11-09-2019\*LM RACCO*.pdf")</f>
        <v>0</v>
      </c>
      <c r="D12" s="67">
        <f ca="1">GetFileList("P:\TP et Raccodement\FICHES CREES RACCORDEMENT\1 - RACCOS A SAISIR DANS AX\11-09-2019\*LR RACCO*.pdf")</f>
        <v>0</v>
      </c>
      <c r="E12" s="68">
        <f ca="1">GetFileList("P:\TP et Raccodement\FICHES CREES RACCORDEMENT\1 - RACCOS A SAISIR DANS AX\11-09-2019\*CL RACCO*.pdf")</f>
        <v>0</v>
      </c>
      <c r="F12" s="75">
        <f t="shared" ca="1" si="2"/>
        <v>0</v>
      </c>
      <c r="G12" s="67">
        <f ca="1">GetFileList("P:\TP et Raccodement\FICHES CREES RACCORDEMENT\2 - SAV + COMPL + PASSAGE W XV A SAISIR DANS AX\11-09-2019\*LM PASS*.pdf")</f>
        <v>0</v>
      </c>
      <c r="H12" s="67">
        <f ca="1">GetFileList("P:\TP et Raccodement\FICHES CREES RACCORDEMENT\2 - SAV + COMPL + PASSAGE W XV A SAISIR DANS AX\11-09-2019\*LR PASS*.pdf")</f>
        <v>0</v>
      </c>
      <c r="I12" s="68">
        <f ca="1">GetFileList("P:\TP et Raccodement\FICHES CREES RACCORDEMENT\2 - SAV + COMPL + PASSAGE W XV A SAISIR DANS AX\11-09-2019\*CL PASS*.pdf")</f>
        <v>0</v>
      </c>
      <c r="J12" s="76">
        <f ca="1">GetFileList("P:\TP et Raccodement\FICHES CREES RACCORDEMENT\2 - SAV + COMPL + PASSAGE W XV A SAISIR DANS AX\11-09-2019\*SAV*.pdf")</f>
        <v>0</v>
      </c>
      <c r="K12" s="77">
        <f ca="1">GetFileList("P:\TP et Raccodement\FICHES CREES RACCORDEMENT\2 - SAV + COMPL + PASSAGE W XV A SAISIR DANS AX\11-09-2019\*COMPLEMENT*.pdf")</f>
        <v>0</v>
      </c>
      <c r="L12" s="77">
        <f ca="1">GetFileList("P:\TP et Raccodement\FICHES CREES RACCORDEMENT\2 - SAV + COMPL + PASSAGE W XV A SAISIR DANS AX\11-09-2019\*REPRISE*.pdf")</f>
        <v>0</v>
      </c>
      <c r="M12" s="78">
        <f ca="1">GetFileList("P:\TP et Raccodement\FICHES CREES RACCORDEMENT\2 - SAV + COMPL + PASSAGE W XV A SAISIR DANS AX\11-09-2019\*REMONTAGE*.pdf")</f>
        <v>0</v>
      </c>
      <c r="N12" s="61"/>
      <c r="O12" s="73">
        <f t="shared" ca="1" si="1"/>
        <v>0</v>
      </c>
    </row>
    <row r="13" spans="1:16" ht="16.5" x14ac:dyDescent="0.3">
      <c r="A13" s="59">
        <v>43720</v>
      </c>
      <c r="B13" s="74">
        <f t="shared" ca="1" si="0"/>
        <v>0</v>
      </c>
      <c r="C13" s="67">
        <f ca="1">GetFileList("P:\TP et Raccodement\FICHES CREES RACCORDEMENT\1 - RACCOS A SAISIR DANS AX\12-09-2019\*LM RACCO*.pdf")</f>
        <v>0</v>
      </c>
      <c r="D13" s="67">
        <f ca="1">GetFileList("P:\TP et Raccodement\FICHES CREES RACCORDEMENT\1 - RACCOS A SAISIR DANS AX\12-09-2019\*LR RACCO*.pdf")</f>
        <v>0</v>
      </c>
      <c r="E13" s="68">
        <f ca="1">GetFileList("P:\TP et Raccodement\FICHES CREES RACCORDEMENT\1 - RACCOS A SAISIR DANS AX\12-09-2019\*CL RACCO*.pdf")</f>
        <v>0</v>
      </c>
      <c r="F13" s="75">
        <f t="shared" ca="1" si="2"/>
        <v>0</v>
      </c>
      <c r="G13" s="67">
        <f ca="1">GetFileList("P:\TP et Raccodement\FICHES CREES RACCORDEMENT\2 - SAV + COMPL + PASSAGE W XV A SAISIR DANS AX\12-09-2019\*LM PASS*.pdf")</f>
        <v>0</v>
      </c>
      <c r="H13" s="67">
        <f ca="1">GetFileList("P:\TP et Raccodement\FICHES CREES RACCORDEMENT\2 - SAV + COMPL + PASSAGE W XV A SAISIR DANS AX\12-09-2019\*LR PASS*.pdf")</f>
        <v>0</v>
      </c>
      <c r="I13" s="68">
        <f ca="1">GetFileList("P:\TP et Raccodement\FICHES CREES RACCORDEMENT\2 - SAV + COMPL + PASSAGE W XV A SAISIR DANS AX\12-09-2019\*CL PASS*.pdf")</f>
        <v>0</v>
      </c>
      <c r="J13" s="76">
        <f ca="1">GetFileList("P:\TP et Raccodement\FICHES CREES RACCORDEMENT\2 - SAV + COMPL + PASSAGE W XV A SAISIR DANS AX\12-09-2019\*SAV*.pdf")</f>
        <v>0</v>
      </c>
      <c r="K13" s="77">
        <f ca="1">GetFileList("P:\TP et Raccodement\FICHES CREES RACCORDEMENT\2 - SAV + COMPL + PASSAGE W XV A SAISIR DANS AX\12-09-2019\*COMPLEMENT*.pdf")</f>
        <v>0</v>
      </c>
      <c r="L13" s="77">
        <f ca="1">GetFileList("P:\TP et Raccodement\FICHES CREES RACCORDEMENT\2 - SAV + COMPL + PASSAGE W XV A SAISIR DANS AX\12-09-2019\*REPRISE*.pdf")</f>
        <v>0</v>
      </c>
      <c r="M13" s="78">
        <f ca="1">GetFileList("P:\TP et Raccodement\FICHES CREES RACCORDEMENT\2 - SAV + COMPL + PASSAGE W XV A SAISIR DANS AX\12-09-2019\*REMONTAGE*.pdf")</f>
        <v>0</v>
      </c>
      <c r="N13" s="61"/>
      <c r="O13" s="73">
        <f t="shared" ca="1" si="1"/>
        <v>0</v>
      </c>
    </row>
    <row r="14" spans="1:16" ht="16.5" x14ac:dyDescent="0.3">
      <c r="A14" s="59">
        <v>43721</v>
      </c>
      <c r="B14" s="74">
        <f t="shared" ca="1" si="0"/>
        <v>0</v>
      </c>
      <c r="C14" s="67">
        <f ca="1">GetFileList("P:\TP et Raccodement\FICHES CREES RACCORDEMENT\1 - RACCOS A SAISIR DANS AX\13-09-2019\*LM RACCO*.pdf")</f>
        <v>0</v>
      </c>
      <c r="D14" s="67">
        <f ca="1">GetFileList("P:\TP et Raccodement\FICHES CREES RACCORDEMENT\1 - RACCOS A SAISIR DANS AX\13-09-2019\*LR RACCO*.pdf")</f>
        <v>0</v>
      </c>
      <c r="E14" s="68">
        <f ca="1">GetFileList("P:\TP et Raccodement\FICHES CREES RACCORDEMENT\1 - RACCOS A SAISIR DANS AX\13-09-2019\*CL RACCO*.pdf")</f>
        <v>0</v>
      </c>
      <c r="F14" s="75">
        <f t="shared" ca="1" si="2"/>
        <v>0</v>
      </c>
      <c r="G14" s="67">
        <f ca="1">GetFileList("P:\TP et Raccodement\FICHES CREES RACCORDEMENT\2 - SAV + COMPL + PASSAGE W XV A SAISIR DANS AX\13-09-2019\*LM PASS*.pdf")</f>
        <v>0</v>
      </c>
      <c r="H14" s="67">
        <f ca="1">GetFileList("P:\TP et Raccodement\FICHES CREES RACCORDEMENT\2 - SAV + COMPL + PASSAGE W XV A SAISIR DANS AX\13-09-2019\*LR PASS*.pdf")</f>
        <v>0</v>
      </c>
      <c r="I14" s="68">
        <f ca="1">GetFileList("P:\TP et Raccodement\FICHES CREES RACCORDEMENT\2 - SAV + COMPL + PASSAGE W XV A SAISIR DANS AX\13-09-2019\*CL PASS*.pdf")</f>
        <v>0</v>
      </c>
      <c r="J14" s="76">
        <f ca="1">GetFileList("P:\TP et Raccodement\FICHES CREES RACCORDEMENT\2 - SAV + COMPL + PASSAGE W XV A SAISIR DANS AX\13-09-2019\*SAV*.pdf")</f>
        <v>0</v>
      </c>
      <c r="K14" s="77">
        <f ca="1">GetFileList("P:\TP et Raccodement\FICHES CREES RACCORDEMENT\2 - SAV + COMPL + PASSAGE W XV A SAISIR DANS AX\13-09-2019\*COMPLEMENT*.pdf")</f>
        <v>0</v>
      </c>
      <c r="L14" s="77">
        <f ca="1">GetFileList("P:\TP et Raccodement\FICHES CREES RACCORDEMENT\2 - SAV + COMPL + PASSAGE W XV A SAISIR DANS AX\13-09-2019\*REPRISE*.pdf")</f>
        <v>0</v>
      </c>
      <c r="M14" s="78">
        <f ca="1">GetFileList("P:\TP et Raccodement\FICHES CREES RACCORDEMENT\2 - SAV + COMPL + PASSAGE W XV A SAISIR DANS AX\13-09-2019\*REMONTAGE*.pdf")</f>
        <v>0</v>
      </c>
      <c r="N14" s="61"/>
      <c r="O14" s="73">
        <f t="shared" ca="1" si="1"/>
        <v>0</v>
      </c>
    </row>
    <row r="15" spans="1:16" ht="16.5" x14ac:dyDescent="0.3">
      <c r="A15" s="59">
        <v>43722</v>
      </c>
      <c r="B15" s="74">
        <f t="shared" ca="1" si="0"/>
        <v>0</v>
      </c>
      <c r="C15" s="67">
        <f ca="1">GetFileList("P:\TP et Raccodement\FICHES CREES RACCORDEMENT\1 - RACCOS A SAISIR DANS AX\14-09-2019\*LM RACCO*.pdf")</f>
        <v>0</v>
      </c>
      <c r="D15" s="67">
        <f ca="1">GetFileList("P:\TP et Raccodement\FICHES CREES RACCORDEMENT\1 - RACCOS A SAISIR DANS AX\14-09-2019\*LR RACCO*.pdf")</f>
        <v>0</v>
      </c>
      <c r="E15" s="68">
        <f ca="1">GetFileList("P:\TP et Raccodement\FICHES CREES RACCORDEMENT\1 - RACCOS A SAISIR DANS AX\14-09-2019\*CL RACCO*.pdf")</f>
        <v>0</v>
      </c>
      <c r="F15" s="75">
        <f t="shared" ca="1" si="2"/>
        <v>0</v>
      </c>
      <c r="G15" s="67">
        <f ca="1">GetFileList("P:\TP et Raccodement\FICHES CREES RACCORDEMENT\2 - SAV + COMPL + PASSAGE W XV A SAISIR DANS AX\14-09-2019\*LM PASS*.pdf")</f>
        <v>0</v>
      </c>
      <c r="H15" s="67">
        <f ca="1">GetFileList("P:\TP et Raccodement\FICHES CREES RACCORDEMENT\2 - SAV + COMPL + PASSAGE W XV A SAISIR DANS AX\14-09-2019\*LR PASS*.pdf")</f>
        <v>0</v>
      </c>
      <c r="I15" s="68">
        <f ca="1">GetFileList("P:\TP et Raccodement\FICHES CREES RACCORDEMENT\2 - SAV + COMPL + PASSAGE W XV A SAISIR DANS AX\14-09-2019\*CL PASS*.pdf")</f>
        <v>0</v>
      </c>
      <c r="J15" s="76">
        <f ca="1">GetFileList("P:\TP et Raccodement\FICHES CREES RACCORDEMENT\2 - SAV + COMPL + PASSAGE W XV A SAISIR DANS AX\14-09-2019\*SAV*.pdf")</f>
        <v>0</v>
      </c>
      <c r="K15" s="77">
        <f ca="1">GetFileList("P:\TP et Raccodement\FICHES CREES RACCORDEMENT\2 - SAV + COMPL + PASSAGE W XV A SAISIR DANS AX\14-09-2019\*COMPLEMENT*.pdf")</f>
        <v>0</v>
      </c>
      <c r="L15" s="77">
        <f ca="1">GetFileList("P:\TP et Raccodement\FICHES CREES RACCORDEMENT\2 - SAV + COMPL + PASSAGE W XV A SAISIR DANS AX\14-09-2019\*REPRISE*.pdf")</f>
        <v>0</v>
      </c>
      <c r="M15" s="78">
        <f ca="1">GetFileList("P:\TP et Raccodement\FICHES CREES RACCORDEMENT\2 - SAV + COMPL + PASSAGE W XV A SAISIR DANS AX\14-09-2019\*REMONTAGE*.pdf")</f>
        <v>0</v>
      </c>
      <c r="N15" s="61"/>
      <c r="O15" s="73">
        <f t="shared" ca="1" si="1"/>
        <v>0</v>
      </c>
    </row>
    <row r="16" spans="1:16" ht="16.5" x14ac:dyDescent="0.3">
      <c r="A16" s="88">
        <v>43723</v>
      </c>
      <c r="B16" s="89">
        <f t="shared" ca="1" si="0"/>
        <v>0</v>
      </c>
      <c r="C16" s="90">
        <f ca="1">GetFileList("P:\TP et Raccodement\FICHES CREES RACCORDEMENT\1 - RACCOS A SAISIR DANS AX\15-09-2019\*LM RACCO*.pdf")</f>
        <v>0</v>
      </c>
      <c r="D16" s="90">
        <f ca="1">GetFileList("P:\TP et Raccodement\FICHES CREES RACCORDEMENT\1 - RACCOS A SAISIR DANS AX\15-09-2019\*LR RACCO*.pdf")</f>
        <v>0</v>
      </c>
      <c r="E16" s="91">
        <f ca="1">GetFileList("P:\TP et Raccodement\FICHES CREES RACCORDEMENT\1 - RACCOS A SAISIR DANS AX\15-09-2019\*CL RACCO*.pdf")</f>
        <v>0</v>
      </c>
      <c r="F16" s="92">
        <f t="shared" ca="1" si="2"/>
        <v>0</v>
      </c>
      <c r="G16" s="90">
        <f ca="1">GetFileList("P:\TP et Raccodement\FICHES CREES RACCORDEMENT\2 - SAV + COMPL + PASSAGE W XV A SAISIR DANS AX\15-09-2019\*LM PASS*.pdf")</f>
        <v>0</v>
      </c>
      <c r="H16" s="90">
        <f ca="1">GetFileList("P:\TP et Raccodement\FICHES CREES RACCORDEMENT\2 - SAV + COMPL + PASSAGE W XV A SAISIR DANS AX\15-09-2019\*LR PASS*.pdf")</f>
        <v>0</v>
      </c>
      <c r="I16" s="91">
        <f ca="1">GetFileList("P:\TP et Raccodement\FICHES CREES RACCORDEMENT\2 - SAV + COMPL + PASSAGE W XV A SAISIR DANS AX\15-09-2019\*CL PASS*.pdf")</f>
        <v>0</v>
      </c>
      <c r="J16" s="93">
        <f ca="1">GetFileList("P:\TP et Raccodement\FICHES CREES RACCORDEMENT\2 - SAV + COMPL + PASSAGE W XV A SAISIR DANS AX\15-09-2019\*SAV*.pdf")</f>
        <v>0</v>
      </c>
      <c r="K16" s="94">
        <f ca="1">GetFileList("P:\TP et Raccodement\FICHES CREES RACCORDEMENT\2 - SAV + COMPL + PASSAGE W XV A SAISIR DANS AX\15-09-2019\*COMPLEMENT*.pdf")</f>
        <v>0</v>
      </c>
      <c r="L16" s="94">
        <f ca="1">GetFileList("P:\TP et Raccodement\FICHES CREES RACCORDEMENT\2 - SAV + COMPL + PASSAGE W XV A SAISIR DANS AX\15-09-2019\*REPRISE*.pdf")</f>
        <v>0</v>
      </c>
      <c r="M16" s="95">
        <f ca="1">GetFileList("P:\TP et Raccodement\FICHES CREES RACCORDEMENT\2 - SAV + COMPL + PASSAGE W XV A SAISIR DANS AX\15-09-2019\*REMONTAGE*.pdf")</f>
        <v>0</v>
      </c>
      <c r="N16" s="61"/>
      <c r="O16" s="73">
        <f t="shared" ca="1" si="1"/>
        <v>0</v>
      </c>
    </row>
    <row r="17" spans="1:15" ht="16.5" x14ac:dyDescent="0.3">
      <c r="A17" s="59">
        <v>43724</v>
      </c>
      <c r="B17" s="74">
        <f t="shared" ca="1" si="0"/>
        <v>0</v>
      </c>
      <c r="C17" s="67">
        <f ca="1">GetFileList("P:\TP et Raccodement\FICHES CREES RACCORDEMENT\1 - RACCOS A SAISIR DANS AX\16-09-2019\*LM RACCO*.pdf")</f>
        <v>0</v>
      </c>
      <c r="D17" s="67">
        <f ca="1">GetFileList("P:\TP et Raccodement\FICHES CREES RACCORDEMENT\1 - RACCOS A SAISIR DANS AX\16-09-2019\*LR RACCO*.pdf")</f>
        <v>0</v>
      </c>
      <c r="E17" s="68">
        <f ca="1">GetFileList("P:\TP et Raccodement\FICHES CREES RACCORDEMENT\1 - RACCOS A SAISIR DANS AX\16-09-2019\*CL RACCO*.pdf")</f>
        <v>0</v>
      </c>
      <c r="F17" s="75">
        <f t="shared" ca="1" si="2"/>
        <v>0</v>
      </c>
      <c r="G17" s="67">
        <f ca="1">GetFileList("P:\TP et Raccodement\FICHES CREES RACCORDEMENT\2 - SAV + COMPL + PASSAGE W XV A SAISIR DANS AX\16-09-2019\*LM PASS*.pdf")</f>
        <v>0</v>
      </c>
      <c r="H17" s="67">
        <f ca="1">GetFileList("P:\TP et Raccodement\FICHES CREES RACCORDEMENT\2 - SAV + COMPL + PASSAGE W XV A SAISIR DANS AX\16-09-2019\*LR PASS*.pdf")</f>
        <v>0</v>
      </c>
      <c r="I17" s="68">
        <f ca="1">GetFileList("P:\TP et Raccodement\FICHES CREES RACCORDEMENT\2 - SAV + COMPL + PASSAGE W XV A SAISIR DANS AX\16-09-2019\*CL PASS*.pdf")</f>
        <v>0</v>
      </c>
      <c r="J17" s="76">
        <f ca="1">GetFileList("P:\TP et Raccodement\FICHES CREES RACCORDEMENT\2 - SAV + COMPL + PASSAGE W XV A SAISIR DANS AX\16-09-2019\*SAV*.pdf")</f>
        <v>0</v>
      </c>
      <c r="K17" s="77">
        <f ca="1">GetFileList("P:\TP et Raccodement\FICHES CREES RACCORDEMENT\2 - SAV + COMPL + PASSAGE W XV A SAISIR DANS AX\16-09-2019\*COMPLEMENT*.pdf")</f>
        <v>0</v>
      </c>
      <c r="L17" s="77">
        <f ca="1">GetFileList("P:\TP et Raccodement\FICHES CREES RACCORDEMENT\2 - SAV + COMPL + PASSAGE W XV A SAISIR DANS AX\16-09-2019\*REPRISE*.pdf")</f>
        <v>0</v>
      </c>
      <c r="M17" s="78">
        <f ca="1">GetFileList("P:\TP et Raccodement\FICHES CREES RACCORDEMENT\2 - SAV + COMPL + PASSAGE W XV A SAISIR DANS AX\16-09-2019\*REMONTAGE*.pdf")</f>
        <v>0</v>
      </c>
      <c r="N17" s="61"/>
      <c r="O17" s="73">
        <f t="shared" ca="1" si="1"/>
        <v>0</v>
      </c>
    </row>
    <row r="18" spans="1:15" ht="16.5" x14ac:dyDescent="0.3">
      <c r="A18" s="59">
        <v>43725</v>
      </c>
      <c r="B18" s="74">
        <f t="shared" ca="1" si="0"/>
        <v>0</v>
      </c>
      <c r="C18" s="67">
        <f ca="1">GetFileList("P:\TP et Raccodement\FICHES CREES RACCORDEMENT\1 - RACCOS A SAISIR DANS AX\17-09-2019\*LM RACCO*.pdf")</f>
        <v>0</v>
      </c>
      <c r="D18" s="67">
        <f ca="1">GetFileList("P:\TP et Raccodement\FICHES CREES RACCORDEMENT\1 - RACCOS A SAISIR DANS AX\17-09-2019\*LR RACCO*.pdf")</f>
        <v>0</v>
      </c>
      <c r="E18" s="68">
        <f ca="1">GetFileList("P:\TP et Raccodement\FICHES CREES RACCORDEMENT\1 - RACCOS A SAISIR DANS AX\17-09-2019\*CL RACCO*.pdf")</f>
        <v>0</v>
      </c>
      <c r="F18" s="75">
        <f t="shared" ca="1" si="2"/>
        <v>0</v>
      </c>
      <c r="G18" s="67">
        <f ca="1">GetFileList("P:\TP et Raccodement\FICHES CREES RACCORDEMENT\2 - SAV + COMPL + PASSAGE W XV A SAISIR DANS AX\17-09-2019\*LM PASS*.pdf")</f>
        <v>0</v>
      </c>
      <c r="H18" s="67">
        <f ca="1">GetFileList("P:\TP et Raccodement\FICHES CREES RACCORDEMENT\2 - SAV + COMPL + PASSAGE W XV A SAISIR DANS AX\17-09-2019\*LR PASS*.pdf")</f>
        <v>0</v>
      </c>
      <c r="I18" s="68">
        <f ca="1">GetFileList("P:\TP et Raccodement\FICHES CREES RACCORDEMENT\2 - SAV + COMPL + PASSAGE W XV A SAISIR DANS AX\17-09-2019\*CL PASS*.pdf")</f>
        <v>0</v>
      </c>
      <c r="J18" s="76">
        <f ca="1">GetFileList("P:\TP et Raccodement\FICHES CREES RACCORDEMENT\2 - SAV + COMPL + PASSAGE W XV A SAISIR DANS AX\17-09-2019\*SAV*.pdf")</f>
        <v>0</v>
      </c>
      <c r="K18" s="77">
        <f ca="1">GetFileList("P:\TP et Raccodement\FICHES CREES RACCORDEMENT\2 - SAV + COMPL + PASSAGE W XV A SAISIR DANS AX\17-09-2019\*COMPLEMENT*.pdf")</f>
        <v>0</v>
      </c>
      <c r="L18" s="77">
        <f ca="1">GetFileList("P:\TP et Raccodement\FICHES CREES RACCORDEMENT\2 - SAV + COMPL + PASSAGE W XV A SAISIR DANS AX\17-09-2019\*REPRISE*.pdf")</f>
        <v>0</v>
      </c>
      <c r="M18" s="78">
        <f ca="1">GetFileList("P:\TP et Raccodement\FICHES CREES RACCORDEMENT\2 - SAV + COMPL + PASSAGE W XV A SAISIR DANS AX\17-09-2019\*REMONTAGE*.pdf")</f>
        <v>0</v>
      </c>
      <c r="N18" s="61"/>
      <c r="O18" s="73">
        <f t="shared" ca="1" si="1"/>
        <v>0</v>
      </c>
    </row>
    <row r="19" spans="1:15" ht="16.5" x14ac:dyDescent="0.3">
      <c r="A19" s="59">
        <v>43726</v>
      </c>
      <c r="B19" s="74">
        <f t="shared" ca="1" si="0"/>
        <v>0</v>
      </c>
      <c r="C19" s="67">
        <f ca="1">GetFileList("P:\TP et Raccodement\FICHES CREES RACCORDEMENT\1 - RACCOS A SAISIR DANS AX\18-09-2019\*LM RACCO*.pdf")</f>
        <v>0</v>
      </c>
      <c r="D19" s="67">
        <f ca="1">GetFileList("P:\TP et Raccodement\FICHES CREES RACCORDEMENT\1 - RACCOS A SAISIR DANS AX\18-09-2019\*LR RACCO*.pdf")</f>
        <v>0</v>
      </c>
      <c r="E19" s="68">
        <f ca="1">GetFileList("P:\TP et Raccodement\FICHES CREES RACCORDEMENT\1 - RACCOS A SAISIR DANS AX\18-09-2019\*CL RACCO*.pdf")</f>
        <v>0</v>
      </c>
      <c r="F19" s="75">
        <f t="shared" ca="1" si="2"/>
        <v>0</v>
      </c>
      <c r="G19" s="67">
        <f ca="1">GetFileList("P:\TP et Raccodement\FICHES CREES RACCORDEMENT\2 - SAV + COMPL + PASSAGE W XV A SAISIR DANS AX\18-09-2019\*LM PASS*.pdf")</f>
        <v>0</v>
      </c>
      <c r="H19" s="67">
        <f ca="1">GetFileList("P:\TP et Raccodement\FICHES CREES RACCORDEMENT\2 - SAV + COMPL + PASSAGE W XV A SAISIR DANS AX\18-09-2019\*LR PASS*.pdf")</f>
        <v>0</v>
      </c>
      <c r="I19" s="68">
        <f ca="1">GetFileList("P:\TP et Raccodement\FICHES CREES RACCORDEMENT\2 - SAV + COMPL + PASSAGE W XV A SAISIR DANS AX\18-09-2019\*CL PASS*.pdf")</f>
        <v>0</v>
      </c>
      <c r="J19" s="76">
        <f ca="1">GetFileList("P:\TP et Raccodement\FICHES CREES RACCORDEMENT\2 - SAV + COMPL + PASSAGE W XV A SAISIR DANS AX\18-09-2019\*SAV*.pdf")</f>
        <v>0</v>
      </c>
      <c r="K19" s="77">
        <f ca="1">GetFileList("P:\TP et Raccodement\FICHES CREES RACCORDEMENT\2 - SAV + COMPL + PASSAGE W XV A SAISIR DANS AX\18-09-2019\*COMPLEMENT*.pdf")</f>
        <v>0</v>
      </c>
      <c r="L19" s="77">
        <f ca="1">GetFileList("P:\TP et Raccodement\FICHES CREES RACCORDEMENT\2 - SAV + COMPL + PASSAGE W XV A SAISIR DANS AX\18-09-2019\*REPRISE*.pdf")</f>
        <v>0</v>
      </c>
      <c r="M19" s="78">
        <f ca="1">GetFileList("P:\TP et Raccodement\FICHES CREES RACCORDEMENT\2 - SAV + COMPL + PASSAGE W XV A SAISIR DANS AX\18-09-2019\*REMONTAGE*.pdf")</f>
        <v>0</v>
      </c>
      <c r="N19" s="61"/>
      <c r="O19" s="73">
        <f t="shared" ca="1" si="1"/>
        <v>0</v>
      </c>
    </row>
    <row r="20" spans="1:15" ht="16.5" x14ac:dyDescent="0.3">
      <c r="A20" s="59">
        <v>43727</v>
      </c>
      <c r="B20" s="74">
        <f t="shared" ca="1" si="0"/>
        <v>0</v>
      </c>
      <c r="C20" s="67">
        <f ca="1">GetFileList("P:\TP et Raccodement\FICHES CREES RACCORDEMENT\1 - RACCOS A SAISIR DANS AX\19-09-2019\*LM RACCO*.pdf")</f>
        <v>0</v>
      </c>
      <c r="D20" s="67">
        <f ca="1">GetFileList("P:\TP et Raccodement\FICHES CREES RACCORDEMENT\1 - RACCOS A SAISIR DANS AX\19-09-2019\*LR RACCO*.pdf")</f>
        <v>0</v>
      </c>
      <c r="E20" s="68">
        <f ca="1">GetFileList("P:\TP et Raccodement\FICHES CREES RACCORDEMENT\1 - RACCOS A SAISIR DANS AX\19-09-2019\*CL RACCO*.pdf")</f>
        <v>0</v>
      </c>
      <c r="F20" s="75">
        <f t="shared" ca="1" si="2"/>
        <v>0</v>
      </c>
      <c r="G20" s="67">
        <f ca="1">GetFileList("P:\TP et Raccodement\FICHES CREES RACCORDEMENT\2 - SAV + COMPL + PASSAGE W XV A SAISIR DANS AX\19-09-2019\*LM PASS*.pdf")</f>
        <v>0</v>
      </c>
      <c r="H20" s="67">
        <f ca="1">GetFileList("P:\TP et Raccodement\FICHES CREES RACCORDEMENT\2 - SAV + COMPL + PASSAGE W XV A SAISIR DANS AX\19-09-2019\*LR PASS*.pdf")</f>
        <v>0</v>
      </c>
      <c r="I20" s="68">
        <f ca="1">GetFileList("P:\TP et Raccodement\FICHES CREES RACCORDEMENT\2 - SAV + COMPL + PASSAGE W XV A SAISIR DANS AX\19-09-2019\*CL PASS*.pdf")</f>
        <v>0</v>
      </c>
      <c r="J20" s="76">
        <f ca="1">GetFileList("P:\TP et Raccodement\FICHES CREES RACCORDEMENT\2 - SAV + COMPL + PASSAGE W XV A SAISIR DANS AX\19-09-2019\*SAV*.pdf")</f>
        <v>0</v>
      </c>
      <c r="K20" s="77">
        <f ca="1">GetFileList("P:\TP et Raccodement\FICHES CREES RACCORDEMENT\2 - SAV + COMPL + PASSAGE W XV A SAISIR DANS AX\19-09-2019\*COMPLEMENT*.pdf")</f>
        <v>0</v>
      </c>
      <c r="L20" s="77">
        <f ca="1">GetFileList("P:\TP et Raccodement\FICHES CREES RACCORDEMENT\2 - SAV + COMPL + PASSAGE W XV A SAISIR DANS AX\19-09-2019\*REPRISE*.pdf")</f>
        <v>0</v>
      </c>
      <c r="M20" s="78">
        <f ca="1">GetFileList("P:\TP et Raccodement\FICHES CREES RACCORDEMENT\2 - SAV + COMPL + PASSAGE W XV A SAISIR DANS AX\19-09-2019\*REMONTAGE*.pdf")</f>
        <v>0</v>
      </c>
      <c r="N20" s="61"/>
      <c r="O20" s="73">
        <f t="shared" ca="1" si="1"/>
        <v>0</v>
      </c>
    </row>
    <row r="21" spans="1:15" ht="16.5" x14ac:dyDescent="0.3">
      <c r="A21" s="59">
        <v>43728</v>
      </c>
      <c r="B21" s="74">
        <f t="shared" ca="1" si="0"/>
        <v>0</v>
      </c>
      <c r="C21" s="67">
        <f ca="1">GetFileList("P:\TP et Raccodement\FICHES CREES RACCORDEMENT\1 - RACCOS A SAISIR DANS AX\20-09-2019\*LM RACCO*.pdf")</f>
        <v>0</v>
      </c>
      <c r="D21" s="67">
        <f ca="1">GetFileList("P:\TP et Raccodement\FICHES CREES RACCORDEMENT\1 - RACCOS A SAISIR DANS AX\20-09-2019\*LR RACCO*.pdf")</f>
        <v>0</v>
      </c>
      <c r="E21" s="68">
        <f ca="1">GetFileList("P:\TP et Raccodement\FICHES CREES RACCORDEMENT\1 - RACCOS A SAISIR DANS AX\20-09-2019\*CL RACCO*.pdf")</f>
        <v>0</v>
      </c>
      <c r="F21" s="75">
        <f t="shared" ca="1" si="2"/>
        <v>0</v>
      </c>
      <c r="G21" s="67">
        <f ca="1">GetFileList("P:\TP et Raccodement\FICHES CREES RACCORDEMENT\2 - SAV + COMPL + PASSAGE W XV A SAISIR DANS AX\20-09-2019\*LM PASS*.pdf")</f>
        <v>0</v>
      </c>
      <c r="H21" s="67">
        <f ca="1">GetFileList("P:\TP et Raccodement\FICHES CREES RACCORDEMENT\2 - SAV + COMPL + PASSAGE W XV A SAISIR DANS AX\20-09-2019\*LR PASS*.pdf")</f>
        <v>0</v>
      </c>
      <c r="I21" s="68">
        <f ca="1">GetFileList("P:\TP et Raccodement\FICHES CREES RACCORDEMENT\2 - SAV + COMPL + PASSAGE W XV A SAISIR DANS AX\20-09-2019\*CL PASS*.pdf")</f>
        <v>0</v>
      </c>
      <c r="J21" s="76">
        <f ca="1">GetFileList("P:\TP et Raccodement\FICHES CREES RACCORDEMENT\2 - SAV + COMPL + PASSAGE W XV A SAISIR DANS AX\20-09-2019\*SAV*.pdf")</f>
        <v>0</v>
      </c>
      <c r="K21" s="77">
        <f ca="1">GetFileList("P:\TP et Raccodement\FICHES CREES RACCORDEMENT\2 - SAV + COMPL + PASSAGE W XV A SAISIR DANS AX\20-09-2019\*COMPLEMENT*.pdf")</f>
        <v>0</v>
      </c>
      <c r="L21" s="77">
        <f ca="1">GetFileList("P:\TP et Raccodement\FICHES CREES RACCORDEMENT\2 - SAV + COMPL + PASSAGE W XV A SAISIR DANS AX\20-09-2019\*REPRISE*.pdf")</f>
        <v>0</v>
      </c>
      <c r="M21" s="78">
        <f ca="1">GetFileList("P:\TP et Raccodement\FICHES CREES RACCORDEMENT\2 - SAV + COMPL + PASSAGE W XV A SAISIR DANS AX\20-09-2019\*REMONTAGE*.pdf")</f>
        <v>0</v>
      </c>
      <c r="N21" s="61"/>
      <c r="O21" s="73">
        <f t="shared" ca="1" si="1"/>
        <v>0</v>
      </c>
    </row>
    <row r="22" spans="1:15" ht="16.5" x14ac:dyDescent="0.3">
      <c r="A22" s="59">
        <v>43729</v>
      </c>
      <c r="B22" s="74">
        <f t="shared" ca="1" si="0"/>
        <v>0</v>
      </c>
      <c r="C22" s="67">
        <f ca="1">GetFileList("P:\TP et Raccodement\FICHES CREES RACCORDEMENT\1 - RACCOS A SAISIR DANS AX\21-09-2019\*LM RACCO*.pdf")</f>
        <v>0</v>
      </c>
      <c r="D22" s="67">
        <f ca="1">GetFileList("P:\TP et Raccodement\FICHES CREES RACCORDEMENT\1 - RACCOS A SAISIR DANS AX\21-09-2019\*LR RACCO*.pdf")</f>
        <v>0</v>
      </c>
      <c r="E22" s="68">
        <f ca="1">GetFileList("P:\TP et Raccodement\FICHES CREES RACCORDEMENT\1 - RACCOS A SAISIR DANS AX\21-09-2019\*CL RACCO*.pdf")</f>
        <v>0</v>
      </c>
      <c r="F22" s="75">
        <f t="shared" ca="1" si="2"/>
        <v>0</v>
      </c>
      <c r="G22" s="67">
        <f ca="1">GetFileList("P:\TP et Raccodement\FICHES CREES RACCORDEMENT\2 - SAV + COMPL + PASSAGE W XV A SAISIR DANS AX\21-09-2019\*LM PASS*.pdf")</f>
        <v>0</v>
      </c>
      <c r="H22" s="67">
        <f ca="1">GetFileList("P:\TP et Raccodement\FICHES CREES RACCORDEMENT\2 - SAV + COMPL + PASSAGE W XV A SAISIR DANS AX\21-09-2019\*LR PASS*.pdf")</f>
        <v>0</v>
      </c>
      <c r="I22" s="68">
        <f ca="1">GetFileList("P:\TP et Raccodement\FICHES CREES RACCORDEMENT\2 - SAV + COMPL + PASSAGE W XV A SAISIR DANS AX\21-09-2019\*CL PASS*.pdf")</f>
        <v>0</v>
      </c>
      <c r="J22" s="76">
        <f ca="1">GetFileList("P:\TP et Raccodement\FICHES CREES RACCORDEMENT\2 - SAV + COMPL + PASSAGE W XV A SAISIR DANS AX\21-09-2019\*SAV*.pdf")</f>
        <v>0</v>
      </c>
      <c r="K22" s="77">
        <f ca="1">GetFileList("P:\TP et Raccodement\FICHES CREES RACCORDEMENT\2 - SAV + COMPL + PASSAGE W XV A SAISIR DANS AX\21-09-2019\*COMPLEMENT*.pdf")</f>
        <v>0</v>
      </c>
      <c r="L22" s="77">
        <f ca="1">GetFileList("P:\TP et Raccodement\FICHES CREES RACCORDEMENT\2 - SAV + COMPL + PASSAGE W XV A SAISIR DANS AX\21-09-2019\*REPRISE*.pdf")</f>
        <v>0</v>
      </c>
      <c r="M22" s="78">
        <f ca="1">GetFileList("P:\TP et Raccodement\FICHES CREES RACCORDEMENT\2 - SAV + COMPL + PASSAGE W XV A SAISIR DANS AX\21-09-2019\*REMONTAGE*.pdf")</f>
        <v>0</v>
      </c>
      <c r="N22" s="61"/>
      <c r="O22" s="73">
        <f t="shared" ca="1" si="1"/>
        <v>0</v>
      </c>
    </row>
    <row r="23" spans="1:15" ht="16.5" x14ac:dyDescent="0.3">
      <c r="A23" s="88">
        <v>43730</v>
      </c>
      <c r="B23" s="89">
        <f t="shared" ca="1" si="0"/>
        <v>0</v>
      </c>
      <c r="C23" s="90">
        <f ca="1">GetFileList("P:\TP et Raccodement\FICHES CREES RACCORDEMENT\1 - RACCOS A SAISIR DANS AX\22-09-2019\*LM RACCO*.pdf")</f>
        <v>0</v>
      </c>
      <c r="D23" s="90">
        <f ca="1">GetFileList("P:\TP et Raccodement\FICHES CREES RACCORDEMENT\1 - RACCOS A SAISIR DANS AX\22-09-2019\*LR RACCO*.pdf")</f>
        <v>0</v>
      </c>
      <c r="E23" s="91">
        <f ca="1">GetFileList("P:\TP et Raccodement\FICHES CREES RACCORDEMENT\1 - RACCOS A SAISIR DANS AX\22-09-2019\*CL RACCO*.pdf")</f>
        <v>0</v>
      </c>
      <c r="F23" s="92">
        <f t="shared" ca="1" si="2"/>
        <v>0</v>
      </c>
      <c r="G23" s="90">
        <f ca="1">GetFileList("P:\TP et Raccodement\FICHES CREES RACCORDEMENT\2 - SAV + COMPL + PASSAGE W XV A SAISIR DANS AX\22-09-2019\*LM PASS*.pdf")</f>
        <v>0</v>
      </c>
      <c r="H23" s="90">
        <f ca="1">GetFileList("P:\TP et Raccodement\FICHES CREES RACCORDEMENT\2 - SAV + COMPL + PASSAGE W XV A SAISIR DANS AX\22-09-2019\*LR PASS*.pdf")</f>
        <v>0</v>
      </c>
      <c r="I23" s="91">
        <f ca="1">GetFileList("P:\TP et Raccodement\FICHES CREES RACCORDEMENT\2 - SAV + COMPL + PASSAGE W XV A SAISIR DANS AX\22-09-2019\*CL PASS*.pdf")</f>
        <v>0</v>
      </c>
      <c r="J23" s="93">
        <f ca="1">GetFileList("P:\TP et Raccodement\FICHES CREES RACCORDEMENT\2 - SAV + COMPL + PASSAGE W XV A SAISIR DANS AX\22-09-2019\*SAV*.pdf")</f>
        <v>0</v>
      </c>
      <c r="K23" s="94">
        <f ca="1">GetFileList("P:\TP et Raccodement\FICHES CREES RACCORDEMENT\2 - SAV + COMPL + PASSAGE W XV A SAISIR DANS AX\22-09-2019\*COMPLEMENT*.pdf")</f>
        <v>0</v>
      </c>
      <c r="L23" s="94">
        <f ca="1">GetFileList("P:\TP et Raccodement\FICHES CREES RACCORDEMENT\2 - SAV + COMPL + PASSAGE W XV A SAISIR DANS AX\22-09-2019\*REPRISE*.pdf")</f>
        <v>0</v>
      </c>
      <c r="M23" s="95">
        <f ca="1">GetFileList("P:\TP et Raccodement\FICHES CREES RACCORDEMENT\2 - SAV + COMPL + PASSAGE W XV A SAISIR DANS AX\22-09-2019\*REMONTAGE*.pdf")</f>
        <v>0</v>
      </c>
      <c r="N23" s="61"/>
      <c r="O23" s="73">
        <f t="shared" ca="1" si="1"/>
        <v>0</v>
      </c>
    </row>
    <row r="24" spans="1:15" ht="16.5" x14ac:dyDescent="0.3">
      <c r="A24" s="59">
        <v>43731</v>
      </c>
      <c r="B24" s="74">
        <f t="shared" ca="1" si="0"/>
        <v>0</v>
      </c>
      <c r="C24" s="67">
        <f ca="1">GetFileList("P:\TP et Raccodement\FICHES CREES RACCORDEMENT\1 - RACCOS A SAISIR DANS AX\23-09-2019\*LM RACCO*.pdf")</f>
        <v>0</v>
      </c>
      <c r="D24" s="67">
        <f ca="1">GetFileList("P:\TP et Raccodement\FICHES CREES RACCORDEMENT\1 - RACCOS A SAISIR DANS AX\23-09-2019\*LR RACCO*.pdf")</f>
        <v>0</v>
      </c>
      <c r="E24" s="68">
        <f ca="1">GetFileList("P:\TP et Raccodement\FICHES CREES RACCORDEMENT\1 - RACCOS A SAISIR DANS AX\23-09-2019\*CL RACCO*.pdf")</f>
        <v>0</v>
      </c>
      <c r="F24" s="75">
        <f t="shared" ca="1" si="2"/>
        <v>0</v>
      </c>
      <c r="G24" s="67">
        <f ca="1">GetFileList("P:\TP et Raccodement\FICHES CREES RACCORDEMENT\2 - SAV + COMPL + PASSAGE W XV A SAISIR DANS AX\23-09-2019\*LM PASS*.pdf")</f>
        <v>0</v>
      </c>
      <c r="H24" s="67">
        <f ca="1">GetFileList("P:\TP et Raccodement\FICHES CREES RACCORDEMENT\2 - SAV + COMPL + PASSAGE W XV A SAISIR DANS AX\23-09-2019\*LR PASS*.pdf")</f>
        <v>0</v>
      </c>
      <c r="I24" s="68">
        <f ca="1">GetFileList("P:\TP et Raccodement\FICHES CREES RACCORDEMENT\2 - SAV + COMPL + PASSAGE W XV A SAISIR DANS AX\23-09-2019\*CL PASS*.pdf")</f>
        <v>0</v>
      </c>
      <c r="J24" s="76">
        <f ca="1">GetFileList("P:\TP et Raccodement\FICHES CREES RACCORDEMENT\2 - SAV + COMPL + PASSAGE W XV A SAISIR DANS AX\23-09-2019\*SAV*.pdf")</f>
        <v>0</v>
      </c>
      <c r="K24" s="77">
        <f ca="1">GetFileList("P:\TP et Raccodement\FICHES CREES RACCORDEMENT\2 - SAV + COMPL + PASSAGE W XV A SAISIR DANS AX\23-09-2019\*COMPLEMENT*.pdf")</f>
        <v>0</v>
      </c>
      <c r="L24" s="77">
        <f ca="1">GetFileList("P:\TP et Raccodement\FICHES CREES RACCORDEMENT\2 - SAV + COMPL + PASSAGE W XV A SAISIR DANS AX\23-09-2019\*REPRISE*.pdf")</f>
        <v>0</v>
      </c>
      <c r="M24" s="78">
        <f ca="1">GetFileList("P:\TP et Raccodement\FICHES CREES RACCORDEMENT\2 - SAV + COMPL + PASSAGE W XV A SAISIR DANS AX\23-09-2019\*REMONTAGE*.pdf")</f>
        <v>0</v>
      </c>
      <c r="N24" s="61"/>
      <c r="O24" s="73">
        <f t="shared" ca="1" si="1"/>
        <v>0</v>
      </c>
    </row>
    <row r="25" spans="1:15" ht="16.5" x14ac:dyDescent="0.3">
      <c r="A25" s="59">
        <v>43732</v>
      </c>
      <c r="B25" s="74">
        <f t="shared" ca="1" si="0"/>
        <v>0</v>
      </c>
      <c r="C25" s="67">
        <f ca="1">GetFileList("P:\TP et Raccodement\FICHES CREES RACCORDEMENT\1 - RACCOS A SAISIR DANS AX\24-09-2019\*LM RACCO*.pdf")</f>
        <v>0</v>
      </c>
      <c r="D25" s="67">
        <f ca="1">GetFileList("P:\TP et Raccodement\FICHES CREES RACCORDEMENT\1 - RACCOS A SAISIR DANS AX\24-09-2019\*LR RACCO*.pdf")</f>
        <v>0</v>
      </c>
      <c r="E25" s="68">
        <f ca="1">GetFileList("P:\TP et Raccodement\FICHES CREES RACCORDEMENT\1 - RACCOS A SAISIR DANS AX\24-09-2019\*CL RACCO*.pdf")</f>
        <v>0</v>
      </c>
      <c r="F25" s="75">
        <f t="shared" ca="1" si="2"/>
        <v>0</v>
      </c>
      <c r="G25" s="67">
        <f ca="1">GetFileList("P:\TP et Raccodement\FICHES CREES RACCORDEMENT\2 - SAV + COMPL + PASSAGE W XV A SAISIR DANS AX\24-09-2019\*LM PASS*.pdf")</f>
        <v>0</v>
      </c>
      <c r="H25" s="67">
        <f ca="1">GetFileList("P:\TP et Raccodement\FICHES CREES RACCORDEMENT\2 - SAV + COMPL + PASSAGE W XV A SAISIR DANS AX\24-09-2019\*LR PASS*.pdf")</f>
        <v>0</v>
      </c>
      <c r="I25" s="68">
        <f ca="1">GetFileList("P:\TP et Raccodement\FICHES CREES RACCORDEMENT\2 - SAV + COMPL + PASSAGE W XV A SAISIR DANS AX\24-09-2019\*CL PASS*.pdf")</f>
        <v>0</v>
      </c>
      <c r="J25" s="76">
        <f ca="1">GetFileList("P:\TP et Raccodement\FICHES CREES RACCORDEMENT\2 - SAV + COMPL + PASSAGE W XV A SAISIR DANS AX\24-09-2019\*SAV*.pdf")</f>
        <v>0</v>
      </c>
      <c r="K25" s="77">
        <f ca="1">GetFileList("P:\TP et Raccodement\FICHES CREES RACCORDEMENT\2 - SAV + COMPL + PASSAGE W XV A SAISIR DANS AX\24-09-2019\*COMPLEMENT*.pdf")</f>
        <v>0</v>
      </c>
      <c r="L25" s="77">
        <f ca="1">GetFileList("P:\TP et Raccodement\FICHES CREES RACCORDEMENT\2 - SAV + COMPL + PASSAGE W XV A SAISIR DANS AX\24-09-2019\*REPRISE*.pdf")</f>
        <v>0</v>
      </c>
      <c r="M25" s="78">
        <f ca="1">GetFileList("P:\TP et Raccodement\FICHES CREES RACCORDEMENT\2 - SAV + COMPL + PASSAGE W XV A SAISIR DANS AX\24-09-2019\*REMONTAGE*.pdf")</f>
        <v>0</v>
      </c>
      <c r="N25" s="61"/>
      <c r="O25" s="73">
        <f t="shared" ca="1" si="1"/>
        <v>0</v>
      </c>
    </row>
    <row r="26" spans="1:15" ht="16.5" x14ac:dyDescent="0.3">
      <c r="A26" s="59">
        <v>43733</v>
      </c>
      <c r="B26" s="74">
        <f t="shared" ca="1" si="0"/>
        <v>0</v>
      </c>
      <c r="C26" s="67">
        <f ca="1">GetFileList("P:\TP et Raccodement\FICHES CREES RACCORDEMENT\1 - RACCOS A SAISIR DANS AX\25-09-2019\*LM RACCO*.pdf")</f>
        <v>0</v>
      </c>
      <c r="D26" s="67">
        <f ca="1">GetFileList("P:\TP et Raccodement\FICHES CREES RACCORDEMENT\1 - RACCOS A SAISIR DANS AX\25-09-2019\*LR RACCO*.pdf")</f>
        <v>0</v>
      </c>
      <c r="E26" s="68">
        <f ca="1">GetFileList("P:\TP et Raccodement\FICHES CREES RACCORDEMENT\1 - RACCOS A SAISIR DANS AX\25-09-2019\*CL RACCO*.pdf")</f>
        <v>0</v>
      </c>
      <c r="F26" s="75">
        <f t="shared" ca="1" si="2"/>
        <v>0</v>
      </c>
      <c r="G26" s="67">
        <f ca="1">GetFileList("P:\TP et Raccodement\FICHES CREES RACCORDEMENT\2 - SAV + COMPL + PASSAGE W XV A SAISIR DANS AX\25-09-2019\*LM PASS*.pdf")</f>
        <v>0</v>
      </c>
      <c r="H26" s="67">
        <f ca="1">GetFileList("P:\TP et Raccodement\FICHES CREES RACCORDEMENT\2 - SAV + COMPL + PASSAGE W XV A SAISIR DANS AX\25-09-2019\*LR PASS*.pdf")</f>
        <v>0</v>
      </c>
      <c r="I26" s="68">
        <f ca="1">GetFileList("P:\TP et Raccodement\FICHES CREES RACCORDEMENT\2 - SAV + COMPL + PASSAGE W XV A SAISIR DANS AX\25-09-2019\*CL PASS*.pdf")</f>
        <v>0</v>
      </c>
      <c r="J26" s="76">
        <f ca="1">GetFileList("P:\TP et Raccodement\FICHES CREES RACCORDEMENT\2 - SAV + COMPL + PASSAGE W XV A SAISIR DANS AX\25-09-2019\*SAV*.pdf")</f>
        <v>0</v>
      </c>
      <c r="K26" s="77">
        <f ca="1">GetFileList("P:\TP et Raccodement\FICHES CREES RACCORDEMENT\2 - SAV + COMPL + PASSAGE W XV A SAISIR DANS AX\25-09-2019\*COMPLEMENT*.pdf")</f>
        <v>0</v>
      </c>
      <c r="L26" s="77">
        <f ca="1">GetFileList("P:\TP et Raccodement\FICHES CREES RACCORDEMENT\2 - SAV + COMPL + PASSAGE W XV A SAISIR DANS AX\25-09-2019\*REPRISE*.pdf")</f>
        <v>0</v>
      </c>
      <c r="M26" s="78">
        <f ca="1">GetFileList("P:\TP et Raccodement\FICHES CREES RACCORDEMENT\2 - SAV + COMPL + PASSAGE W XV A SAISIR DANS AX\25-09-2019\*REMONTAGE*.pdf")</f>
        <v>0</v>
      </c>
      <c r="N26" s="61"/>
      <c r="O26" s="73">
        <f t="shared" ca="1" si="1"/>
        <v>0</v>
      </c>
    </row>
    <row r="27" spans="1:15" ht="16.5" x14ac:dyDescent="0.3">
      <c r="A27" s="59">
        <v>43734</v>
      </c>
      <c r="B27" s="74">
        <f t="shared" ca="1" si="0"/>
        <v>0</v>
      </c>
      <c r="C27" s="67">
        <f ca="1">GetFileList("P:\TP et Raccodement\FICHES CREES RACCORDEMENT\1 - RACCOS A SAISIR DANS AX\26-09-2019\*LM RACCO*.pdf")</f>
        <v>0</v>
      </c>
      <c r="D27" s="67">
        <f ca="1">GetFileList("P:\TP et Raccodement\FICHES CREES RACCORDEMENT\1 - RACCOS A SAISIR DANS AX\26-09-2019\*LR RACCO*.pdf")</f>
        <v>0</v>
      </c>
      <c r="E27" s="68">
        <f ca="1">GetFileList("P:\TP et Raccodement\FICHES CREES RACCORDEMENT\1 - RACCOS A SAISIR DANS AX\26-09-2019\*CL RACCO*.pdf")</f>
        <v>0</v>
      </c>
      <c r="F27" s="75">
        <f t="shared" ca="1" si="2"/>
        <v>0</v>
      </c>
      <c r="G27" s="67">
        <f ca="1">GetFileList("P:\TP et Raccodement\FICHES CREES RACCORDEMENT\2 - SAV + COMPL + PASSAGE W XV A SAISIR DANS AX\26-09-2019\*LM PASS*.pdf")</f>
        <v>0</v>
      </c>
      <c r="H27" s="67">
        <f ca="1">GetFileList("P:\TP et Raccodement\FICHES CREES RACCORDEMENT\2 - SAV + COMPL + PASSAGE W XV A SAISIR DANS AX\26-09-2019\*LR PASS*.pdf")</f>
        <v>0</v>
      </c>
      <c r="I27" s="68">
        <f ca="1">GetFileList("P:\TP et Raccodement\FICHES CREES RACCORDEMENT\2 - SAV + COMPL + PASSAGE W XV A SAISIR DANS AX\26-09-2019\*CL PASS*.pdf")</f>
        <v>0</v>
      </c>
      <c r="J27" s="76">
        <f ca="1">GetFileList("P:\TP et Raccodement\FICHES CREES RACCORDEMENT\2 - SAV + COMPL + PASSAGE W XV A SAISIR DANS AX\26-09-2019\*SAV*.pdf")</f>
        <v>0</v>
      </c>
      <c r="K27" s="77">
        <f ca="1">GetFileList("P:\TP et Raccodement\FICHES CREES RACCORDEMENT\2 - SAV + COMPL + PASSAGE W XV A SAISIR DANS AX\26-09-2019\*COMPLEMENT*.pdf")</f>
        <v>0</v>
      </c>
      <c r="L27" s="77">
        <f ca="1">GetFileList("P:\TP et Raccodement\FICHES CREES RACCORDEMENT\2 - SAV + COMPL + PASSAGE W XV A SAISIR DANS AX\26-09-2019\*REPRISE*.pdf")</f>
        <v>0</v>
      </c>
      <c r="M27" s="78">
        <f ca="1">GetFileList("P:\TP et Raccodement\FICHES CREES RACCORDEMENT\2 - SAV + COMPL + PASSAGE W XV A SAISIR DANS AX\26-09-2019\*REMONTAGE*.pdf")</f>
        <v>0</v>
      </c>
      <c r="N27" s="61"/>
      <c r="O27" s="73">
        <f t="shared" ca="1" si="1"/>
        <v>0</v>
      </c>
    </row>
    <row r="28" spans="1:15" ht="16.5" x14ac:dyDescent="0.3">
      <c r="A28" s="59">
        <v>43735</v>
      </c>
      <c r="B28" s="74">
        <f t="shared" ca="1" si="0"/>
        <v>0</v>
      </c>
      <c r="C28" s="67">
        <f ca="1">GetFileList("P:\TP et Raccodement\FICHES CREES RACCORDEMENT\1 - RACCOS A SAISIR DANS AX\27-09-2019\*LM RACCO*.pdf")</f>
        <v>0</v>
      </c>
      <c r="D28" s="67">
        <f ca="1">GetFileList("P:\TP et Raccodement\FICHES CREES RACCORDEMENT\1 - RACCOS A SAISIR DANS AX\27-09-2019\*LR RACCO*.pdf")</f>
        <v>0</v>
      </c>
      <c r="E28" s="68">
        <f ca="1">GetFileList("P:\TP et Raccodement\FICHES CREES RACCORDEMENT\1 - RACCOS A SAISIR DANS AX\27-09-2019\*CL RACCO*.pdf")</f>
        <v>0</v>
      </c>
      <c r="F28" s="75">
        <f t="shared" ca="1" si="2"/>
        <v>0</v>
      </c>
      <c r="G28" s="67">
        <f ca="1">GetFileList("P:\TP et Raccodement\FICHES CREES RACCORDEMENT\2 - SAV + COMPL + PASSAGE W XV A SAISIR DANS AX\27-09-2019\*LM PASS*.pdf")</f>
        <v>0</v>
      </c>
      <c r="H28" s="67">
        <f ca="1">GetFileList("P:\TP et Raccodement\FICHES CREES RACCORDEMENT\2 - SAV + COMPL + PASSAGE W XV A SAISIR DANS AX\27-09-2019\*LR PASS*.pdf")</f>
        <v>0</v>
      </c>
      <c r="I28" s="68">
        <f ca="1">GetFileList("P:\TP et Raccodement\FICHES CREES RACCORDEMENT\2 - SAV + COMPL + PASSAGE W XV A SAISIR DANS AX\27-09-2019\*CL PASS*.pdf")</f>
        <v>0</v>
      </c>
      <c r="J28" s="76">
        <f ca="1">GetFileList("P:\TP et Raccodement\FICHES CREES RACCORDEMENT\2 - SAV + COMPL + PASSAGE W XV A SAISIR DANS AX\27-09-2019\*SAV*.pdf")</f>
        <v>0</v>
      </c>
      <c r="K28" s="77">
        <f ca="1">GetFileList("P:\TP et Raccodement\FICHES CREES RACCORDEMENT\2 - SAV + COMPL + PASSAGE W XV A SAISIR DANS AX\27-09-2019\*COMPLEMENT*.pdf")</f>
        <v>0</v>
      </c>
      <c r="L28" s="77">
        <f ca="1">GetFileList("P:\TP et Raccodement\FICHES CREES RACCORDEMENT\2 - SAV + COMPL + PASSAGE W XV A SAISIR DANS AX\27-09-2019\*REPRISE*.pdf")</f>
        <v>0</v>
      </c>
      <c r="M28" s="78">
        <f ca="1">GetFileList("P:\TP et Raccodement\FICHES CREES RACCORDEMENT\2 - SAV + COMPL + PASSAGE W XV A SAISIR DANS AX\27-09-2019\*REMONTAGE*.pdf")</f>
        <v>0</v>
      </c>
      <c r="N28" s="61"/>
      <c r="O28" s="73">
        <f t="shared" ca="1" si="1"/>
        <v>0</v>
      </c>
    </row>
    <row r="29" spans="1:15" ht="16.5" x14ac:dyDescent="0.3">
      <c r="A29" s="59">
        <v>43736</v>
      </c>
      <c r="B29" s="74">
        <f t="shared" ca="1" si="0"/>
        <v>0</v>
      </c>
      <c r="C29" s="67">
        <f ca="1">GetFileList("P:\TP et Raccodement\FICHES CREES RACCORDEMENT\1 - RACCOS A SAISIR DANS AX\28-09-2019\*LM RACCO*.pdf")</f>
        <v>0</v>
      </c>
      <c r="D29" s="67">
        <f ca="1">GetFileList("P:\TP et Raccodement\FICHES CREES RACCORDEMENT\1 - RACCOS A SAISIR DANS AX\28-09-2019\*LR RACCO*.pdf")</f>
        <v>0</v>
      </c>
      <c r="E29" s="68">
        <f ca="1">GetFileList("P:\TP et Raccodement\FICHES CREES RACCORDEMENT\1 - RACCOS A SAISIR DANS AX\28-09-2019\*CL RACCO*.pdf")</f>
        <v>0</v>
      </c>
      <c r="F29" s="75">
        <f t="shared" ca="1" si="2"/>
        <v>0</v>
      </c>
      <c r="G29" s="67">
        <f ca="1">GetFileList("P:\TP et Raccodement\FICHES CREES RACCORDEMENT\2 - SAV + COMPL + PASSAGE W XV A SAISIR DANS AX\28-09-2019\*LM PASS*.pdf")</f>
        <v>0</v>
      </c>
      <c r="H29" s="67">
        <f ca="1">GetFileList("P:\TP et Raccodement\FICHES CREES RACCORDEMENT\2 - SAV + COMPL + PASSAGE W XV A SAISIR DANS AX\28-09-2019\*LR PASS*.pdf")</f>
        <v>0</v>
      </c>
      <c r="I29" s="68">
        <f ca="1">GetFileList("P:\TP et Raccodement\FICHES CREES RACCORDEMENT\2 - SAV + COMPL + PASSAGE W XV A SAISIR DANS AX\28-09-2019\*CL PASS*.pdf")</f>
        <v>0</v>
      </c>
      <c r="J29" s="76">
        <f ca="1">GetFileList("P:\TP et Raccodement\FICHES CREES RACCORDEMENT\2 - SAV + COMPL + PASSAGE W XV A SAISIR DANS AX\28-09-2019\*SAV*.pdf")</f>
        <v>0</v>
      </c>
      <c r="K29" s="77">
        <f ca="1">GetFileList("P:\TP et Raccodement\FICHES CREES RACCORDEMENT\2 - SAV + COMPL + PASSAGE W XV A SAISIR DANS AX\28-09-2019\*COMPLEMENT*.pdf")</f>
        <v>0</v>
      </c>
      <c r="L29" s="77">
        <f ca="1">GetFileList("P:\TP et Raccodement\FICHES CREES RACCORDEMENT\2 - SAV + COMPL + PASSAGE W XV A SAISIR DANS AX\28-09-2019\*REPRISE*.pdf")</f>
        <v>0</v>
      </c>
      <c r="M29" s="78">
        <f ca="1">GetFileList("P:\TP et Raccodement\FICHES CREES RACCORDEMENT\2 - SAV + COMPL + PASSAGE W XV A SAISIR DANS AX\28-09-2019\*REMONTAGE*.pdf")</f>
        <v>0</v>
      </c>
      <c r="N29" s="61"/>
      <c r="O29" s="73">
        <f t="shared" ca="1" si="1"/>
        <v>0</v>
      </c>
    </row>
    <row r="30" spans="1:15" ht="16.5" x14ac:dyDescent="0.3">
      <c r="A30" s="88">
        <v>43737</v>
      </c>
      <c r="B30" s="89">
        <f t="shared" ca="1" si="0"/>
        <v>0</v>
      </c>
      <c r="C30" s="90">
        <f ca="1">GetFileList("P:\TP et Raccodement\FICHES CREES RACCORDEMENT\1 - RACCOS A SAISIR DANS AX\29-09-2019\*LM RACCO*.pdf")</f>
        <v>0</v>
      </c>
      <c r="D30" s="90">
        <f ca="1">GetFileList("P:\TP et Raccodement\FICHES CREES RACCORDEMENT\1 - RACCOS A SAISIR DANS AX\29-09-2019\*LR RACCO*.pdf")</f>
        <v>0</v>
      </c>
      <c r="E30" s="91">
        <f ca="1">GetFileList("P:\TP et Raccodement\FICHES CREES RACCORDEMENT\1 - RACCOS A SAISIR DANS AX\29-09-2019\*CL RACCO*.pdf")</f>
        <v>0</v>
      </c>
      <c r="F30" s="92">
        <f t="shared" ca="1" si="2"/>
        <v>0</v>
      </c>
      <c r="G30" s="90">
        <f ca="1">GetFileList("P:\TP et Raccodement\FICHES CREES RACCORDEMENT\2 - SAV + COMPL + PASSAGE W XV A SAISIR DANS AX\29-09-2019\*LM PASS*.pdf")</f>
        <v>0</v>
      </c>
      <c r="H30" s="90">
        <f ca="1">GetFileList("P:\TP et Raccodement\FICHES CREES RACCORDEMENT\2 - SAV + COMPL + PASSAGE W XV A SAISIR DANS AX\29-09-2019\*LR PASS*.pdf")</f>
        <v>0</v>
      </c>
      <c r="I30" s="91">
        <f ca="1">GetFileList("P:\TP et Raccodement\FICHES CREES RACCORDEMENT\2 - SAV + COMPL + PASSAGE W XV A SAISIR DANS AX\29-09-2019\*CL PASS*.pdf")</f>
        <v>0</v>
      </c>
      <c r="J30" s="93">
        <f ca="1">GetFileList("P:\TP et Raccodement\FICHES CREES RACCORDEMENT\2 - SAV + COMPL + PASSAGE W XV A SAISIR DANS AX\29-09-2019\*SAV*.pdf")</f>
        <v>0</v>
      </c>
      <c r="K30" s="94">
        <f ca="1">GetFileList("P:\TP et Raccodement\FICHES CREES RACCORDEMENT\2 - SAV + COMPL + PASSAGE W XV A SAISIR DANS AX\29-09-2019\*COMPLEMENT*.pdf")</f>
        <v>0</v>
      </c>
      <c r="L30" s="94">
        <f ca="1">GetFileList("P:\TP et Raccodement\FICHES CREES RACCORDEMENT\2 - SAV + COMPL + PASSAGE W XV A SAISIR DANS AX\29-09-2019\*REPRISE*.pdf")</f>
        <v>0</v>
      </c>
      <c r="M30" s="95">
        <f ca="1">GetFileList("P:\TP et Raccodement\FICHES CREES RACCORDEMENT\2 - SAV + COMPL + PASSAGE W XV A SAISIR DANS AX\29-09-2019\*REMONTAGE*.pdf")</f>
        <v>0</v>
      </c>
      <c r="N30" s="61"/>
      <c r="O30" s="73">
        <f t="shared" ca="1" si="1"/>
        <v>0</v>
      </c>
    </row>
    <row r="31" spans="1:15" ht="17.25" thickBot="1" x14ac:dyDescent="0.35">
      <c r="A31" s="59">
        <v>43738</v>
      </c>
      <c r="B31" s="74">
        <f t="shared" ca="1" si="0"/>
        <v>0</v>
      </c>
      <c r="C31" s="67">
        <f ca="1">GetFileList("P:\TP et Raccodement\FICHES CREES RACCORDEMENT\1 - RACCOS A SAISIR DANS AX\30-09-2019\*LM RACCO*.pdf")</f>
        <v>0</v>
      </c>
      <c r="D31" s="67">
        <f ca="1">GetFileList("P:\TP et Raccodement\FICHES CREES RACCORDEMENT\1 - RACCOS A SAISIR DANS AX\30-09-2019\*LR RACCO*.pdf")</f>
        <v>0</v>
      </c>
      <c r="E31" s="68">
        <f ca="1">GetFileList("P:\TP et Raccodement\FICHES CREES RACCORDEMENT\1 - RACCOS A SAISIR DANS AX\30-09-2019\*CL RACCO*.pdf")</f>
        <v>0</v>
      </c>
      <c r="F31" s="75">
        <f t="shared" ca="1" si="2"/>
        <v>0</v>
      </c>
      <c r="G31" s="67">
        <f ca="1">GetFileList("P:\TP et Raccodement\FICHES CREES RACCORDEMENT\2 - SAV + COMPL + PASSAGE W XV A SAISIR DANS AX\30-09-2019\*LM PASS*.pdf")</f>
        <v>0</v>
      </c>
      <c r="H31" s="67">
        <f ca="1">GetFileList("P:\TP et Raccodement\FICHES CREES RACCORDEMENT\2 - SAV + COMPL + PASSAGE W XV A SAISIR DANS AX\30-09-2019\*LR PASS*.pdf")</f>
        <v>0</v>
      </c>
      <c r="I31" s="68">
        <f ca="1">GetFileList("P:\TP et Raccodement\FICHES CREES RACCORDEMENT\2 - SAV + COMPL + PASSAGE W XV A SAISIR DANS AX\30-09-2019\*CL PASS*.pdf")</f>
        <v>0</v>
      </c>
      <c r="J31" s="76">
        <f ca="1">GetFileList("P:\TP et Raccodement\FICHES CREES RACCORDEMENT\2 - SAV + COMPL + PASSAGE W XV A SAISIR DANS AX\30-09-2019\*SAV*.pdf")</f>
        <v>0</v>
      </c>
      <c r="K31" s="77">
        <f ca="1">GetFileList("P:\TP et Raccodement\FICHES CREES RACCORDEMENT\2 - SAV + COMPL + PASSAGE W XV A SAISIR DANS AX\30-09-2019\*COMPLEMENT*.pdf")</f>
        <v>0</v>
      </c>
      <c r="L31" s="77">
        <f ca="1">GetFileList("P:\TP et Raccodement\FICHES CREES RACCORDEMENT\2 - SAV + COMPL + PASSAGE W XV A SAISIR DANS AX\30-09-2019\*REPRISE*.pdf")</f>
        <v>0</v>
      </c>
      <c r="M31" s="78">
        <f ca="1">GetFileList("P:\TP et Raccodement\FICHES CREES RACCORDEMENT\2 - SAV + COMPL + PASSAGE W XV A SAISIR DANS AX\30-09-2019\*REMONTAGE*.pdf")</f>
        <v>0</v>
      </c>
      <c r="N31" s="61"/>
      <c r="O31" s="73">
        <f t="shared" ca="1" si="1"/>
        <v>0</v>
      </c>
    </row>
    <row r="32" spans="1:15" ht="18" thickBot="1" x14ac:dyDescent="0.35">
      <c r="A32" s="136" t="s">
        <v>10</v>
      </c>
      <c r="B32" s="132">
        <f t="shared" ref="B32:M32" ca="1" si="3">SUM(B2:B31)</f>
        <v>0</v>
      </c>
      <c r="C32" s="133">
        <f t="shared" ca="1" si="3"/>
        <v>0</v>
      </c>
      <c r="D32" s="133">
        <f t="shared" ca="1" si="3"/>
        <v>0</v>
      </c>
      <c r="E32" s="134">
        <f t="shared" ca="1" si="3"/>
        <v>0</v>
      </c>
      <c r="F32" s="69">
        <f t="shared" ca="1" si="3"/>
        <v>0</v>
      </c>
      <c r="G32" s="70">
        <f t="shared" ca="1" si="3"/>
        <v>0</v>
      </c>
      <c r="H32" s="70">
        <f t="shared" ca="1" si="3"/>
        <v>0</v>
      </c>
      <c r="I32" s="86">
        <f t="shared" ca="1" si="3"/>
        <v>0</v>
      </c>
      <c r="J32" s="87">
        <f t="shared" ca="1" si="3"/>
        <v>0</v>
      </c>
      <c r="K32" s="82">
        <f t="shared" ca="1" si="3"/>
        <v>0</v>
      </c>
      <c r="L32" s="82">
        <f t="shared" ca="1" si="3"/>
        <v>0</v>
      </c>
      <c r="M32" s="83">
        <f t="shared" ca="1" si="3"/>
        <v>0</v>
      </c>
      <c r="N32" s="62"/>
      <c r="O32" s="72">
        <f ca="1">SUM(O2:O31)</f>
        <v>0</v>
      </c>
    </row>
  </sheetData>
  <conditionalFormatting sqref="O2:O31">
    <cfRule type="cellIs" dxfId="6" priority="1" operator="equal">
      <formula>0</formula>
    </cfRule>
  </conditionalFormatting>
  <conditionalFormatting sqref="B2:B31">
    <cfRule type="dataBar" priority="34">
      <dataBar>
        <cfvo type="min"/>
        <cfvo type="max"/>
        <color rgb="FF41A964"/>
      </dataBar>
      <extLst>
        <ext xmlns:x14="http://schemas.microsoft.com/office/spreadsheetml/2009/9/main" uri="{B025F937-C7B1-47D3-B67F-A62EFF666E3E}">
          <x14:id>{A7952C1D-430C-4E40-8A13-A669A3EAE103}</x14:id>
        </ext>
      </extLst>
    </cfRule>
  </conditionalFormatting>
  <conditionalFormatting sqref="B3:B7 B10:B14 B17:B21 B24:B28 B31">
    <cfRule type="iconSet" priority="35">
      <iconSet iconSet="3Flags">
        <cfvo type="percent" val="0"/>
        <cfvo type="percent" val="33"/>
        <cfvo type="percent" val="67"/>
      </iconSet>
    </cfRule>
  </conditionalFormatting>
  <conditionalFormatting sqref="F2:F31">
    <cfRule type="dataBar" priority="40">
      <dataBar>
        <cfvo type="min"/>
        <cfvo type="max"/>
        <color rgb="FF53BD76"/>
      </dataBar>
      <extLst>
        <ext xmlns:x14="http://schemas.microsoft.com/office/spreadsheetml/2009/9/main" uri="{B025F937-C7B1-47D3-B67F-A62EFF666E3E}">
          <x14:id>{5A191607-0FB2-4F76-8A75-14F0285BAF45}</x14:id>
        </ext>
      </extLst>
    </cfRule>
  </conditionalFormatting>
  <conditionalFormatting sqref="F3:F7 F10:F14 F17:F21 F24:F28 F31">
    <cfRule type="iconSet" priority="41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7952C1D-430C-4E40-8A13-A669A3EAE103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B2:B31</xm:sqref>
        </x14:conditionalFormatting>
        <x14:conditionalFormatting xmlns:xm="http://schemas.microsoft.com/office/excel/2006/main">
          <x14:cfRule type="dataBar" id="{5A191607-0FB2-4F76-8A75-14F0285BAF45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F2:F31</xm:sqref>
        </x14:conditionalFormatting>
      </x14:conditionalFormatting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rgb="FF7030A0"/>
  </sheetPr>
  <dimension ref="A1:P33"/>
  <sheetViews>
    <sheetView showGridLines="0" zoomScaleNormal="10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2.140625" customWidth="1"/>
    <col min="2" max="2" width="14.85546875" bestFit="1" customWidth="1"/>
    <col min="6" max="6" width="13.42578125" customWidth="1"/>
    <col min="13" max="13" width="12.28515625" bestFit="1" customWidth="1"/>
    <col min="14" max="14" width="0.85546875" customWidth="1"/>
    <col min="15" max="15" width="9.140625" style="1"/>
    <col min="16" max="16" width="10.7109375" bestFit="1" customWidth="1"/>
  </cols>
  <sheetData>
    <row r="1" spans="1:16" ht="31.5" customHeight="1" x14ac:dyDescent="0.25">
      <c r="A1" s="58" t="s">
        <v>11</v>
      </c>
      <c r="B1" s="66" t="s">
        <v>41</v>
      </c>
      <c r="C1" s="64" t="s">
        <v>1</v>
      </c>
      <c r="D1" s="64" t="s">
        <v>2</v>
      </c>
      <c r="E1" s="65" t="s">
        <v>3</v>
      </c>
      <c r="F1" s="71" t="s">
        <v>42</v>
      </c>
      <c r="G1" s="84" t="s">
        <v>5</v>
      </c>
      <c r="H1" s="84" t="s">
        <v>2</v>
      </c>
      <c r="I1" s="85" t="s">
        <v>3</v>
      </c>
      <c r="J1" s="63" t="s">
        <v>43</v>
      </c>
      <c r="K1" s="64" t="s">
        <v>44</v>
      </c>
      <c r="L1" s="64" t="s">
        <v>45</v>
      </c>
      <c r="M1" s="65" t="s">
        <v>46</v>
      </c>
      <c r="N1" s="60"/>
      <c r="O1" s="71" t="s">
        <v>10</v>
      </c>
    </row>
    <row r="2" spans="1:16" ht="16.5" x14ac:dyDescent="0.3">
      <c r="A2" s="59">
        <v>43739</v>
      </c>
      <c r="B2" s="74">
        <f ca="1">C2+D2+E2</f>
        <v>0</v>
      </c>
      <c r="C2" s="67">
        <f ca="1">GetFileList("P:\TP et Raccodement\FICHES CREES RACCORDEMENT\1 - RACCOS A SAISIR DANS AX\01-10-2019\*LM RACCO*.pdf")</f>
        <v>0</v>
      </c>
      <c r="D2" s="67">
        <f ca="1">GetFileList("P:\TP et Raccodement\FICHES CREES RACCORDEMENT\1 - RACCOS A SAISIR DANS AX\01-10-2019\*LR RACCO*.pdf")</f>
        <v>0</v>
      </c>
      <c r="E2" s="68">
        <f ca="1">GetFileList("P:\TP et Raccodement\FICHES CREES RACCORDEMENT\1 - RACCOS A SAISIR DANS AX\01-10-2019\*CL RACCO*.pdf")</f>
        <v>0</v>
      </c>
      <c r="F2" s="75">
        <f ca="1">G2+H2+I2</f>
        <v>0</v>
      </c>
      <c r="G2" s="67">
        <f ca="1">GetFileList("P:\TP et Raccodement\FICHES CREES RACCORDEMENT\2 - SAV + COMPL + PASSAGE W XV A SAISIR DANS AX\01-10-2019\*LM PASS*.pdf")</f>
        <v>0</v>
      </c>
      <c r="H2" s="67">
        <f ca="1">GetFileList("P:\TP et Raccodement\FICHES CREES RACCORDEMENT\2 - SAV + COMPL + PASSAGE W XV A SAISIR DANS AX\01-10-2019\*LR PASS*.pdf")</f>
        <v>0</v>
      </c>
      <c r="I2" s="68">
        <f ca="1">GetFileList("P:\TP et Raccodement\FICHES CREES RACCORDEMENT\2 - SAV + COMPL + PASSAGE W XV A SAISIR DANS AX\01-10-2019\*CL PASS*.pdf")</f>
        <v>0</v>
      </c>
      <c r="J2" s="76">
        <f ca="1">GetFileList("P:\TP et Raccodement\FICHES CREES RACCORDEMENT\2 - SAV + COMPL + PASSAGE W XV A SAISIR DANS AX\01-10-2019\*SAV*.pdf")</f>
        <v>0</v>
      </c>
      <c r="K2" s="77">
        <f ca="1">GetFileList("P:\TP et Raccodement\FICHES CREES RACCORDEMENT\2 - SAV + COMPL + PASSAGE W XV A SAISIR DANS AX\01-10-2019\*COMPLEMENT*.pdf")</f>
        <v>0</v>
      </c>
      <c r="L2" s="77">
        <f ca="1">GetFileList("P:\TP et Raccodement\FICHES CREES RACCORDEMENT\2 - SAV + COMPL + PASSAGE W XV A SAISIR DANS AX\01-10-2019\*REPRISE*.pdf")</f>
        <v>0</v>
      </c>
      <c r="M2" s="78">
        <f ca="1">GetFileList("P:\TP et Raccodement\FICHES CREES RACCORDEMENT\2 - SAV + COMPL + PASSAGE W XV A SAISIR DANS AX\01-10-2019\*REMONTAGE*.pdf")</f>
        <v>0</v>
      </c>
      <c r="N2" s="61"/>
      <c r="O2" s="73">
        <f ca="1">B2+F2+J2+K2+L2+M2</f>
        <v>0</v>
      </c>
      <c r="P2" s="54"/>
    </row>
    <row r="3" spans="1:16" ht="16.5" x14ac:dyDescent="0.3">
      <c r="A3" s="59">
        <v>43740</v>
      </c>
      <c r="B3" s="74">
        <f t="shared" ref="B3:B32" ca="1" si="0">C3+D3+E3</f>
        <v>0</v>
      </c>
      <c r="C3" s="67">
        <f ca="1">GetFileList("P:\TP et Raccodement\FICHES CREES RACCORDEMENT\1 - RACCOS A SAISIR DANS AX\02-10-2019\*LM RACCO*.pdf")</f>
        <v>0</v>
      </c>
      <c r="D3" s="67">
        <f ca="1">GetFileList("P:\TP et Raccodement\FICHES CREES RACCORDEMENT\1 - RACCOS A SAISIR DANS AX\02-10-2019\*LR RACCO*.pdf")</f>
        <v>0</v>
      </c>
      <c r="E3" s="68">
        <f ca="1">GetFileList("P:\TP et Raccodement\FICHES CREES RACCORDEMENT\1 - RACCOS A SAISIR DANS AX\02-10-2019\*CL RACCO*.pdf")</f>
        <v>0</v>
      </c>
      <c r="F3" s="75">
        <f ca="1">G3+H3+I3</f>
        <v>0</v>
      </c>
      <c r="G3" s="67">
        <f ca="1">GetFileList("P:\TP et Raccodement\FICHES CREES RACCORDEMENT\2 - SAV + COMPL + PASSAGE W XV A SAISIR DANS AX\02-10-2019\*LM PASS*.pdf")</f>
        <v>0</v>
      </c>
      <c r="H3" s="67">
        <f ca="1">GetFileList("P:\TP et Raccodement\FICHES CREES RACCORDEMENT\2 - SAV + COMPL + PASSAGE W XV A SAISIR DANS AX\02-10-2019\*LR PASS*.pdf")</f>
        <v>0</v>
      </c>
      <c r="I3" s="68">
        <f ca="1">GetFileList("P:\TP et Raccodement\FICHES CREES RACCORDEMENT\2 - SAV + COMPL + PASSAGE W XV A SAISIR DANS AX\02-10-2019\*CL PASS*.pdf")</f>
        <v>0</v>
      </c>
      <c r="J3" s="76">
        <f ca="1">GetFileList("P:\TP et Raccodement\FICHES CREES RACCORDEMENT\2 - SAV + COMPL + PASSAGE W XV A SAISIR DANS AX\02-10-2019\*SAV*.pdf")</f>
        <v>0</v>
      </c>
      <c r="K3" s="77">
        <f ca="1">GetFileList("P:\TP et Raccodement\FICHES CREES RACCORDEMENT\2 - SAV + COMPL + PASSAGE W XV A SAISIR DANS AX\02-10-2019\*COMPLEMENT*.pdf")</f>
        <v>0</v>
      </c>
      <c r="L3" s="77">
        <f ca="1">GetFileList("P:\TP et Raccodement\FICHES CREES RACCORDEMENT\2 - SAV + COMPL + PASSAGE W XV A SAISIR DANS AX\02-10-2019\*REPRISE*.pdf")</f>
        <v>0</v>
      </c>
      <c r="M3" s="78">
        <f ca="1">GetFileList("P:\TP et Raccodement\FICHES CREES RACCORDEMENT\2 - SAV + COMPL + PASSAGE W XV A SAISIR DANS AX\02-10-2019\*REMONTAGE*.pdf")</f>
        <v>0</v>
      </c>
      <c r="N3" s="61"/>
      <c r="O3" s="73">
        <f t="shared" ref="O3:O32" ca="1" si="1">B3+F3+J3+K3+L3+M3</f>
        <v>0</v>
      </c>
    </row>
    <row r="4" spans="1:16" ht="16.5" x14ac:dyDescent="0.3">
      <c r="A4" s="59">
        <v>43741</v>
      </c>
      <c r="B4" s="74">
        <f t="shared" ca="1" si="0"/>
        <v>0</v>
      </c>
      <c r="C4" s="67">
        <f ca="1">GetFileList("P:\TP et Raccodement\FICHES CREES RACCORDEMENT\1 - RACCOS A SAISIR DANS AX\03-10-2019\*LM RACCO*.pdf")</f>
        <v>0</v>
      </c>
      <c r="D4" s="67">
        <f ca="1">GetFileList("P:\TP et Raccodement\FICHES CREES RACCORDEMENT\1 - RACCOS A SAISIR DANS AX\03-10-2019\*LR RACCO*.pdf")</f>
        <v>0</v>
      </c>
      <c r="E4" s="68">
        <f ca="1">GetFileList("P:\TP et Raccodement\FICHES CREES RACCORDEMENT\1 - RACCOS A SAISIR DANS AX\03-10-2019\*CL RACCO*.pdf")</f>
        <v>0</v>
      </c>
      <c r="F4" s="75">
        <f t="shared" ref="F4:F32" ca="1" si="2">G4+H4+I4</f>
        <v>0</v>
      </c>
      <c r="G4" s="67">
        <f ca="1">GetFileList("P:\TP et Raccodement\FICHES CREES RACCORDEMENT\2 - SAV + COMPL + PASSAGE W XV A SAISIR DANS AX\03-10-2019\*LM PASS*.pdf")</f>
        <v>0</v>
      </c>
      <c r="H4" s="67">
        <f ca="1">GetFileList("P:\TP et Raccodement\FICHES CREES RACCORDEMENT\2 - SAV + COMPL + PASSAGE W XV A SAISIR DANS AX\03-10-2019\*LR PASS*.pdf")</f>
        <v>0</v>
      </c>
      <c r="I4" s="68">
        <f ca="1">GetFileList("P:\TP et Raccodement\FICHES CREES RACCORDEMENT\2 - SAV + COMPL + PASSAGE W XV A SAISIR DANS AX\03-10-2019\*CL PASS*.pdf")</f>
        <v>0</v>
      </c>
      <c r="J4" s="76">
        <f ca="1">GetFileList("P:\TP et Raccodement\FICHES CREES RACCORDEMENT\2 - SAV + COMPL + PASSAGE W XV A SAISIR DANS AX\03-10-2019\*SAV*.pdf")</f>
        <v>0</v>
      </c>
      <c r="K4" s="77">
        <f ca="1">GetFileList("P:\TP et Raccodement\FICHES CREES RACCORDEMENT\2 - SAV + COMPL + PASSAGE W XV A SAISIR DANS AX\03-10-2019\*COMPLEMENT*.pdf")</f>
        <v>0</v>
      </c>
      <c r="L4" s="77">
        <f ca="1">GetFileList("P:\TP et Raccodement\FICHES CREES RACCORDEMENT\2 - SAV + COMPL + PASSAGE W XV A SAISIR DANS AX\03-10-2019\*REPRISE*.pdf")</f>
        <v>0</v>
      </c>
      <c r="M4" s="78">
        <f ca="1">GetFileList("P:\TP et Raccodement\FICHES CREES RACCORDEMENT\2 - SAV + COMPL + PASSAGE W XV A SAISIR DANS AX\03-10-2019\*REMONTAGE*.pdf")</f>
        <v>0</v>
      </c>
      <c r="N4" s="61"/>
      <c r="O4" s="73">
        <f t="shared" ca="1" si="1"/>
        <v>0</v>
      </c>
    </row>
    <row r="5" spans="1:16" ht="16.5" x14ac:dyDescent="0.3">
      <c r="A5" s="59">
        <v>43742</v>
      </c>
      <c r="B5" s="74">
        <f t="shared" ca="1" si="0"/>
        <v>0</v>
      </c>
      <c r="C5" s="67">
        <f ca="1">GetFileList("P:\TP et Raccodement\FICHES CREES RACCORDEMENT\1 - RACCOS A SAISIR DANS AX\04-10-2019\*LM RACCO*.pdf")</f>
        <v>0</v>
      </c>
      <c r="D5" s="67">
        <f ca="1">GetFileList("P:\TP et Raccodement\FICHES CREES RACCORDEMENT\1 - RACCOS A SAISIR DANS AX\04-10-2019\*LR RACCO*.pdf")</f>
        <v>0</v>
      </c>
      <c r="E5" s="68">
        <f ca="1">GetFileList("P:\TP et Raccodement\FICHES CREES RACCORDEMENT\1 - RACCOS A SAISIR DANS AX\04-10-2019\*CL RACCO*.pdf")</f>
        <v>0</v>
      </c>
      <c r="F5" s="75">
        <f t="shared" ca="1" si="2"/>
        <v>0</v>
      </c>
      <c r="G5" s="67">
        <f ca="1">GetFileList("P:\TP et Raccodement\FICHES CREES RACCORDEMENT\2 - SAV + COMPL + PASSAGE W XV A SAISIR DANS AX\04-10-2019\*LM PASS*.pdf")</f>
        <v>0</v>
      </c>
      <c r="H5" s="67">
        <f ca="1">GetFileList("P:\TP et Raccodement\FICHES CREES RACCORDEMENT\2 - SAV + COMPL + PASSAGE W XV A SAISIR DANS AX\04-10-2019\*LR PASS*.pdf")</f>
        <v>0</v>
      </c>
      <c r="I5" s="68">
        <f ca="1">GetFileList("P:\TP et Raccodement\FICHES CREES RACCORDEMENT\2 - SAV + COMPL + PASSAGE W XV A SAISIR DANS AX\04-10-2019\*CL PASS*.pdf")</f>
        <v>0</v>
      </c>
      <c r="J5" s="76">
        <f ca="1">GetFileList("P:\TP et Raccodement\FICHES CREES RACCORDEMENT\2 - SAV + COMPL + PASSAGE W XV A SAISIR DANS AX\04-10-2019\*SAV*.pdf")</f>
        <v>0</v>
      </c>
      <c r="K5" s="77">
        <f ca="1">GetFileList("P:\TP et Raccodement\FICHES CREES RACCORDEMENT\2 - SAV + COMPL + PASSAGE W XV A SAISIR DANS AX\04-10-2019\*COMPLEMENT*.pdf")</f>
        <v>0</v>
      </c>
      <c r="L5" s="77">
        <f ca="1">GetFileList("P:\TP et Raccodement\FICHES CREES RACCORDEMENT\2 - SAV + COMPL + PASSAGE W XV A SAISIR DANS AX\04-10-2019\*REPRISE*.pdf")</f>
        <v>0</v>
      </c>
      <c r="M5" s="78">
        <f ca="1">GetFileList("P:\TP et Raccodement\FICHES CREES RACCORDEMENT\2 - SAV + COMPL + PASSAGE W XV A SAISIR DANS AX\04-10-2019\*REMONTAGE*.pdf")</f>
        <v>0</v>
      </c>
      <c r="N5" s="61"/>
      <c r="O5" s="73">
        <f t="shared" ca="1" si="1"/>
        <v>0</v>
      </c>
    </row>
    <row r="6" spans="1:16" ht="16.5" x14ac:dyDescent="0.3">
      <c r="A6" s="59">
        <v>43743</v>
      </c>
      <c r="B6" s="74">
        <f t="shared" ca="1" si="0"/>
        <v>0</v>
      </c>
      <c r="C6" s="67">
        <f ca="1">GetFileList("P:\TP et Raccodement\FICHES CREES RACCORDEMENT\1 - RACCOS A SAISIR DANS AX\05-10-2019\*LM RACCO*.pdf")</f>
        <v>0</v>
      </c>
      <c r="D6" s="67">
        <f ca="1">GetFileList("P:\TP et Raccodement\FICHES CREES RACCORDEMENT\1 - RACCOS A SAISIR DANS AX\05-10-2019\*LR RACCO*.pdf")</f>
        <v>0</v>
      </c>
      <c r="E6" s="68">
        <f ca="1">GetFileList("P:\TP et Raccodement\FICHES CREES RACCORDEMENT\1 - RACCOS A SAISIR DANS AX\05-10-2019\*CL RACCO*.pdf")</f>
        <v>0</v>
      </c>
      <c r="F6" s="75">
        <f t="shared" ca="1" si="2"/>
        <v>0</v>
      </c>
      <c r="G6" s="67">
        <f ca="1">GetFileList("P:\TP et Raccodement\FICHES CREES RACCORDEMENT\2 - SAV + COMPL + PASSAGE W XV A SAISIR DANS AX\05-10-2019\*LM PASS*.pdf")</f>
        <v>0</v>
      </c>
      <c r="H6" s="67">
        <f ca="1">GetFileList("P:\TP et Raccodement\FICHES CREES RACCORDEMENT\2 - SAV + COMPL + PASSAGE W XV A SAISIR DANS AX\05-10-2019\*LR PASS*.pdf")</f>
        <v>0</v>
      </c>
      <c r="I6" s="68">
        <f ca="1">GetFileList("P:\TP et Raccodement\FICHES CREES RACCORDEMENT\2 - SAV + COMPL + PASSAGE W XV A SAISIR DANS AX\05-10-2019\*CL PASS*.pdf")</f>
        <v>0</v>
      </c>
      <c r="J6" s="76">
        <f ca="1">GetFileList("P:\TP et Raccodement\FICHES CREES RACCORDEMENT\2 - SAV + COMPL + PASSAGE W XV A SAISIR DANS AX\05-10-2019\*SAV*.pdf")</f>
        <v>0</v>
      </c>
      <c r="K6" s="77">
        <f ca="1">GetFileList("P:\TP et Raccodement\FICHES CREES RACCORDEMENT\2 - SAV + COMPL + PASSAGE W XV A SAISIR DANS AX\05-10-2019\*COMPLEMENT*.pdf")</f>
        <v>0</v>
      </c>
      <c r="L6" s="77">
        <f ca="1">GetFileList("P:\TP et Raccodement\FICHES CREES RACCORDEMENT\2 - SAV + COMPL + PASSAGE W XV A SAISIR DANS AX\05-10-2019\*REPRISE*.pdf")</f>
        <v>0</v>
      </c>
      <c r="M6" s="78">
        <f ca="1">GetFileList("P:\TP et Raccodement\FICHES CREES RACCORDEMENT\2 - SAV + COMPL + PASSAGE W XV A SAISIR DANS AX\05-10-2019\*REMONTAGE*.pdf")</f>
        <v>0</v>
      </c>
      <c r="N6" s="61"/>
      <c r="O6" s="73">
        <f t="shared" ca="1" si="1"/>
        <v>0</v>
      </c>
    </row>
    <row r="7" spans="1:16" ht="16.5" x14ac:dyDescent="0.3">
      <c r="A7" s="88">
        <v>43744</v>
      </c>
      <c r="B7" s="89">
        <f t="shared" ca="1" si="0"/>
        <v>0</v>
      </c>
      <c r="C7" s="90">
        <f ca="1">GetFileList("P:\TP et Raccodement\FICHES CREES RACCORDEMENT\1 - RACCOS A SAISIR DANS AX\06-10-2019\*LM RACCO*.pdf")</f>
        <v>0</v>
      </c>
      <c r="D7" s="90">
        <f ca="1">GetFileList("P:\TP et Raccodement\FICHES CREES RACCORDEMENT\1 - RACCOS A SAISIR DANS AX\06-10-2019\*LR RACCO*.pdf")</f>
        <v>0</v>
      </c>
      <c r="E7" s="91">
        <f ca="1">GetFileList("P:\TP et Raccodement\FICHES CREES RACCORDEMENT\1 - RACCOS A SAISIR DANS AX\06-10-2019\*CL RACCO*.pdf")</f>
        <v>0</v>
      </c>
      <c r="F7" s="92">
        <f t="shared" ca="1" si="2"/>
        <v>0</v>
      </c>
      <c r="G7" s="90">
        <f ca="1">GetFileList("P:\TP et Raccodement\FICHES CREES RACCORDEMENT\2 - SAV + COMPL + PASSAGE W XV A SAISIR DANS AX\06-10-2019\*LM PASS*.pdf")</f>
        <v>0</v>
      </c>
      <c r="H7" s="90">
        <f ca="1">GetFileList("P:\TP et Raccodement\FICHES CREES RACCORDEMENT\2 - SAV + COMPL + PASSAGE W XV A SAISIR DANS AX\06-10-2019\*LR PASS*.pdf")</f>
        <v>0</v>
      </c>
      <c r="I7" s="91">
        <f ca="1">GetFileList("P:\TP et Raccodement\FICHES CREES RACCORDEMENT\2 - SAV + COMPL + PASSAGE W XV A SAISIR DANS AX\06-10-2019\*CL PASS*.pdf")</f>
        <v>0</v>
      </c>
      <c r="J7" s="93">
        <f ca="1">GetFileList("P:\TP et Raccodement\FICHES CREES RACCORDEMENT\2 - SAV + COMPL + PASSAGE W XV A SAISIR DANS AX\06-10-2019\*SAV*.pdf")</f>
        <v>0</v>
      </c>
      <c r="K7" s="94">
        <f ca="1">GetFileList("P:\TP et Raccodement\FICHES CREES RACCORDEMENT\2 - SAV + COMPL + PASSAGE W XV A SAISIR DANS AX\06-10-2019\*COMPLEMENT*.pdf")</f>
        <v>0</v>
      </c>
      <c r="L7" s="94">
        <f ca="1">GetFileList("P:\TP et Raccodement\FICHES CREES RACCORDEMENT\2 - SAV + COMPL + PASSAGE W XV A SAISIR DANS AX\06-10-2019\*REPRISE*.pdf")</f>
        <v>0</v>
      </c>
      <c r="M7" s="95">
        <f ca="1">GetFileList("P:\TP et Raccodement\FICHES CREES RACCORDEMENT\2 - SAV + COMPL + PASSAGE W XV A SAISIR DANS AX\06-10-2019\*REMONTAGE*.pdf")</f>
        <v>0</v>
      </c>
      <c r="N7" s="61"/>
      <c r="O7" s="73">
        <f t="shared" ca="1" si="1"/>
        <v>0</v>
      </c>
    </row>
    <row r="8" spans="1:16" ht="16.5" x14ac:dyDescent="0.3">
      <c r="A8" s="59">
        <v>43745</v>
      </c>
      <c r="B8" s="74">
        <f t="shared" ca="1" si="0"/>
        <v>0</v>
      </c>
      <c r="C8" s="67">
        <f ca="1">GetFileList("P:\TP et Raccodement\FICHES CREES RACCORDEMENT\1 - RACCOS A SAISIR DANS AX\07-10-2019\*LM RACCO*.pdf")</f>
        <v>0</v>
      </c>
      <c r="D8" s="67">
        <f ca="1">GetFileList("P:\TP et Raccodement\FICHES CREES RACCORDEMENT\1 - RACCOS A SAISIR DANS AX\07-10-2019\*LR RACCO*.pdf")</f>
        <v>0</v>
      </c>
      <c r="E8" s="68">
        <f ca="1">GetFileList("P:\TP et Raccodement\FICHES CREES RACCORDEMENT\1 - RACCOS A SAISIR DANS AX\07-10-2019\*CL RACCO*.pdf")</f>
        <v>0</v>
      </c>
      <c r="F8" s="75">
        <f t="shared" ca="1" si="2"/>
        <v>0</v>
      </c>
      <c r="G8" s="67">
        <f ca="1">GetFileList("P:\TP et Raccodement\FICHES CREES RACCORDEMENT\2 - SAV + COMPL + PASSAGE W XV A SAISIR DANS AX\07-10-2019\*LM PASS*.pdf")</f>
        <v>0</v>
      </c>
      <c r="H8" s="67">
        <f ca="1">GetFileList("P:\TP et Raccodement\FICHES CREES RACCORDEMENT\2 - SAV + COMPL + PASSAGE W XV A SAISIR DANS AX\07-10-2019\*LR PASS*.pdf")</f>
        <v>0</v>
      </c>
      <c r="I8" s="68">
        <f ca="1">GetFileList("P:\TP et Raccodement\FICHES CREES RACCORDEMENT\2 - SAV + COMPL + PASSAGE W XV A SAISIR DANS AX\07-10-2019\*CL PASS*.pdf")</f>
        <v>0</v>
      </c>
      <c r="J8" s="76">
        <f ca="1">GetFileList("P:\TP et Raccodement\FICHES CREES RACCORDEMENT\2 - SAV + COMPL + PASSAGE W XV A SAISIR DANS AX\07-10-2019\*SAV*.pdf")</f>
        <v>0</v>
      </c>
      <c r="K8" s="77">
        <f ca="1">GetFileList("P:\TP et Raccodement\FICHES CREES RACCORDEMENT\2 - SAV + COMPL + PASSAGE W XV A SAISIR DANS AX\07-10-2019\*COMPLEMENT*.pdf")</f>
        <v>0</v>
      </c>
      <c r="L8" s="77">
        <f ca="1">GetFileList("P:\TP et Raccodement\FICHES CREES RACCORDEMENT\2 - SAV + COMPL + PASSAGE W XV A SAISIR DANS AX\07-10-2019\*REPRISE*.pdf")</f>
        <v>0</v>
      </c>
      <c r="M8" s="78">
        <f ca="1">GetFileList("P:\TP et Raccodement\FICHES CREES RACCORDEMENT\2 - SAV + COMPL + PASSAGE W XV A SAISIR DANS AX\07-10-2019\*REMONTAGE*.pdf")</f>
        <v>0</v>
      </c>
      <c r="N8" s="61"/>
      <c r="O8" s="73">
        <f t="shared" ca="1" si="1"/>
        <v>0</v>
      </c>
    </row>
    <row r="9" spans="1:16" ht="16.5" x14ac:dyDescent="0.3">
      <c r="A9" s="59">
        <v>43746</v>
      </c>
      <c r="B9" s="74">
        <f t="shared" ca="1" si="0"/>
        <v>0</v>
      </c>
      <c r="C9" s="67">
        <f ca="1">GetFileList("P:\TP et Raccodement\FICHES CREES RACCORDEMENT\1 - RACCOS A SAISIR DANS AX\08-10-2019\*LM RACCO*.pdf")</f>
        <v>0</v>
      </c>
      <c r="D9" s="67">
        <f ca="1">GetFileList("P:\TP et Raccodement\FICHES CREES RACCORDEMENT\1 - RACCOS A SAISIR DANS AX\08-10-2019\*LR RACCO*.pdf")</f>
        <v>0</v>
      </c>
      <c r="E9" s="68">
        <f ca="1">GetFileList("P:\TP et Raccodement\FICHES CREES RACCORDEMENT\1 - RACCOS A SAISIR DANS AX\08-10-2019\*CL RACCO*.pdf")</f>
        <v>0</v>
      </c>
      <c r="F9" s="75">
        <f t="shared" ca="1" si="2"/>
        <v>0</v>
      </c>
      <c r="G9" s="67">
        <f ca="1">GetFileList("P:\TP et Raccodement\FICHES CREES RACCORDEMENT\2 - SAV + COMPL + PASSAGE W XV A SAISIR DANS AX\08-10-2019\*LM PASS*.pdf")</f>
        <v>0</v>
      </c>
      <c r="H9" s="67">
        <f ca="1">GetFileList("P:\TP et Raccodement\FICHES CREES RACCORDEMENT\2 - SAV + COMPL + PASSAGE W XV A SAISIR DANS AX\08-10-2019\*LR PASS*.pdf")</f>
        <v>0</v>
      </c>
      <c r="I9" s="68">
        <f ca="1">GetFileList("P:\TP et Raccodement\FICHES CREES RACCORDEMENT\2 - SAV + COMPL + PASSAGE W XV A SAISIR DANS AX\08-10-2019\*CL PASS*.pdf")</f>
        <v>0</v>
      </c>
      <c r="J9" s="76">
        <f ca="1">GetFileList("P:\TP et Raccodement\FICHES CREES RACCORDEMENT\2 - SAV + COMPL + PASSAGE W XV A SAISIR DANS AX\08-10-2019\*SAV*.pdf")</f>
        <v>0</v>
      </c>
      <c r="K9" s="77">
        <f ca="1">GetFileList("P:\TP et Raccodement\FICHES CREES RACCORDEMENT\2 - SAV + COMPL + PASSAGE W XV A SAISIR DANS AX\08-10-2019\*COMPLEMENT*.pdf")</f>
        <v>0</v>
      </c>
      <c r="L9" s="77">
        <f ca="1">GetFileList("P:\TP et Raccodement\FICHES CREES RACCORDEMENT\2 - SAV + COMPL + PASSAGE W XV A SAISIR DANS AX\08-10-2019\*REPRISE*.pdf")</f>
        <v>0</v>
      </c>
      <c r="M9" s="78">
        <f ca="1">GetFileList("P:\TP et Raccodement\FICHES CREES RACCORDEMENT\2 - SAV + COMPL + PASSAGE W XV A SAISIR DANS AX\08-10-2019\*REMONTAGE*.pdf")</f>
        <v>0</v>
      </c>
      <c r="N9" s="61"/>
      <c r="O9" s="73">
        <f t="shared" ca="1" si="1"/>
        <v>0</v>
      </c>
    </row>
    <row r="10" spans="1:16" ht="16.5" x14ac:dyDescent="0.3">
      <c r="A10" s="59">
        <v>43747</v>
      </c>
      <c r="B10" s="74">
        <f t="shared" ca="1" si="0"/>
        <v>0</v>
      </c>
      <c r="C10" s="67">
        <f ca="1">GetFileList("P:\TP et Raccodement\FICHES CREES RACCORDEMENT\1 - RACCOS A SAISIR DANS AX\09-10-2019\*LM RACCO*.pdf")</f>
        <v>0</v>
      </c>
      <c r="D10" s="67">
        <f ca="1">GetFileList("P:\TP et Raccodement\FICHES CREES RACCORDEMENT\1 - RACCOS A SAISIR DANS AX\09-10-2019\*LR RACCO*.pdf")</f>
        <v>0</v>
      </c>
      <c r="E10" s="68">
        <f ca="1">GetFileList("P:\TP et Raccodement\FICHES CREES RACCORDEMENT\1 - RACCOS A SAISIR DANS AX\09-10-2019\*CL RACCO*.pdf")</f>
        <v>0</v>
      </c>
      <c r="F10" s="75">
        <f t="shared" ca="1" si="2"/>
        <v>0</v>
      </c>
      <c r="G10" s="67">
        <f ca="1">GetFileList("P:\TP et Raccodement\FICHES CREES RACCORDEMENT\2 - SAV + COMPL + PASSAGE W XV A SAISIR DANS AX\09-10-2019\*LM PASS*.pdf")</f>
        <v>0</v>
      </c>
      <c r="H10" s="67">
        <f ca="1">GetFileList("P:\TP et Raccodement\FICHES CREES RACCORDEMENT\2 - SAV + COMPL + PASSAGE W XV A SAISIR DANS AX\09-10-2019\*LR PASS*.pdf")</f>
        <v>0</v>
      </c>
      <c r="I10" s="68">
        <f ca="1">GetFileList("P:\TP et Raccodement\FICHES CREES RACCORDEMENT\2 - SAV + COMPL + PASSAGE W XV A SAISIR DANS AX\09-10-2019\*CL PASS*.pdf")</f>
        <v>0</v>
      </c>
      <c r="J10" s="76">
        <f ca="1">GetFileList("P:\TP et Raccodement\FICHES CREES RACCORDEMENT\2 - SAV + COMPL + PASSAGE W XV A SAISIR DANS AX\09-10-2019\*SAV*.pdf")</f>
        <v>0</v>
      </c>
      <c r="K10" s="77">
        <f ca="1">GetFileList("P:\TP et Raccodement\FICHES CREES RACCORDEMENT\2 - SAV + COMPL + PASSAGE W XV A SAISIR DANS AX\09-10-2019\*COMPLEMENT*.pdf")</f>
        <v>0</v>
      </c>
      <c r="L10" s="77">
        <f ca="1">GetFileList("P:\TP et Raccodement\FICHES CREES RACCORDEMENT\2 - SAV + COMPL + PASSAGE W XV A SAISIR DANS AX\09-10-2019\*REPRISE*.pdf")</f>
        <v>0</v>
      </c>
      <c r="M10" s="78">
        <f ca="1">GetFileList("P:\TP et Raccodement\FICHES CREES RACCORDEMENT\2 - SAV + COMPL + PASSAGE W XV A SAISIR DANS AX\09-10-2019\*REMONTAGE*.pdf")</f>
        <v>0</v>
      </c>
      <c r="N10" s="61"/>
      <c r="O10" s="73">
        <f t="shared" ca="1" si="1"/>
        <v>0</v>
      </c>
    </row>
    <row r="11" spans="1:16" ht="16.5" x14ac:dyDescent="0.3">
      <c r="A11" s="59">
        <v>43748</v>
      </c>
      <c r="B11" s="74">
        <f t="shared" ca="1" si="0"/>
        <v>0</v>
      </c>
      <c r="C11" s="67">
        <f ca="1">GetFileList("P:\TP et Raccodement\FICHES CREES RACCORDEMENT\1 - RACCOS A SAISIR DANS AX\10-10-2019\*LM RACCO*.pdf")</f>
        <v>0</v>
      </c>
      <c r="D11" s="67">
        <f ca="1">GetFileList("P:\TP et Raccodement\FICHES CREES RACCORDEMENT\1 - RACCOS A SAISIR DANS AX\10-10-2019\*LR RACCO*.pdf")</f>
        <v>0</v>
      </c>
      <c r="E11" s="68">
        <f ca="1">GetFileList("P:\TP et Raccodement\FICHES CREES RACCORDEMENT\1 - RACCOS A SAISIR DANS AX\10-10-2019\*CL RACCO*.pdf")</f>
        <v>0</v>
      </c>
      <c r="F11" s="75">
        <f t="shared" ca="1" si="2"/>
        <v>0</v>
      </c>
      <c r="G11" s="67">
        <f ca="1">GetFileList("P:\TP et Raccodement\FICHES CREES RACCORDEMENT\2 - SAV + COMPL + PASSAGE W XV A SAISIR DANS AX\10-10-2019\*LM PASS*.pdf")</f>
        <v>0</v>
      </c>
      <c r="H11" s="67">
        <f ca="1">GetFileList("P:\TP et Raccodement\FICHES CREES RACCORDEMENT\2 - SAV + COMPL + PASSAGE W XV A SAISIR DANS AX\10-10-2019\*LR PASS*.pdf")</f>
        <v>0</v>
      </c>
      <c r="I11" s="68">
        <f ca="1">GetFileList("P:\TP et Raccodement\FICHES CREES RACCORDEMENT\2 - SAV + COMPL + PASSAGE W XV A SAISIR DANS AX\10-10-2019\*CL PASS*.pdf")</f>
        <v>0</v>
      </c>
      <c r="J11" s="76">
        <f ca="1">GetFileList("P:\TP et Raccodement\FICHES CREES RACCORDEMENT\2 - SAV + COMPL + PASSAGE W XV A SAISIR DANS AX\10-10-2019\*SAV*.pdf")</f>
        <v>0</v>
      </c>
      <c r="K11" s="77">
        <f ca="1">GetFileList("P:\TP et Raccodement\FICHES CREES RACCORDEMENT\2 - SAV + COMPL + PASSAGE W XV A SAISIR DANS AX\10-10-2019\*COMPLEMENT*.pdf")</f>
        <v>0</v>
      </c>
      <c r="L11" s="77">
        <f ca="1">GetFileList("P:\TP et Raccodement\FICHES CREES RACCORDEMENT\2 - SAV + COMPL + PASSAGE W XV A SAISIR DANS AX\10-10-2019\*REPRISE*.pdf")</f>
        <v>0</v>
      </c>
      <c r="M11" s="78">
        <f ca="1">GetFileList("P:\TP et Raccodement\FICHES CREES RACCORDEMENT\2 - SAV + COMPL + PASSAGE W XV A SAISIR DANS AX\10-10-2019\*REMONTAGE*.pdf")</f>
        <v>0</v>
      </c>
      <c r="N11" s="61"/>
      <c r="O11" s="73">
        <f t="shared" ca="1" si="1"/>
        <v>0</v>
      </c>
    </row>
    <row r="12" spans="1:16" ht="16.5" x14ac:dyDescent="0.3">
      <c r="A12" s="59">
        <v>43749</v>
      </c>
      <c r="B12" s="74">
        <f t="shared" ca="1" si="0"/>
        <v>0</v>
      </c>
      <c r="C12" s="67">
        <f ca="1">GetFileList("P:\TP et Raccodement\FICHES CREES RACCORDEMENT\1 - RACCOS A SAISIR DANS AX\11-10-2019\*LM RACCO*.pdf")</f>
        <v>0</v>
      </c>
      <c r="D12" s="67">
        <f ca="1">GetFileList("P:\TP et Raccodement\FICHES CREES RACCORDEMENT\1 - RACCOS A SAISIR DANS AX\11-10-2019\*LR RACCO*.pdf")</f>
        <v>0</v>
      </c>
      <c r="E12" s="68">
        <f ca="1">GetFileList("P:\TP et Raccodement\FICHES CREES RACCORDEMENT\1 - RACCOS A SAISIR DANS AX\11-10-2019\*CL RACCO*.pdf")</f>
        <v>0</v>
      </c>
      <c r="F12" s="75">
        <f t="shared" ca="1" si="2"/>
        <v>0</v>
      </c>
      <c r="G12" s="67">
        <f ca="1">GetFileList("P:\TP et Raccodement\FICHES CREES RACCORDEMENT\2 - SAV + COMPL + PASSAGE W XV A SAISIR DANS AX\11-10-2019\*LM PASS*.pdf")</f>
        <v>0</v>
      </c>
      <c r="H12" s="67">
        <f ca="1">GetFileList("P:\TP et Raccodement\FICHES CREES RACCORDEMENT\2 - SAV + COMPL + PASSAGE W XV A SAISIR DANS AX\11-10-2019\*LR PASS*.pdf")</f>
        <v>0</v>
      </c>
      <c r="I12" s="68">
        <f ca="1">GetFileList("P:\TP et Raccodement\FICHES CREES RACCORDEMENT\2 - SAV + COMPL + PASSAGE W XV A SAISIR DANS AX\11-10-2019\*CL PASS*.pdf")</f>
        <v>0</v>
      </c>
      <c r="J12" s="76">
        <f ca="1">GetFileList("P:\TP et Raccodement\FICHES CREES RACCORDEMENT\2 - SAV + COMPL + PASSAGE W XV A SAISIR DANS AX\11-10-2019\*SAV*.pdf")</f>
        <v>0</v>
      </c>
      <c r="K12" s="77">
        <f ca="1">GetFileList("P:\TP et Raccodement\FICHES CREES RACCORDEMENT\2 - SAV + COMPL + PASSAGE W XV A SAISIR DANS AX\11-10-2019\*COMPLEMENT*.pdf")</f>
        <v>0</v>
      </c>
      <c r="L12" s="77">
        <f ca="1">GetFileList("P:\TP et Raccodement\FICHES CREES RACCORDEMENT\2 - SAV + COMPL + PASSAGE W XV A SAISIR DANS AX\11-10-2019\*REPRISE*.pdf")</f>
        <v>0</v>
      </c>
      <c r="M12" s="78">
        <f ca="1">GetFileList("P:\TP et Raccodement\FICHES CREES RACCORDEMENT\2 - SAV + COMPL + PASSAGE W XV A SAISIR DANS AX\11-10-2019\*REMONTAGE*.pdf")</f>
        <v>0</v>
      </c>
      <c r="N12" s="61"/>
      <c r="O12" s="73">
        <f t="shared" ca="1" si="1"/>
        <v>0</v>
      </c>
    </row>
    <row r="13" spans="1:16" ht="16.5" x14ac:dyDescent="0.3">
      <c r="A13" s="59">
        <v>43750</v>
      </c>
      <c r="B13" s="74">
        <f t="shared" ca="1" si="0"/>
        <v>0</v>
      </c>
      <c r="C13" s="67">
        <f ca="1">GetFileList("P:\TP et Raccodement\FICHES CREES RACCORDEMENT\1 - RACCOS A SAISIR DANS AX\12-10-2019\*LM RACCO*.pdf")</f>
        <v>0</v>
      </c>
      <c r="D13" s="67">
        <f ca="1">GetFileList("P:\TP et Raccodement\FICHES CREES RACCORDEMENT\1 - RACCOS A SAISIR DANS AX\12-10-2019\*LR RACCO*.pdf")</f>
        <v>0</v>
      </c>
      <c r="E13" s="68">
        <f ca="1">GetFileList("P:\TP et Raccodement\FICHES CREES RACCORDEMENT\1 - RACCOS A SAISIR DANS AX\12-10-2019\*CL RACCO*.pdf")</f>
        <v>0</v>
      </c>
      <c r="F13" s="75">
        <f t="shared" ca="1" si="2"/>
        <v>0</v>
      </c>
      <c r="G13" s="67">
        <f ca="1">GetFileList("P:\TP et Raccodement\FICHES CREES RACCORDEMENT\2 - SAV + COMPL + PASSAGE W XV A SAISIR DANS AX\12-10-2019\*LM PASS*.pdf")</f>
        <v>0</v>
      </c>
      <c r="H13" s="67">
        <f ca="1">GetFileList("P:\TP et Raccodement\FICHES CREES RACCORDEMENT\2 - SAV + COMPL + PASSAGE W XV A SAISIR DANS AX\12-10-2019\*LR PASS*.pdf")</f>
        <v>0</v>
      </c>
      <c r="I13" s="68">
        <f ca="1">GetFileList("P:\TP et Raccodement\FICHES CREES RACCORDEMENT\2 - SAV + COMPL + PASSAGE W XV A SAISIR DANS AX\12-10-2019\*CL PASS*.pdf")</f>
        <v>0</v>
      </c>
      <c r="J13" s="76">
        <f ca="1">GetFileList("P:\TP et Raccodement\FICHES CREES RACCORDEMENT\2 - SAV + COMPL + PASSAGE W XV A SAISIR DANS AX\12-10-2019\*SAV*.pdf")</f>
        <v>0</v>
      </c>
      <c r="K13" s="77">
        <f ca="1">GetFileList("P:\TP et Raccodement\FICHES CREES RACCORDEMENT\2 - SAV + COMPL + PASSAGE W XV A SAISIR DANS AX\12-10-2019\*COMPLEMENT*.pdf")</f>
        <v>0</v>
      </c>
      <c r="L13" s="77">
        <f ca="1">GetFileList("P:\TP et Raccodement\FICHES CREES RACCORDEMENT\2 - SAV + COMPL + PASSAGE W XV A SAISIR DANS AX\12-10-2019\*REPRISE*.pdf")</f>
        <v>0</v>
      </c>
      <c r="M13" s="78">
        <f ca="1">GetFileList("P:\TP et Raccodement\FICHES CREES RACCORDEMENT\2 - SAV + COMPL + PASSAGE W XV A SAISIR DANS AX\12-10-2019\*REMONTAGE*.pdf")</f>
        <v>0</v>
      </c>
      <c r="N13" s="61"/>
      <c r="O13" s="73">
        <f t="shared" ca="1" si="1"/>
        <v>0</v>
      </c>
    </row>
    <row r="14" spans="1:16" ht="16.5" x14ac:dyDescent="0.3">
      <c r="A14" s="88">
        <v>43751</v>
      </c>
      <c r="B14" s="89">
        <f t="shared" ca="1" si="0"/>
        <v>0</v>
      </c>
      <c r="C14" s="90">
        <f ca="1">GetFileList("P:\TP et Raccodement\FICHES CREES RACCORDEMENT\1 - RACCOS A SAISIR DANS AX\13-10-2019\*LM RACCO*.pdf")</f>
        <v>0</v>
      </c>
      <c r="D14" s="90">
        <f ca="1">GetFileList("P:\TP et Raccodement\FICHES CREES RACCORDEMENT\1 - RACCOS A SAISIR DANS AX\13-10-2019\*LR RACCO*.pdf")</f>
        <v>0</v>
      </c>
      <c r="E14" s="91">
        <f ca="1">GetFileList("P:\TP et Raccodement\FICHES CREES RACCORDEMENT\1 - RACCOS A SAISIR DANS AX\13-10-2019\*CL RACCO*.pdf")</f>
        <v>0</v>
      </c>
      <c r="F14" s="92">
        <f t="shared" ca="1" si="2"/>
        <v>0</v>
      </c>
      <c r="G14" s="90">
        <f ca="1">GetFileList("P:\TP et Raccodement\FICHES CREES RACCORDEMENT\2 - SAV + COMPL + PASSAGE W XV A SAISIR DANS AX\13-10-2019\*LM PASS*.pdf")</f>
        <v>0</v>
      </c>
      <c r="H14" s="90">
        <f ca="1">GetFileList("P:\TP et Raccodement\FICHES CREES RACCORDEMENT\2 - SAV + COMPL + PASSAGE W XV A SAISIR DANS AX\13-10-2019\*LR PASS*.pdf")</f>
        <v>0</v>
      </c>
      <c r="I14" s="91">
        <f ca="1">GetFileList("P:\TP et Raccodement\FICHES CREES RACCORDEMENT\2 - SAV + COMPL + PASSAGE W XV A SAISIR DANS AX\13-10-2019\*CL PASS*.pdf")</f>
        <v>0</v>
      </c>
      <c r="J14" s="93">
        <f ca="1">GetFileList("P:\TP et Raccodement\FICHES CREES RACCORDEMENT\2 - SAV + COMPL + PASSAGE W XV A SAISIR DANS AX\13-10-2019\*SAV*.pdf")</f>
        <v>0</v>
      </c>
      <c r="K14" s="94">
        <f ca="1">GetFileList("P:\TP et Raccodement\FICHES CREES RACCORDEMENT\2 - SAV + COMPL + PASSAGE W XV A SAISIR DANS AX\13-10-2019\*COMPLEMENT*.pdf")</f>
        <v>0</v>
      </c>
      <c r="L14" s="94">
        <f ca="1">GetFileList("P:\TP et Raccodement\FICHES CREES RACCORDEMENT\2 - SAV + COMPL + PASSAGE W XV A SAISIR DANS AX\13-10-2019\*REPRISE*.pdf")</f>
        <v>0</v>
      </c>
      <c r="M14" s="95">
        <f ca="1">GetFileList("P:\TP et Raccodement\FICHES CREES RACCORDEMENT\2 - SAV + COMPL + PASSAGE W XV A SAISIR DANS AX\13-10-2019\*REMONTAGE*.pdf")</f>
        <v>0</v>
      </c>
      <c r="N14" s="61"/>
      <c r="O14" s="73">
        <f t="shared" ca="1" si="1"/>
        <v>0</v>
      </c>
    </row>
    <row r="15" spans="1:16" ht="16.5" x14ac:dyDescent="0.3">
      <c r="A15" s="59">
        <v>43752</v>
      </c>
      <c r="B15" s="74">
        <f t="shared" ca="1" si="0"/>
        <v>0</v>
      </c>
      <c r="C15" s="67">
        <f ca="1">GetFileList("P:\TP et Raccodement\FICHES CREES RACCORDEMENT\1 - RACCOS A SAISIR DANS AX\14-10-2019\*LM RACCO*.pdf")</f>
        <v>0</v>
      </c>
      <c r="D15" s="67">
        <f ca="1">GetFileList("P:\TP et Raccodement\FICHES CREES RACCORDEMENT\1 - RACCOS A SAISIR DANS AX\14-10-2019\*LR RACCO*.pdf")</f>
        <v>0</v>
      </c>
      <c r="E15" s="68">
        <f ca="1">GetFileList("P:\TP et Raccodement\FICHES CREES RACCORDEMENT\1 - RACCOS A SAISIR DANS AX\14-10-2019\*CL RACCO*.pdf")</f>
        <v>0</v>
      </c>
      <c r="F15" s="75">
        <f t="shared" ca="1" si="2"/>
        <v>0</v>
      </c>
      <c r="G15" s="67">
        <f ca="1">GetFileList("P:\TP et Raccodement\FICHES CREES RACCORDEMENT\2 - SAV + COMPL + PASSAGE W XV A SAISIR DANS AX\14-10-2019\*LM PASS*.pdf")</f>
        <v>0</v>
      </c>
      <c r="H15" s="67">
        <f ca="1">GetFileList("P:\TP et Raccodement\FICHES CREES RACCORDEMENT\2 - SAV + COMPL + PASSAGE W XV A SAISIR DANS AX\14-10-2019\*LR PASS*.pdf")</f>
        <v>0</v>
      </c>
      <c r="I15" s="68">
        <f ca="1">GetFileList("P:\TP et Raccodement\FICHES CREES RACCORDEMENT\2 - SAV + COMPL + PASSAGE W XV A SAISIR DANS AX\14-10-2019\*CL PASS*.pdf")</f>
        <v>0</v>
      </c>
      <c r="J15" s="76">
        <f ca="1">GetFileList("P:\TP et Raccodement\FICHES CREES RACCORDEMENT\2 - SAV + COMPL + PASSAGE W XV A SAISIR DANS AX\14-10-2019\*SAV*.pdf")</f>
        <v>0</v>
      </c>
      <c r="K15" s="77">
        <f ca="1">GetFileList("P:\TP et Raccodement\FICHES CREES RACCORDEMENT\2 - SAV + COMPL + PASSAGE W XV A SAISIR DANS AX\14-10-2019\*COMPLEMENT*.pdf")</f>
        <v>0</v>
      </c>
      <c r="L15" s="77">
        <f ca="1">GetFileList("P:\TP et Raccodement\FICHES CREES RACCORDEMENT\2 - SAV + COMPL + PASSAGE W XV A SAISIR DANS AX\14-10-2019\*REPRISE*.pdf")</f>
        <v>0</v>
      </c>
      <c r="M15" s="78">
        <f ca="1">GetFileList("P:\TP et Raccodement\FICHES CREES RACCORDEMENT\2 - SAV + COMPL + PASSAGE W XV A SAISIR DANS AX\14-10-2019\*REMONTAGE*.pdf")</f>
        <v>0</v>
      </c>
      <c r="N15" s="61"/>
      <c r="O15" s="73">
        <f t="shared" ca="1" si="1"/>
        <v>0</v>
      </c>
    </row>
    <row r="16" spans="1:16" ht="16.5" x14ac:dyDescent="0.3">
      <c r="A16" s="59">
        <v>43753</v>
      </c>
      <c r="B16" s="74">
        <f t="shared" ca="1" si="0"/>
        <v>0</v>
      </c>
      <c r="C16" s="67">
        <f ca="1">GetFileList("P:\TP et Raccodement\FICHES CREES RACCORDEMENT\1 - RACCOS A SAISIR DANS AX\15-10-2019\*LM RACCO*.pdf")</f>
        <v>0</v>
      </c>
      <c r="D16" s="67">
        <f ca="1">GetFileList("P:\TP et Raccodement\FICHES CREES RACCORDEMENT\1 - RACCOS A SAISIR DANS AX\15-10-2019\*LR RACCO*.pdf")</f>
        <v>0</v>
      </c>
      <c r="E16" s="68">
        <f ca="1">GetFileList("P:\TP et Raccodement\FICHES CREES RACCORDEMENT\1 - RACCOS A SAISIR DANS AX\15-10-2019\*CL RACCO*.pdf")</f>
        <v>0</v>
      </c>
      <c r="F16" s="75">
        <f t="shared" ca="1" si="2"/>
        <v>0</v>
      </c>
      <c r="G16" s="67">
        <f ca="1">GetFileList("P:\TP et Raccodement\FICHES CREES RACCORDEMENT\2 - SAV + COMPL + PASSAGE W XV A SAISIR DANS AX\15-10-2019\*LM PASS*.pdf")</f>
        <v>0</v>
      </c>
      <c r="H16" s="67">
        <f ca="1">GetFileList("P:\TP et Raccodement\FICHES CREES RACCORDEMENT\2 - SAV + COMPL + PASSAGE W XV A SAISIR DANS AX\15-10-2019\*LR PASS*.pdf")</f>
        <v>0</v>
      </c>
      <c r="I16" s="68">
        <f ca="1">GetFileList("P:\TP et Raccodement\FICHES CREES RACCORDEMENT\2 - SAV + COMPL + PASSAGE W XV A SAISIR DANS AX\15-10-2019\*CL PASS*.pdf")</f>
        <v>0</v>
      </c>
      <c r="J16" s="76">
        <f ca="1">GetFileList("P:\TP et Raccodement\FICHES CREES RACCORDEMENT\2 - SAV + COMPL + PASSAGE W XV A SAISIR DANS AX\15-10-2019\*SAV*.pdf")</f>
        <v>0</v>
      </c>
      <c r="K16" s="77">
        <f ca="1">GetFileList("P:\TP et Raccodement\FICHES CREES RACCORDEMENT\2 - SAV + COMPL + PASSAGE W XV A SAISIR DANS AX\15-10-2019\*COMPLEMENT*.pdf")</f>
        <v>0</v>
      </c>
      <c r="L16" s="77">
        <f ca="1">GetFileList("P:\TP et Raccodement\FICHES CREES RACCORDEMENT\2 - SAV + COMPL + PASSAGE W XV A SAISIR DANS AX\15-10-2019\*REPRISE*.pdf")</f>
        <v>0</v>
      </c>
      <c r="M16" s="78">
        <f ca="1">GetFileList("P:\TP et Raccodement\FICHES CREES RACCORDEMENT\2 - SAV + COMPL + PASSAGE W XV A SAISIR DANS AX\15-10-2019\*REMONTAGE*.pdf")</f>
        <v>0</v>
      </c>
      <c r="N16" s="61"/>
      <c r="O16" s="73">
        <f t="shared" ca="1" si="1"/>
        <v>0</v>
      </c>
    </row>
    <row r="17" spans="1:15" ht="16.5" x14ac:dyDescent="0.3">
      <c r="A17" s="59">
        <v>43754</v>
      </c>
      <c r="B17" s="74">
        <f t="shared" ca="1" si="0"/>
        <v>0</v>
      </c>
      <c r="C17" s="67">
        <f ca="1">GetFileList("P:\TP et Raccodement\FICHES CREES RACCORDEMENT\1 - RACCOS A SAISIR DANS AX\16-10-2019\*LM RACCO*.pdf")</f>
        <v>0</v>
      </c>
      <c r="D17" s="67">
        <f ca="1">GetFileList("P:\TP et Raccodement\FICHES CREES RACCORDEMENT\1 - RACCOS A SAISIR DANS AX\16-10-2019\*LR RACCO*.pdf")</f>
        <v>0</v>
      </c>
      <c r="E17" s="68">
        <f ca="1">GetFileList("P:\TP et Raccodement\FICHES CREES RACCORDEMENT\1 - RACCOS A SAISIR DANS AX\16-10-2019\*CL RACCO*.pdf")</f>
        <v>0</v>
      </c>
      <c r="F17" s="75">
        <f t="shared" ca="1" si="2"/>
        <v>0</v>
      </c>
      <c r="G17" s="67">
        <f ca="1">GetFileList("P:\TP et Raccodement\FICHES CREES RACCORDEMENT\2 - SAV + COMPL + PASSAGE W XV A SAISIR DANS AX\16-10-2019\*LM PASS*.pdf")</f>
        <v>0</v>
      </c>
      <c r="H17" s="67">
        <f ca="1">GetFileList("P:\TP et Raccodement\FICHES CREES RACCORDEMENT\2 - SAV + COMPL + PASSAGE W XV A SAISIR DANS AX\16-10-2019\*LR PASS*.pdf")</f>
        <v>0</v>
      </c>
      <c r="I17" s="68">
        <f ca="1">GetFileList("P:\TP et Raccodement\FICHES CREES RACCORDEMENT\2 - SAV + COMPL + PASSAGE W XV A SAISIR DANS AX\16-10-2019\*CL PASS*.pdf")</f>
        <v>0</v>
      </c>
      <c r="J17" s="76">
        <f ca="1">GetFileList("P:\TP et Raccodement\FICHES CREES RACCORDEMENT\2 - SAV + COMPL + PASSAGE W XV A SAISIR DANS AX\16-10-2019\*SAV*.pdf")</f>
        <v>0</v>
      </c>
      <c r="K17" s="77">
        <f ca="1">GetFileList("P:\TP et Raccodement\FICHES CREES RACCORDEMENT\2 - SAV + COMPL + PASSAGE W XV A SAISIR DANS AX\16-10-2019\*COMPLEMENT*.pdf")</f>
        <v>0</v>
      </c>
      <c r="L17" s="77">
        <f ca="1">GetFileList("P:\TP et Raccodement\FICHES CREES RACCORDEMENT\2 - SAV + COMPL + PASSAGE W XV A SAISIR DANS AX\16-10-2019\*REPRISE*.pdf")</f>
        <v>0</v>
      </c>
      <c r="M17" s="78">
        <f ca="1">GetFileList("P:\TP et Raccodement\FICHES CREES RACCORDEMENT\2 - SAV + COMPL + PASSAGE W XV A SAISIR DANS AX\16-10-2019\*REMONTAGE*.pdf")</f>
        <v>0</v>
      </c>
      <c r="N17" s="61"/>
      <c r="O17" s="73">
        <f t="shared" ca="1" si="1"/>
        <v>0</v>
      </c>
    </row>
    <row r="18" spans="1:15" ht="16.5" x14ac:dyDescent="0.3">
      <c r="A18" s="59">
        <v>43755</v>
      </c>
      <c r="B18" s="74">
        <f t="shared" ca="1" si="0"/>
        <v>0</v>
      </c>
      <c r="C18" s="67">
        <f ca="1">GetFileList("P:\TP et Raccodement\FICHES CREES RACCORDEMENT\1 - RACCOS A SAISIR DANS AX\17-10-2019\*LM RACCO*.pdf")</f>
        <v>0</v>
      </c>
      <c r="D18" s="67">
        <f ca="1">GetFileList("P:\TP et Raccodement\FICHES CREES RACCORDEMENT\1 - RACCOS A SAISIR DANS AX\17-10-2019\*LR RACCO*.pdf")</f>
        <v>0</v>
      </c>
      <c r="E18" s="68">
        <f ca="1">GetFileList("P:\TP et Raccodement\FICHES CREES RACCORDEMENT\1 - RACCOS A SAISIR DANS AX\17-10-2019\*CL RACCO*.pdf")</f>
        <v>0</v>
      </c>
      <c r="F18" s="75">
        <f t="shared" ca="1" si="2"/>
        <v>0</v>
      </c>
      <c r="G18" s="67">
        <f ca="1">GetFileList("P:\TP et Raccodement\FICHES CREES RACCORDEMENT\2 - SAV + COMPL + PASSAGE W XV A SAISIR DANS AX\17-10-2019\*LM PASS*.pdf")</f>
        <v>0</v>
      </c>
      <c r="H18" s="67">
        <f ca="1">GetFileList("P:\TP et Raccodement\FICHES CREES RACCORDEMENT\2 - SAV + COMPL + PASSAGE W XV A SAISIR DANS AX\17-10-2019\*LR PASS*.pdf")</f>
        <v>0</v>
      </c>
      <c r="I18" s="68">
        <f ca="1">GetFileList("P:\TP et Raccodement\FICHES CREES RACCORDEMENT\2 - SAV + COMPL + PASSAGE W XV A SAISIR DANS AX\17-10-2019\*CL PASS*.pdf")</f>
        <v>0</v>
      </c>
      <c r="J18" s="76">
        <f ca="1">GetFileList("P:\TP et Raccodement\FICHES CREES RACCORDEMENT\2 - SAV + COMPL + PASSAGE W XV A SAISIR DANS AX\17-10-2019\*SAV*.pdf")</f>
        <v>0</v>
      </c>
      <c r="K18" s="77">
        <f ca="1">GetFileList("P:\TP et Raccodement\FICHES CREES RACCORDEMENT\2 - SAV + COMPL + PASSAGE W XV A SAISIR DANS AX\17-10-2019\*COMPLEMENT*.pdf")</f>
        <v>0</v>
      </c>
      <c r="L18" s="77">
        <f ca="1">GetFileList("P:\TP et Raccodement\FICHES CREES RACCORDEMENT\2 - SAV + COMPL + PASSAGE W XV A SAISIR DANS AX\17-10-2019\*REPRISE*.pdf")</f>
        <v>0</v>
      </c>
      <c r="M18" s="78">
        <f ca="1">GetFileList("P:\TP et Raccodement\FICHES CREES RACCORDEMENT\2 - SAV + COMPL + PASSAGE W XV A SAISIR DANS AX\17-10-2019\*REMONTAGE*.pdf")</f>
        <v>0</v>
      </c>
      <c r="N18" s="61"/>
      <c r="O18" s="73">
        <f t="shared" ca="1" si="1"/>
        <v>0</v>
      </c>
    </row>
    <row r="19" spans="1:15" ht="16.5" x14ac:dyDescent="0.3">
      <c r="A19" s="59">
        <v>43756</v>
      </c>
      <c r="B19" s="74">
        <f t="shared" ca="1" si="0"/>
        <v>0</v>
      </c>
      <c r="C19" s="67">
        <f ca="1">GetFileList("P:\TP et Raccodement\FICHES CREES RACCORDEMENT\1 - RACCOS A SAISIR DANS AX\18-10-2019\*LM RACCO*.pdf")</f>
        <v>0</v>
      </c>
      <c r="D19" s="67">
        <f ca="1">GetFileList("P:\TP et Raccodement\FICHES CREES RACCORDEMENT\1 - RACCOS A SAISIR DANS AX\18-10-2019\*LR RACCO*.pdf")</f>
        <v>0</v>
      </c>
      <c r="E19" s="68">
        <f ca="1">GetFileList("P:\TP et Raccodement\FICHES CREES RACCORDEMENT\1 - RACCOS A SAISIR DANS AX\18-10-2019\*CL RACCO*.pdf")</f>
        <v>0</v>
      </c>
      <c r="F19" s="75">
        <f t="shared" ca="1" si="2"/>
        <v>0</v>
      </c>
      <c r="G19" s="67">
        <f ca="1">GetFileList("P:\TP et Raccodement\FICHES CREES RACCORDEMENT\2 - SAV + COMPL + PASSAGE W XV A SAISIR DANS AX\18-10-2019\*LM PASS*.pdf")</f>
        <v>0</v>
      </c>
      <c r="H19" s="67">
        <f ca="1">GetFileList("P:\TP et Raccodement\FICHES CREES RACCORDEMENT\2 - SAV + COMPL + PASSAGE W XV A SAISIR DANS AX\18-10-2019\*LR PASS*.pdf")</f>
        <v>0</v>
      </c>
      <c r="I19" s="68">
        <f ca="1">GetFileList("P:\TP et Raccodement\FICHES CREES RACCORDEMENT\2 - SAV + COMPL + PASSAGE W XV A SAISIR DANS AX\18-10-2019\*CL PASS*.pdf")</f>
        <v>0</v>
      </c>
      <c r="J19" s="76">
        <f ca="1">GetFileList("P:\TP et Raccodement\FICHES CREES RACCORDEMENT\2 - SAV + COMPL + PASSAGE W XV A SAISIR DANS AX\18-10-2019\*SAV*.pdf")</f>
        <v>0</v>
      </c>
      <c r="K19" s="77">
        <f ca="1">GetFileList("P:\TP et Raccodement\FICHES CREES RACCORDEMENT\2 - SAV + COMPL + PASSAGE W XV A SAISIR DANS AX\18-10-2019\*COMPLEMENT*.pdf")</f>
        <v>0</v>
      </c>
      <c r="L19" s="77">
        <f ca="1">GetFileList("P:\TP et Raccodement\FICHES CREES RACCORDEMENT\2 - SAV + COMPL + PASSAGE W XV A SAISIR DANS AX\18-10-2019\*REPRISE*.pdf")</f>
        <v>0</v>
      </c>
      <c r="M19" s="78">
        <f ca="1">GetFileList("P:\TP et Raccodement\FICHES CREES RACCORDEMENT\2 - SAV + COMPL + PASSAGE W XV A SAISIR DANS AX\18-10-2019\*REMONTAGE*.pdf")</f>
        <v>0</v>
      </c>
      <c r="N19" s="61"/>
      <c r="O19" s="73">
        <f t="shared" ca="1" si="1"/>
        <v>0</v>
      </c>
    </row>
    <row r="20" spans="1:15" ht="16.5" x14ac:dyDescent="0.3">
      <c r="A20" s="59">
        <v>43757</v>
      </c>
      <c r="B20" s="74">
        <f t="shared" ca="1" si="0"/>
        <v>0</v>
      </c>
      <c r="C20" s="67">
        <f ca="1">GetFileList("P:\TP et Raccodement\FICHES CREES RACCORDEMENT\1 - RACCOS A SAISIR DANS AX\19-10-2019\*LM RACCO*.pdf")</f>
        <v>0</v>
      </c>
      <c r="D20" s="67">
        <f ca="1">GetFileList("P:\TP et Raccodement\FICHES CREES RACCORDEMENT\1 - RACCOS A SAISIR DANS AX\19-10-2019\*LR RACCO*.pdf")</f>
        <v>0</v>
      </c>
      <c r="E20" s="68">
        <f ca="1">GetFileList("P:\TP et Raccodement\FICHES CREES RACCORDEMENT\1 - RACCOS A SAISIR DANS AX\19-10-2019\*CL RACCO*.pdf")</f>
        <v>0</v>
      </c>
      <c r="F20" s="75">
        <f t="shared" ca="1" si="2"/>
        <v>0</v>
      </c>
      <c r="G20" s="67">
        <f ca="1">GetFileList("P:\TP et Raccodement\FICHES CREES RACCORDEMENT\2 - SAV + COMPL + PASSAGE W XV A SAISIR DANS AX\19-10-2019\*LM PASS*.pdf")</f>
        <v>0</v>
      </c>
      <c r="H20" s="67">
        <f ca="1">GetFileList("P:\TP et Raccodement\FICHES CREES RACCORDEMENT\2 - SAV + COMPL + PASSAGE W XV A SAISIR DANS AX\19-10-2019\*LR PASS*.pdf")</f>
        <v>0</v>
      </c>
      <c r="I20" s="68">
        <f ca="1">GetFileList("P:\TP et Raccodement\FICHES CREES RACCORDEMENT\2 - SAV + COMPL + PASSAGE W XV A SAISIR DANS AX\19-10-2019\*CL PASS*.pdf")</f>
        <v>0</v>
      </c>
      <c r="J20" s="76">
        <f ca="1">GetFileList("P:\TP et Raccodement\FICHES CREES RACCORDEMENT\2 - SAV + COMPL + PASSAGE W XV A SAISIR DANS AX\19-10-2019\*SAV*.pdf")</f>
        <v>0</v>
      </c>
      <c r="K20" s="77">
        <f ca="1">GetFileList("P:\TP et Raccodement\FICHES CREES RACCORDEMENT\2 - SAV + COMPL + PASSAGE W XV A SAISIR DANS AX\19-10-2019\*COMPLEMENT*.pdf")</f>
        <v>0</v>
      </c>
      <c r="L20" s="77">
        <f ca="1">GetFileList("P:\TP et Raccodement\FICHES CREES RACCORDEMENT\2 - SAV + COMPL + PASSAGE W XV A SAISIR DANS AX\19-10-2019\*REPRISE*.pdf")</f>
        <v>0</v>
      </c>
      <c r="M20" s="78">
        <f ca="1">GetFileList("P:\TP et Raccodement\FICHES CREES RACCORDEMENT\2 - SAV + COMPL + PASSAGE W XV A SAISIR DANS AX\19-10-2019\*REMONTAGE*.pdf")</f>
        <v>0</v>
      </c>
      <c r="N20" s="61"/>
      <c r="O20" s="73">
        <f t="shared" ca="1" si="1"/>
        <v>0</v>
      </c>
    </row>
    <row r="21" spans="1:15" ht="16.5" x14ac:dyDescent="0.3">
      <c r="A21" s="88">
        <v>43758</v>
      </c>
      <c r="B21" s="89">
        <f t="shared" ca="1" si="0"/>
        <v>0</v>
      </c>
      <c r="C21" s="90">
        <f ca="1">GetFileList("P:\TP et Raccodement\FICHES CREES RACCORDEMENT\1 - RACCOS A SAISIR DANS AX\20-10-2019\*LM RACCO*.pdf")</f>
        <v>0</v>
      </c>
      <c r="D21" s="90">
        <f ca="1">GetFileList("P:\TP et Raccodement\FICHES CREES RACCORDEMENT\1 - RACCOS A SAISIR DANS AX\20-10-2019\*LR RACCO*.pdf")</f>
        <v>0</v>
      </c>
      <c r="E21" s="91">
        <f ca="1">GetFileList("P:\TP et Raccodement\FICHES CREES RACCORDEMENT\1 - RACCOS A SAISIR DANS AX\20-10-2019\*CL RACCO*.pdf")</f>
        <v>0</v>
      </c>
      <c r="F21" s="92">
        <f t="shared" ca="1" si="2"/>
        <v>0</v>
      </c>
      <c r="G21" s="90">
        <f ca="1">GetFileList("P:\TP et Raccodement\FICHES CREES RACCORDEMENT\2 - SAV + COMPL + PASSAGE W XV A SAISIR DANS AX\20-10-2019\*LM PASS*.pdf")</f>
        <v>0</v>
      </c>
      <c r="H21" s="90">
        <f ca="1">GetFileList("P:\TP et Raccodement\FICHES CREES RACCORDEMENT\2 - SAV + COMPL + PASSAGE W XV A SAISIR DANS AX\20-10-2019\*LR PASS*.pdf")</f>
        <v>0</v>
      </c>
      <c r="I21" s="91">
        <f ca="1">GetFileList("P:\TP et Raccodement\FICHES CREES RACCORDEMENT\2 - SAV + COMPL + PASSAGE W XV A SAISIR DANS AX\20-10-2019\*CL PASS*.pdf")</f>
        <v>0</v>
      </c>
      <c r="J21" s="93">
        <f ca="1">GetFileList("P:\TP et Raccodement\FICHES CREES RACCORDEMENT\2 - SAV + COMPL + PASSAGE W XV A SAISIR DANS AX\20-10-2019\*SAV*.pdf")</f>
        <v>0</v>
      </c>
      <c r="K21" s="94">
        <f ca="1">GetFileList("P:\TP et Raccodement\FICHES CREES RACCORDEMENT\2 - SAV + COMPL + PASSAGE W XV A SAISIR DANS AX\20-10-2019\*COMPLEMENT*.pdf")</f>
        <v>0</v>
      </c>
      <c r="L21" s="94">
        <f ca="1">GetFileList("P:\TP et Raccodement\FICHES CREES RACCORDEMENT\2 - SAV + COMPL + PASSAGE W XV A SAISIR DANS AX\20-10-2019\*REPRISE*.pdf")</f>
        <v>0</v>
      </c>
      <c r="M21" s="95">
        <f ca="1">GetFileList("P:\TP et Raccodement\FICHES CREES RACCORDEMENT\2 - SAV + COMPL + PASSAGE W XV A SAISIR DANS AX\20-10-2019\*REMONTAGE*.pdf")</f>
        <v>0</v>
      </c>
      <c r="N21" s="61"/>
      <c r="O21" s="73">
        <f t="shared" ca="1" si="1"/>
        <v>0</v>
      </c>
    </row>
    <row r="22" spans="1:15" ht="16.5" x14ac:dyDescent="0.3">
      <c r="A22" s="59">
        <v>43759</v>
      </c>
      <c r="B22" s="74">
        <f t="shared" ca="1" si="0"/>
        <v>0</v>
      </c>
      <c r="C22" s="67">
        <f ca="1">GetFileList("P:\TP et Raccodement\FICHES CREES RACCORDEMENT\1 - RACCOS A SAISIR DANS AX\21-10-2019\*LM RACCO*.pdf")</f>
        <v>0</v>
      </c>
      <c r="D22" s="67">
        <f ca="1">GetFileList("P:\TP et Raccodement\FICHES CREES RACCORDEMENT\1 - RACCOS A SAISIR DANS AX\21-10-2019\*LR RACCO*.pdf")</f>
        <v>0</v>
      </c>
      <c r="E22" s="68">
        <f ca="1">GetFileList("P:\TP et Raccodement\FICHES CREES RACCORDEMENT\1 - RACCOS A SAISIR DANS AX\21-10-2019\*CL RACCO*.pdf")</f>
        <v>0</v>
      </c>
      <c r="F22" s="75">
        <f t="shared" ca="1" si="2"/>
        <v>0</v>
      </c>
      <c r="G22" s="67">
        <f ca="1">GetFileList("P:\TP et Raccodement\FICHES CREES RACCORDEMENT\2 - SAV + COMPL + PASSAGE W XV A SAISIR DANS AX\21-10-2019\*LM PASS*.pdf")</f>
        <v>0</v>
      </c>
      <c r="H22" s="67">
        <f ca="1">GetFileList("P:\TP et Raccodement\FICHES CREES RACCORDEMENT\2 - SAV + COMPL + PASSAGE W XV A SAISIR DANS AX\21-10-2019\*LR PASS*.pdf")</f>
        <v>0</v>
      </c>
      <c r="I22" s="68">
        <f ca="1">GetFileList("P:\TP et Raccodement\FICHES CREES RACCORDEMENT\2 - SAV + COMPL + PASSAGE W XV A SAISIR DANS AX\21-10-2019\*CL PASS*.pdf")</f>
        <v>0</v>
      </c>
      <c r="J22" s="76">
        <f ca="1">GetFileList("P:\TP et Raccodement\FICHES CREES RACCORDEMENT\2 - SAV + COMPL + PASSAGE W XV A SAISIR DANS AX\21-10-2019\*SAV*.pdf")</f>
        <v>0</v>
      </c>
      <c r="K22" s="77">
        <f ca="1">GetFileList("P:\TP et Raccodement\FICHES CREES RACCORDEMENT\2 - SAV + COMPL + PASSAGE W XV A SAISIR DANS AX\21-10-2019\*COMPLEMENT*.pdf")</f>
        <v>0</v>
      </c>
      <c r="L22" s="77">
        <f ca="1">GetFileList("P:\TP et Raccodement\FICHES CREES RACCORDEMENT\2 - SAV + COMPL + PASSAGE W XV A SAISIR DANS AX\21-10-2019\*REPRISE*.pdf")</f>
        <v>0</v>
      </c>
      <c r="M22" s="78">
        <f ca="1">GetFileList("P:\TP et Raccodement\FICHES CREES RACCORDEMENT\2 - SAV + COMPL + PASSAGE W XV A SAISIR DANS AX\21-10-2019\*REMONTAGE*.pdf")</f>
        <v>0</v>
      </c>
      <c r="N22" s="61"/>
      <c r="O22" s="73">
        <f t="shared" ca="1" si="1"/>
        <v>0</v>
      </c>
    </row>
    <row r="23" spans="1:15" ht="16.5" x14ac:dyDescent="0.3">
      <c r="A23" s="59">
        <v>43760</v>
      </c>
      <c r="B23" s="74">
        <f t="shared" ca="1" si="0"/>
        <v>0</v>
      </c>
      <c r="C23" s="67">
        <f ca="1">GetFileList("P:\TP et Raccodement\FICHES CREES RACCORDEMENT\1 - RACCOS A SAISIR DANS AX\22-10-2019\*LM RACCO*.pdf")</f>
        <v>0</v>
      </c>
      <c r="D23" s="67">
        <f ca="1">GetFileList("P:\TP et Raccodement\FICHES CREES RACCORDEMENT\1 - RACCOS A SAISIR DANS AX\22-10-2019\*LR RACCO*.pdf")</f>
        <v>0</v>
      </c>
      <c r="E23" s="68">
        <f ca="1">GetFileList("P:\TP et Raccodement\FICHES CREES RACCORDEMENT\1 - RACCOS A SAISIR DANS AX\22-10-2019\*CL RACCO*.pdf")</f>
        <v>0</v>
      </c>
      <c r="F23" s="75">
        <f t="shared" ca="1" si="2"/>
        <v>0</v>
      </c>
      <c r="G23" s="67">
        <f ca="1">GetFileList("P:\TP et Raccodement\FICHES CREES RACCORDEMENT\2 - SAV + COMPL + PASSAGE W XV A SAISIR DANS AX\22-10-2019\*LM PASS*.pdf")</f>
        <v>0</v>
      </c>
      <c r="H23" s="67">
        <f ca="1">GetFileList("P:\TP et Raccodement\FICHES CREES RACCORDEMENT\2 - SAV + COMPL + PASSAGE W XV A SAISIR DANS AX\22-10-2019\*LR PASS*.pdf")</f>
        <v>0</v>
      </c>
      <c r="I23" s="68">
        <f ca="1">GetFileList("P:\TP et Raccodement\FICHES CREES RACCORDEMENT\2 - SAV + COMPL + PASSAGE W XV A SAISIR DANS AX\22-10-2019\*CL PASS*.pdf")</f>
        <v>0</v>
      </c>
      <c r="J23" s="76">
        <f ca="1">GetFileList("P:\TP et Raccodement\FICHES CREES RACCORDEMENT\2 - SAV + COMPL + PASSAGE W XV A SAISIR DANS AX\22-10-2019\*SAV*.pdf")</f>
        <v>0</v>
      </c>
      <c r="K23" s="77">
        <f ca="1">GetFileList("P:\TP et Raccodement\FICHES CREES RACCORDEMENT\2 - SAV + COMPL + PASSAGE W XV A SAISIR DANS AX\22-10-2019\*COMPLEMENT*.pdf")</f>
        <v>0</v>
      </c>
      <c r="L23" s="77">
        <f ca="1">GetFileList("P:\TP et Raccodement\FICHES CREES RACCORDEMENT\2 - SAV + COMPL + PASSAGE W XV A SAISIR DANS AX\22-10-2019\*REPRISE*.pdf")</f>
        <v>0</v>
      </c>
      <c r="M23" s="78">
        <f ca="1">GetFileList("P:\TP et Raccodement\FICHES CREES RACCORDEMENT\2 - SAV + COMPL + PASSAGE W XV A SAISIR DANS AX\22-10-2019\*REMONTAGE*.pdf")</f>
        <v>0</v>
      </c>
      <c r="N23" s="61"/>
      <c r="O23" s="73">
        <f t="shared" ca="1" si="1"/>
        <v>0</v>
      </c>
    </row>
    <row r="24" spans="1:15" ht="16.5" x14ac:dyDescent="0.3">
      <c r="A24" s="59">
        <v>43761</v>
      </c>
      <c r="B24" s="74">
        <f t="shared" ca="1" si="0"/>
        <v>0</v>
      </c>
      <c r="C24" s="67">
        <f ca="1">GetFileList("P:\TP et Raccodement\FICHES CREES RACCORDEMENT\1 - RACCOS A SAISIR DANS AX\23-10-2019\*LM RACCO*.pdf")</f>
        <v>0</v>
      </c>
      <c r="D24" s="67">
        <f ca="1">GetFileList("P:\TP et Raccodement\FICHES CREES RACCORDEMENT\1 - RACCOS A SAISIR DANS AX\23-10-2019\*LR RACCO*.pdf")</f>
        <v>0</v>
      </c>
      <c r="E24" s="68">
        <f ca="1">GetFileList("P:\TP et Raccodement\FICHES CREES RACCORDEMENT\1 - RACCOS A SAISIR DANS AX\23-10-2019\*CL RACCO*.pdf")</f>
        <v>0</v>
      </c>
      <c r="F24" s="75">
        <f t="shared" ca="1" si="2"/>
        <v>0</v>
      </c>
      <c r="G24" s="67">
        <f ca="1">GetFileList("P:\TP et Raccodement\FICHES CREES RACCORDEMENT\2 - SAV + COMPL + PASSAGE W XV A SAISIR DANS AX\23-10-2019\*LM PASS*.pdf")</f>
        <v>0</v>
      </c>
      <c r="H24" s="67">
        <f ca="1">GetFileList("P:\TP et Raccodement\FICHES CREES RACCORDEMENT\2 - SAV + COMPL + PASSAGE W XV A SAISIR DANS AX\23-10-2019\*LR PASS*.pdf")</f>
        <v>0</v>
      </c>
      <c r="I24" s="68">
        <f ca="1">GetFileList("P:\TP et Raccodement\FICHES CREES RACCORDEMENT\2 - SAV + COMPL + PASSAGE W XV A SAISIR DANS AX\23-10-2019\*CL PASS*.pdf")</f>
        <v>0</v>
      </c>
      <c r="J24" s="76">
        <f ca="1">GetFileList("P:\TP et Raccodement\FICHES CREES RACCORDEMENT\2 - SAV + COMPL + PASSAGE W XV A SAISIR DANS AX\23-10-2019\*SAV*.pdf")</f>
        <v>0</v>
      </c>
      <c r="K24" s="77">
        <f ca="1">GetFileList("P:\TP et Raccodement\FICHES CREES RACCORDEMENT\2 - SAV + COMPL + PASSAGE W XV A SAISIR DANS AX\23-10-2019\*COMPLEMENT*.pdf")</f>
        <v>0</v>
      </c>
      <c r="L24" s="77">
        <f ca="1">GetFileList("P:\TP et Raccodement\FICHES CREES RACCORDEMENT\2 - SAV + COMPL + PASSAGE W XV A SAISIR DANS AX\23-10-2019\*REPRISE*.pdf")</f>
        <v>0</v>
      </c>
      <c r="M24" s="78">
        <f ca="1">GetFileList("P:\TP et Raccodement\FICHES CREES RACCORDEMENT\2 - SAV + COMPL + PASSAGE W XV A SAISIR DANS AX\23-10-2019\*REMONTAGE*.pdf")</f>
        <v>0</v>
      </c>
      <c r="N24" s="61"/>
      <c r="O24" s="73">
        <f t="shared" ca="1" si="1"/>
        <v>0</v>
      </c>
    </row>
    <row r="25" spans="1:15" ht="16.5" x14ac:dyDescent="0.3">
      <c r="A25" s="59">
        <v>43762</v>
      </c>
      <c r="B25" s="74">
        <f t="shared" ca="1" si="0"/>
        <v>0</v>
      </c>
      <c r="C25" s="67">
        <f ca="1">GetFileList("P:\TP et Raccodement\FICHES CREES RACCORDEMENT\1 - RACCOS A SAISIR DANS AX\24-10-2019\*LM RACCO*.pdf")</f>
        <v>0</v>
      </c>
      <c r="D25" s="67">
        <f ca="1">GetFileList("P:\TP et Raccodement\FICHES CREES RACCORDEMENT\1 - RACCOS A SAISIR DANS AX\24-10-2019\*LR RACCO*.pdf")</f>
        <v>0</v>
      </c>
      <c r="E25" s="68">
        <f ca="1">GetFileList("P:\TP et Raccodement\FICHES CREES RACCORDEMENT\1 - RACCOS A SAISIR DANS AX\24-10-2019\*CL RACCO*.pdf")</f>
        <v>0</v>
      </c>
      <c r="F25" s="75">
        <f t="shared" ca="1" si="2"/>
        <v>0</v>
      </c>
      <c r="G25" s="67">
        <f ca="1">GetFileList("P:\TP et Raccodement\FICHES CREES RACCORDEMENT\2 - SAV + COMPL + PASSAGE W XV A SAISIR DANS AX\24-10-2019\*LM PASS*.pdf")</f>
        <v>0</v>
      </c>
      <c r="H25" s="67">
        <f ca="1">GetFileList("P:\TP et Raccodement\FICHES CREES RACCORDEMENT\2 - SAV + COMPL + PASSAGE W XV A SAISIR DANS AX\24-10-2019\*LR PASS*.pdf")</f>
        <v>0</v>
      </c>
      <c r="I25" s="68">
        <f ca="1">GetFileList("P:\TP et Raccodement\FICHES CREES RACCORDEMENT\2 - SAV + COMPL + PASSAGE W XV A SAISIR DANS AX\24-10-2019\*CL PASS*.pdf")</f>
        <v>0</v>
      </c>
      <c r="J25" s="76">
        <f ca="1">GetFileList("P:\TP et Raccodement\FICHES CREES RACCORDEMENT\2 - SAV + COMPL + PASSAGE W XV A SAISIR DANS AX\24-10-2019\*SAV*.pdf")</f>
        <v>0</v>
      </c>
      <c r="K25" s="77">
        <f ca="1">GetFileList("P:\TP et Raccodement\FICHES CREES RACCORDEMENT\2 - SAV + COMPL + PASSAGE W XV A SAISIR DANS AX\24-10-2019\*COMPLEMENT*.pdf")</f>
        <v>0</v>
      </c>
      <c r="L25" s="77">
        <f ca="1">GetFileList("P:\TP et Raccodement\FICHES CREES RACCORDEMENT\2 - SAV + COMPL + PASSAGE W XV A SAISIR DANS AX\24-10-2019\*REPRISE*.pdf")</f>
        <v>0</v>
      </c>
      <c r="M25" s="78">
        <f ca="1">GetFileList("P:\TP et Raccodement\FICHES CREES RACCORDEMENT\2 - SAV + COMPL + PASSAGE W XV A SAISIR DANS AX\24-10-2019\*REMONTAGE*.pdf")</f>
        <v>0</v>
      </c>
      <c r="N25" s="61"/>
      <c r="O25" s="73">
        <f t="shared" ca="1" si="1"/>
        <v>0</v>
      </c>
    </row>
    <row r="26" spans="1:15" ht="16.5" x14ac:dyDescent="0.3">
      <c r="A26" s="59">
        <v>43763</v>
      </c>
      <c r="B26" s="74">
        <f t="shared" ca="1" si="0"/>
        <v>0</v>
      </c>
      <c r="C26" s="67">
        <f ca="1">GetFileList("P:\TP et Raccodement\FICHES CREES RACCORDEMENT\1 - RACCOS A SAISIR DANS AX\25-10-2019\*LM RACCO*.pdf")</f>
        <v>0</v>
      </c>
      <c r="D26" s="67">
        <f ca="1">GetFileList("P:\TP et Raccodement\FICHES CREES RACCORDEMENT\1 - RACCOS A SAISIR DANS AX\25-10-2019\*LR RACCO*.pdf")</f>
        <v>0</v>
      </c>
      <c r="E26" s="68">
        <f ca="1">GetFileList("P:\TP et Raccodement\FICHES CREES RACCORDEMENT\1 - RACCOS A SAISIR DANS AX\25-10-2019\*CL RACCO*.pdf")</f>
        <v>0</v>
      </c>
      <c r="F26" s="75">
        <f t="shared" ca="1" si="2"/>
        <v>0</v>
      </c>
      <c r="G26" s="67">
        <f ca="1">GetFileList("P:\TP et Raccodement\FICHES CREES RACCORDEMENT\2 - SAV + COMPL + PASSAGE W XV A SAISIR DANS AX\25-10-2019\*LM PASS*.pdf")</f>
        <v>0</v>
      </c>
      <c r="H26" s="67">
        <f ca="1">GetFileList("P:\TP et Raccodement\FICHES CREES RACCORDEMENT\2 - SAV + COMPL + PASSAGE W XV A SAISIR DANS AX\25-10-2019\*LR PASS*.pdf")</f>
        <v>0</v>
      </c>
      <c r="I26" s="68">
        <f ca="1">GetFileList("P:\TP et Raccodement\FICHES CREES RACCORDEMENT\2 - SAV + COMPL + PASSAGE W XV A SAISIR DANS AX\25-10-2019\*CL PASS*.pdf")</f>
        <v>0</v>
      </c>
      <c r="J26" s="76">
        <f ca="1">GetFileList("P:\TP et Raccodement\FICHES CREES RACCORDEMENT\2 - SAV + COMPL + PASSAGE W XV A SAISIR DANS AX\25-10-2019\*SAV*.pdf")</f>
        <v>0</v>
      </c>
      <c r="K26" s="77">
        <f ca="1">GetFileList("P:\TP et Raccodement\FICHES CREES RACCORDEMENT\2 - SAV + COMPL + PASSAGE W XV A SAISIR DANS AX\25-10-2019\*COMPLEMENT*.pdf")</f>
        <v>0</v>
      </c>
      <c r="L26" s="77">
        <f ca="1">GetFileList("P:\TP et Raccodement\FICHES CREES RACCORDEMENT\2 - SAV + COMPL + PASSAGE W XV A SAISIR DANS AX\25-10-2019\*REPRISE*.pdf")</f>
        <v>0</v>
      </c>
      <c r="M26" s="78">
        <f ca="1">GetFileList("P:\TP et Raccodement\FICHES CREES RACCORDEMENT\2 - SAV + COMPL + PASSAGE W XV A SAISIR DANS AX\25-10-2019\*REMONTAGE*.pdf")</f>
        <v>0</v>
      </c>
      <c r="N26" s="61"/>
      <c r="O26" s="73">
        <f t="shared" ca="1" si="1"/>
        <v>0</v>
      </c>
    </row>
    <row r="27" spans="1:15" ht="16.5" x14ac:dyDescent="0.3">
      <c r="A27" s="59">
        <v>43764</v>
      </c>
      <c r="B27" s="74">
        <f t="shared" ca="1" si="0"/>
        <v>0</v>
      </c>
      <c r="C27" s="67">
        <f ca="1">GetFileList("P:\TP et Raccodement\FICHES CREES RACCORDEMENT\1 - RACCOS A SAISIR DANS AX\26-10-2019\*LM RACCO*.pdf")</f>
        <v>0</v>
      </c>
      <c r="D27" s="67">
        <f ca="1">GetFileList("P:\TP et Raccodement\FICHES CREES RACCORDEMENT\1 - RACCOS A SAISIR DANS AX\26-10-2019\*LR RACCO*.pdf")</f>
        <v>0</v>
      </c>
      <c r="E27" s="68">
        <f ca="1">GetFileList("P:\TP et Raccodement\FICHES CREES RACCORDEMENT\1 - RACCOS A SAISIR DANS AX\26-10-2019\*CL RACCO*.pdf")</f>
        <v>0</v>
      </c>
      <c r="F27" s="75">
        <f t="shared" ca="1" si="2"/>
        <v>0</v>
      </c>
      <c r="G27" s="67">
        <f ca="1">GetFileList("P:\TP et Raccodement\FICHES CREES RACCORDEMENT\2 - SAV + COMPL + PASSAGE W XV A SAISIR DANS AX\26-10-2019\*LM PASS*.pdf")</f>
        <v>0</v>
      </c>
      <c r="H27" s="67">
        <f ca="1">GetFileList("P:\TP et Raccodement\FICHES CREES RACCORDEMENT\2 - SAV + COMPL + PASSAGE W XV A SAISIR DANS AX\26-10-2019\*LR PASS*.pdf")</f>
        <v>0</v>
      </c>
      <c r="I27" s="68">
        <f ca="1">GetFileList("P:\TP et Raccodement\FICHES CREES RACCORDEMENT\2 - SAV + COMPL + PASSAGE W XV A SAISIR DANS AX\26-10-2019\*CL PASS*.pdf")</f>
        <v>0</v>
      </c>
      <c r="J27" s="76">
        <f ca="1">GetFileList("P:\TP et Raccodement\FICHES CREES RACCORDEMENT\2 - SAV + COMPL + PASSAGE W XV A SAISIR DANS AX\26-10-2019\*SAV*.pdf")</f>
        <v>0</v>
      </c>
      <c r="K27" s="77">
        <f ca="1">GetFileList("P:\TP et Raccodement\FICHES CREES RACCORDEMENT\2 - SAV + COMPL + PASSAGE W XV A SAISIR DANS AX\26-10-2019\*COMPLEMENT*.pdf")</f>
        <v>0</v>
      </c>
      <c r="L27" s="77">
        <f ca="1">GetFileList("P:\TP et Raccodement\FICHES CREES RACCORDEMENT\2 - SAV + COMPL + PASSAGE W XV A SAISIR DANS AX\26-10-2019\*REPRISE*.pdf")</f>
        <v>0</v>
      </c>
      <c r="M27" s="78">
        <f ca="1">GetFileList("P:\TP et Raccodement\FICHES CREES RACCORDEMENT\2 - SAV + COMPL + PASSAGE W XV A SAISIR DANS AX\26-10-2019\*REMONTAGE*.pdf")</f>
        <v>0</v>
      </c>
      <c r="N27" s="61"/>
      <c r="O27" s="73">
        <f t="shared" ca="1" si="1"/>
        <v>0</v>
      </c>
    </row>
    <row r="28" spans="1:15" ht="16.5" x14ac:dyDescent="0.3">
      <c r="A28" s="88">
        <v>43765</v>
      </c>
      <c r="B28" s="89">
        <f t="shared" ca="1" si="0"/>
        <v>0</v>
      </c>
      <c r="C28" s="90">
        <f ca="1">GetFileList("P:\TP et Raccodement\FICHES CREES RACCORDEMENT\1 - RACCOS A SAISIR DANS AX\27-10-2019\*LM RACCO*.pdf")</f>
        <v>0</v>
      </c>
      <c r="D28" s="90">
        <f ca="1">GetFileList("P:\TP et Raccodement\FICHES CREES RACCORDEMENT\1 - RACCOS A SAISIR DANS AX\27-10-2019\*LR RACCO*.pdf")</f>
        <v>0</v>
      </c>
      <c r="E28" s="91">
        <f ca="1">GetFileList("P:\TP et Raccodement\FICHES CREES RACCORDEMENT\1 - RACCOS A SAISIR DANS AX\27-10-2019\*CL RACCO*.pdf")</f>
        <v>0</v>
      </c>
      <c r="F28" s="92">
        <f t="shared" ca="1" si="2"/>
        <v>0</v>
      </c>
      <c r="G28" s="90">
        <f ca="1">GetFileList("P:\TP et Raccodement\FICHES CREES RACCORDEMENT\2 - SAV + COMPL + PASSAGE W XV A SAISIR DANS AX\27-10-2019\*LM PASS*.pdf")</f>
        <v>0</v>
      </c>
      <c r="H28" s="90">
        <f ca="1">GetFileList("P:\TP et Raccodement\FICHES CREES RACCORDEMENT\2 - SAV + COMPL + PASSAGE W XV A SAISIR DANS AX\27-10-2019\*LR PASS*.pdf")</f>
        <v>0</v>
      </c>
      <c r="I28" s="91">
        <f ca="1">GetFileList("P:\TP et Raccodement\FICHES CREES RACCORDEMENT\2 - SAV + COMPL + PASSAGE W XV A SAISIR DANS AX\27-10-2019\*CL PASS*.pdf")</f>
        <v>0</v>
      </c>
      <c r="J28" s="93">
        <f ca="1">GetFileList("P:\TP et Raccodement\FICHES CREES RACCORDEMENT\2 - SAV + COMPL + PASSAGE W XV A SAISIR DANS AX\27-10-2019\*SAV*.pdf")</f>
        <v>0</v>
      </c>
      <c r="K28" s="94">
        <f ca="1">GetFileList("P:\TP et Raccodement\FICHES CREES RACCORDEMENT\2 - SAV + COMPL + PASSAGE W XV A SAISIR DANS AX\27-10-2019\*COMPLEMENT*.pdf")</f>
        <v>0</v>
      </c>
      <c r="L28" s="94">
        <f ca="1">GetFileList("P:\TP et Raccodement\FICHES CREES RACCORDEMENT\2 - SAV + COMPL + PASSAGE W XV A SAISIR DANS AX\27-10-2019\*REPRISE*.pdf")</f>
        <v>0</v>
      </c>
      <c r="M28" s="95">
        <f ca="1">GetFileList("P:\TP et Raccodement\FICHES CREES RACCORDEMENT\2 - SAV + COMPL + PASSAGE W XV A SAISIR DANS AX\27-10-2019\*REMONTAGE*.pdf")</f>
        <v>0</v>
      </c>
      <c r="N28" s="61"/>
      <c r="O28" s="73">
        <f t="shared" ca="1" si="1"/>
        <v>0</v>
      </c>
    </row>
    <row r="29" spans="1:15" ht="16.5" x14ac:dyDescent="0.3">
      <c r="A29" s="59">
        <v>43766</v>
      </c>
      <c r="B29" s="74">
        <f t="shared" ca="1" si="0"/>
        <v>0</v>
      </c>
      <c r="C29" s="67">
        <f ca="1">GetFileList("P:\TP et Raccodement\FICHES CREES RACCORDEMENT\1 - RACCOS A SAISIR DANS AX\28-10-2019\*LM RACCO*.pdf")</f>
        <v>0</v>
      </c>
      <c r="D29" s="67">
        <f ca="1">GetFileList("P:\TP et Raccodement\FICHES CREES RACCORDEMENT\1 - RACCOS A SAISIR DANS AX\28-10-2019\*LR RACCO*.pdf")</f>
        <v>0</v>
      </c>
      <c r="E29" s="68">
        <f ca="1">GetFileList("P:\TP et Raccodement\FICHES CREES RACCORDEMENT\1 - RACCOS A SAISIR DANS AX\28-10-2019\*CL RACCO*.pdf")</f>
        <v>0</v>
      </c>
      <c r="F29" s="75">
        <f t="shared" ca="1" si="2"/>
        <v>0</v>
      </c>
      <c r="G29" s="67">
        <f ca="1">GetFileList("P:\TP et Raccodement\FICHES CREES RACCORDEMENT\2 - SAV + COMPL + PASSAGE W XV A SAISIR DANS AX\28-10-2019\*LM PASS*.pdf")</f>
        <v>0</v>
      </c>
      <c r="H29" s="67">
        <f ca="1">GetFileList("P:\TP et Raccodement\FICHES CREES RACCORDEMENT\2 - SAV + COMPL + PASSAGE W XV A SAISIR DANS AX\28-10-2019\*LR PASS*.pdf")</f>
        <v>0</v>
      </c>
      <c r="I29" s="68">
        <f ca="1">GetFileList("P:\TP et Raccodement\FICHES CREES RACCORDEMENT\2 - SAV + COMPL + PASSAGE W XV A SAISIR DANS AX\28-10-2019\*CL PASS*.pdf")</f>
        <v>0</v>
      </c>
      <c r="J29" s="76">
        <f ca="1">GetFileList("P:\TP et Raccodement\FICHES CREES RACCORDEMENT\2 - SAV + COMPL + PASSAGE W XV A SAISIR DANS AX\28-10-2019\*SAV*.pdf")</f>
        <v>0</v>
      </c>
      <c r="K29" s="77">
        <f ca="1">GetFileList("P:\TP et Raccodement\FICHES CREES RACCORDEMENT\2 - SAV + COMPL + PASSAGE W XV A SAISIR DANS AX\28-10-2019\*COMPLEMENT*.pdf")</f>
        <v>0</v>
      </c>
      <c r="L29" s="77">
        <f ca="1">GetFileList("P:\TP et Raccodement\FICHES CREES RACCORDEMENT\2 - SAV + COMPL + PASSAGE W XV A SAISIR DANS AX\28-10-2019\*REPRISE*.pdf")</f>
        <v>0</v>
      </c>
      <c r="M29" s="78">
        <f ca="1">GetFileList("P:\TP et Raccodement\FICHES CREES RACCORDEMENT\2 - SAV + COMPL + PASSAGE W XV A SAISIR DANS AX\28-10-2019\*REMONTAGE*.pdf")</f>
        <v>0</v>
      </c>
      <c r="N29" s="61"/>
      <c r="O29" s="73">
        <f t="shared" ca="1" si="1"/>
        <v>0</v>
      </c>
    </row>
    <row r="30" spans="1:15" ht="16.5" x14ac:dyDescent="0.3">
      <c r="A30" s="59">
        <v>43767</v>
      </c>
      <c r="B30" s="74">
        <f t="shared" ca="1" si="0"/>
        <v>0</v>
      </c>
      <c r="C30" s="67">
        <f ca="1">GetFileList("P:\TP et Raccodement\FICHES CREES RACCORDEMENT\1 - RACCOS A SAISIR DANS AX\29-10-2019\*LM RACCO*.pdf")</f>
        <v>0</v>
      </c>
      <c r="D30" s="67">
        <f ca="1">GetFileList("P:\TP et Raccodement\FICHES CREES RACCORDEMENT\1 - RACCOS A SAISIR DANS AX\29-10-2019\*LR RACCO*.pdf")</f>
        <v>0</v>
      </c>
      <c r="E30" s="68">
        <f ca="1">GetFileList("P:\TP et Raccodement\FICHES CREES RACCORDEMENT\1 - RACCOS A SAISIR DANS AX\29-10-2019\*CL RACCO*.pdf")</f>
        <v>0</v>
      </c>
      <c r="F30" s="75">
        <f t="shared" ca="1" si="2"/>
        <v>0</v>
      </c>
      <c r="G30" s="67">
        <f ca="1">GetFileList("P:\TP et Raccodement\FICHES CREES RACCORDEMENT\2 - SAV + COMPL + PASSAGE W XV A SAISIR DANS AX\29-10-2019\*LM PASS*.pdf")</f>
        <v>0</v>
      </c>
      <c r="H30" s="67">
        <f ca="1">GetFileList("P:\TP et Raccodement\FICHES CREES RACCORDEMENT\2 - SAV + COMPL + PASSAGE W XV A SAISIR DANS AX\29-10-2019\*LR PASS*.pdf")</f>
        <v>0</v>
      </c>
      <c r="I30" s="68">
        <f ca="1">GetFileList("P:\TP et Raccodement\FICHES CREES RACCORDEMENT\2 - SAV + COMPL + PASSAGE W XV A SAISIR DANS AX\29-10-2019\*CL PASS*.pdf")</f>
        <v>0</v>
      </c>
      <c r="J30" s="76">
        <f ca="1">GetFileList("P:\TP et Raccodement\FICHES CREES RACCORDEMENT\2 - SAV + COMPL + PASSAGE W XV A SAISIR DANS AX\29-10-2019\*SAV*.pdf")</f>
        <v>0</v>
      </c>
      <c r="K30" s="77">
        <f ca="1">GetFileList("P:\TP et Raccodement\FICHES CREES RACCORDEMENT\2 - SAV + COMPL + PASSAGE W XV A SAISIR DANS AX\29-10-2019\*COMPLEMENT*.pdf")</f>
        <v>0</v>
      </c>
      <c r="L30" s="77">
        <f ca="1">GetFileList("P:\TP et Raccodement\FICHES CREES RACCORDEMENT\2 - SAV + COMPL + PASSAGE W XV A SAISIR DANS AX\29-10-2019\*REPRISE*.pdf")</f>
        <v>0</v>
      </c>
      <c r="M30" s="78">
        <f ca="1">GetFileList("P:\TP et Raccodement\FICHES CREES RACCORDEMENT\2 - SAV + COMPL + PASSAGE W XV A SAISIR DANS AX\29-10-2019\*REMONTAGE*.pdf")</f>
        <v>0</v>
      </c>
      <c r="N30" s="61"/>
      <c r="O30" s="73">
        <f t="shared" ca="1" si="1"/>
        <v>0</v>
      </c>
    </row>
    <row r="31" spans="1:15" ht="16.5" x14ac:dyDescent="0.3">
      <c r="A31" s="59">
        <v>43768</v>
      </c>
      <c r="B31" s="74">
        <f t="shared" ca="1" si="0"/>
        <v>0</v>
      </c>
      <c r="C31" s="67">
        <f ca="1">GetFileList("P:\TP et Raccodement\FICHES CREES RACCORDEMENT\1 - RACCOS A SAISIR DANS AX\30-10-2019\*LM RACCO*.pdf")</f>
        <v>0</v>
      </c>
      <c r="D31" s="67">
        <f ca="1">GetFileList("P:\TP et Raccodement\FICHES CREES RACCORDEMENT\1 - RACCOS A SAISIR DANS AX\30-10-2019\*LR RACCO*.pdf")</f>
        <v>0</v>
      </c>
      <c r="E31" s="68">
        <f ca="1">GetFileList("P:\TP et Raccodement\FICHES CREES RACCORDEMENT\1 - RACCOS A SAISIR DANS AX\30-10-2019\*CL RACCO*.pdf")</f>
        <v>0</v>
      </c>
      <c r="F31" s="75">
        <f t="shared" ca="1" si="2"/>
        <v>0</v>
      </c>
      <c r="G31" s="67">
        <f ca="1">GetFileList("P:\TP et Raccodement\FICHES CREES RACCORDEMENT\2 - SAV + COMPL + PASSAGE W XV A SAISIR DANS AX\30-10-2019\*LM PASS*.pdf")</f>
        <v>0</v>
      </c>
      <c r="H31" s="67">
        <f ca="1">GetFileList("P:\TP et Raccodement\FICHES CREES RACCORDEMENT\2 - SAV + COMPL + PASSAGE W XV A SAISIR DANS AX\30-10-2019\*LR PASS*.pdf")</f>
        <v>0</v>
      </c>
      <c r="I31" s="68">
        <f ca="1">GetFileList("P:\TP et Raccodement\FICHES CREES RACCORDEMENT\2 - SAV + COMPL + PASSAGE W XV A SAISIR DANS AX\30-10-2019\*CL PASS*.pdf")</f>
        <v>0</v>
      </c>
      <c r="J31" s="76">
        <f ca="1">GetFileList("P:\TP et Raccodement\FICHES CREES RACCORDEMENT\2 - SAV + COMPL + PASSAGE W XV A SAISIR DANS AX\30-10-2019\*SAV*.pdf")</f>
        <v>0</v>
      </c>
      <c r="K31" s="77">
        <f ca="1">GetFileList("P:\TP et Raccodement\FICHES CREES RACCORDEMENT\2 - SAV + COMPL + PASSAGE W XV A SAISIR DANS AX\30-10-2019\*COMPLEMENT*.pdf")</f>
        <v>0</v>
      </c>
      <c r="L31" s="77">
        <f ca="1">GetFileList("P:\TP et Raccodement\FICHES CREES RACCORDEMENT\2 - SAV + COMPL + PASSAGE W XV A SAISIR DANS AX\30-10-2019\*REPRISE*.pdf")</f>
        <v>0</v>
      </c>
      <c r="M31" s="78">
        <f ca="1">GetFileList("P:\TP et Raccodement\FICHES CREES RACCORDEMENT\2 - SAV + COMPL + PASSAGE W XV A SAISIR DANS AX\30-10-2019\*REMONTAGE*.pdf")</f>
        <v>0</v>
      </c>
      <c r="N31" s="61"/>
      <c r="O31" s="73">
        <f t="shared" ca="1" si="1"/>
        <v>0</v>
      </c>
    </row>
    <row r="32" spans="1:15" ht="17.25" thickBot="1" x14ac:dyDescent="0.35">
      <c r="A32" s="59">
        <v>43769</v>
      </c>
      <c r="B32" s="74">
        <f t="shared" ca="1" si="0"/>
        <v>0</v>
      </c>
      <c r="C32" s="67">
        <f ca="1">GetFileList("P:\TP et Raccodement\FICHES CREES RACCORDEMENT\1 - RACCOS A SAISIR DANS AX\31-10-2019\*LM RACCO*.pdf")</f>
        <v>0</v>
      </c>
      <c r="D32" s="67">
        <f ca="1">GetFileList("P:\TP et Raccodement\FICHES CREES RACCORDEMENT\1 - RACCOS A SAISIR DANS AX\31-10-2019\*LR RACCO*.pdf")</f>
        <v>0</v>
      </c>
      <c r="E32" s="68">
        <f ca="1">GetFileList("P:\TP et Raccodement\FICHES CREES RACCORDEMENT\1 - RACCOS A SAISIR DANS AX\31-10-2019\*CL RACCO*.pdf")</f>
        <v>0</v>
      </c>
      <c r="F32" s="75">
        <f t="shared" ca="1" si="2"/>
        <v>0</v>
      </c>
      <c r="G32" s="67">
        <f ca="1">GetFileList("P:\TP et Raccodement\FICHES CREES RACCORDEMENT\2 - SAV + COMPL + PASSAGE W XV A SAISIR DANS AX\31-10-2019\*LM PASS*.pdf")</f>
        <v>0</v>
      </c>
      <c r="H32" s="67">
        <f ca="1">GetFileList("P:\TP et Raccodement\FICHES CREES RACCORDEMENT\2 - SAV + COMPL + PASSAGE W XV A SAISIR DANS AX\31-10-2019\*LR PASS*.pdf")</f>
        <v>0</v>
      </c>
      <c r="I32" s="68">
        <f ca="1">GetFileList("P:\TP et Raccodement\FICHES CREES RACCORDEMENT\2 - SAV + COMPL + PASSAGE W XV A SAISIR DANS AX\31-10-2019\*CL PASS*.pdf")</f>
        <v>0</v>
      </c>
      <c r="J32" s="79">
        <f ca="1">GetFileList("P:\TP et Raccodement\FICHES CREES RACCORDEMENT\2 - SAV + COMPL + PASSAGE W XV A SAISIR DANS AX\31-10-2019\*SAV*.pdf")</f>
        <v>0</v>
      </c>
      <c r="K32" s="80">
        <f ca="1">GetFileList("P:\TP et Raccodement\FICHES CREES RACCORDEMENT\2 - SAV + COMPL + PASSAGE W XV A SAISIR DANS AX\31-10-2019\*COMPLEMENT*.pdf")</f>
        <v>0</v>
      </c>
      <c r="L32" s="80">
        <f ca="1">GetFileList("P:\TP et Raccodement\FICHES CREES RACCORDEMENT\2 - SAV + COMPL + PASSAGE W XV A SAISIR DANS AX\31-10-2019\*REPRISE*.pdf")</f>
        <v>0</v>
      </c>
      <c r="M32" s="81">
        <f ca="1">GetFileList("P:\TP et Raccodement\FICHES CREES RACCORDEMENT\2 - SAV + COMPL + PASSAGE W XV A SAISIR DANS AX\31-10-2019\*REMONTAGE*.pdf")</f>
        <v>0</v>
      </c>
      <c r="N32" s="61"/>
      <c r="O32" s="73">
        <f t="shared" ca="1" si="1"/>
        <v>0</v>
      </c>
    </row>
    <row r="33" spans="1:15" ht="18" thickBot="1" x14ac:dyDescent="0.35">
      <c r="A33" s="136" t="s">
        <v>10</v>
      </c>
      <c r="B33" s="132">
        <f ca="1">SUM(B2:B32)</f>
        <v>0</v>
      </c>
      <c r="C33" s="133">
        <f t="shared" ref="C33:D33" ca="1" si="3">SUM(C2:C32)</f>
        <v>0</v>
      </c>
      <c r="D33" s="133">
        <f t="shared" ca="1" si="3"/>
        <v>0</v>
      </c>
      <c r="E33" s="134">
        <f ca="1">SUM(E2:E32)</f>
        <v>0</v>
      </c>
      <c r="F33" s="69">
        <f ca="1">SUM(F2:F32)</f>
        <v>0</v>
      </c>
      <c r="G33" s="70">
        <f t="shared" ref="G33:I33" ca="1" si="4">SUM(G2:G32)</f>
        <v>0</v>
      </c>
      <c r="H33" s="70">
        <f t="shared" ca="1" si="4"/>
        <v>0</v>
      </c>
      <c r="I33" s="86">
        <f t="shared" ca="1" si="4"/>
        <v>0</v>
      </c>
      <c r="J33" s="87">
        <f ca="1">SUM(J2:J32)</f>
        <v>0</v>
      </c>
      <c r="K33" s="82">
        <f t="shared" ref="K33:M33" ca="1" si="5">SUM(K2:K32)</f>
        <v>0</v>
      </c>
      <c r="L33" s="82">
        <f t="shared" ca="1" si="5"/>
        <v>0</v>
      </c>
      <c r="M33" s="83">
        <f t="shared" ca="1" si="5"/>
        <v>0</v>
      </c>
      <c r="N33" s="62"/>
      <c r="O33" s="72">
        <f ca="1">SUM(O2:O32)</f>
        <v>0</v>
      </c>
    </row>
  </sheetData>
  <conditionalFormatting sqref="B2:B32">
    <cfRule type="dataBar" priority="5">
      <dataBar>
        <cfvo type="min"/>
        <cfvo type="max"/>
        <color rgb="FF41A964"/>
      </dataBar>
      <extLst>
        <ext xmlns:x14="http://schemas.microsoft.com/office/spreadsheetml/2009/9/main" uri="{B025F937-C7B1-47D3-B67F-A62EFF666E3E}">
          <x14:id>{76A77840-B335-42E1-AB1F-474A89B0BA2F}</x14:id>
        </ext>
      </extLst>
    </cfRule>
  </conditionalFormatting>
  <conditionalFormatting sqref="B2:B5 B8:B12 B15:B19 B22:B26 B29:B32">
    <cfRule type="iconSet" priority="4">
      <iconSet iconSet="3Flags">
        <cfvo type="percent" val="0"/>
        <cfvo type="percent" val="33"/>
        <cfvo type="percent" val="67"/>
      </iconSet>
    </cfRule>
  </conditionalFormatting>
  <conditionalFormatting sqref="F2:F32">
    <cfRule type="dataBar" priority="3">
      <dataBar>
        <cfvo type="min"/>
        <cfvo type="max"/>
        <color rgb="FF53BD76"/>
      </dataBar>
      <extLst>
        <ext xmlns:x14="http://schemas.microsoft.com/office/spreadsheetml/2009/9/main" uri="{B025F937-C7B1-47D3-B67F-A62EFF666E3E}">
          <x14:id>{F9142A09-3C0A-412A-80B9-A3358BF6C8D7}</x14:id>
        </ext>
      </extLst>
    </cfRule>
  </conditionalFormatting>
  <conditionalFormatting sqref="F2:F5 F8:F12 F15:F19 F22:F26 F29:F32">
    <cfRule type="iconSet" priority="2">
      <iconSet iconSet="3Flags">
        <cfvo type="percent" val="0"/>
        <cfvo type="percent" val="33"/>
        <cfvo type="percent" val="67"/>
      </iconSet>
    </cfRule>
  </conditionalFormatting>
  <conditionalFormatting sqref="O2:O32">
    <cfRule type="cellIs" dxfId="5" priority="1" operator="equal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6A77840-B335-42E1-AB1F-474A89B0BA2F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B2:B32</xm:sqref>
        </x14:conditionalFormatting>
        <x14:conditionalFormatting xmlns:xm="http://schemas.microsoft.com/office/excel/2006/main">
          <x14:cfRule type="dataBar" id="{F9142A09-3C0A-412A-80B9-A3358BF6C8D7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F2:F32</xm:sqref>
        </x14:conditionalFormatting>
      </x14:conditionalFormatting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7030A0"/>
  </sheetPr>
  <dimension ref="A1:P32"/>
  <sheetViews>
    <sheetView showGridLines="0" zoomScaleNormal="10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2.140625" customWidth="1"/>
    <col min="2" max="2" width="14.85546875" bestFit="1" customWidth="1"/>
    <col min="6" max="6" width="13.42578125" customWidth="1"/>
    <col min="13" max="13" width="12.28515625" bestFit="1" customWidth="1"/>
    <col min="14" max="14" width="0.85546875" customWidth="1"/>
    <col min="15" max="15" width="9.140625" style="1"/>
    <col min="16" max="16" width="10.7109375" bestFit="1" customWidth="1"/>
  </cols>
  <sheetData>
    <row r="1" spans="1:16" ht="31.5" customHeight="1" x14ac:dyDescent="0.25">
      <c r="A1" s="58" t="s">
        <v>11</v>
      </c>
      <c r="B1" s="66" t="s">
        <v>41</v>
      </c>
      <c r="C1" s="64" t="s">
        <v>1</v>
      </c>
      <c r="D1" s="64" t="s">
        <v>2</v>
      </c>
      <c r="E1" s="65" t="s">
        <v>3</v>
      </c>
      <c r="F1" s="71" t="s">
        <v>42</v>
      </c>
      <c r="G1" s="84" t="s">
        <v>5</v>
      </c>
      <c r="H1" s="84" t="s">
        <v>2</v>
      </c>
      <c r="I1" s="85" t="s">
        <v>3</v>
      </c>
      <c r="J1" s="63" t="s">
        <v>43</v>
      </c>
      <c r="K1" s="64" t="s">
        <v>44</v>
      </c>
      <c r="L1" s="64" t="s">
        <v>45</v>
      </c>
      <c r="M1" s="65" t="s">
        <v>46</v>
      </c>
      <c r="N1" s="60"/>
      <c r="O1" s="71" t="s">
        <v>10</v>
      </c>
    </row>
    <row r="2" spans="1:16" ht="16.5" x14ac:dyDescent="0.3">
      <c r="A2" s="88">
        <v>43405</v>
      </c>
      <c r="B2" s="89">
        <f ca="1">C2+D2+E2</f>
        <v>0</v>
      </c>
      <c r="C2" s="90">
        <f ca="1">GetFileList("P:\TP et Raccodement\FICHES CREES RACCORDEMENT\1 - RACCOS A SAISIR DANS AX\01-11-2019\*LM RACCO*.pdf")</f>
        <v>0</v>
      </c>
      <c r="D2" s="90">
        <f ca="1">GetFileList("P:\TP et Raccodement\FICHES CREES RACCORDEMENT\1 - RACCOS A SAISIR DANS AX\01-11-2019\*LR RACCO*.pdf")</f>
        <v>0</v>
      </c>
      <c r="E2" s="91">
        <f ca="1">GetFileList("P:\TP et Raccodement\FICHES CREES RACCORDEMENT\1 - RACCOS A SAISIR DANS AX\01-11-2019\*CL RACCO*.pdf")</f>
        <v>0</v>
      </c>
      <c r="F2" s="92">
        <f ca="1">G2+H2+I2</f>
        <v>0</v>
      </c>
      <c r="G2" s="90">
        <f ca="1">GetFileList("P:\TP et Raccodement\FICHES CREES RACCORDEMENT\2 - SAV + COMPL + PASSAGE W XV A SAISIR DANS AX\01-11-2019\*LM PASS*.pdf")</f>
        <v>0</v>
      </c>
      <c r="H2" s="90">
        <f ca="1">GetFileList("P:\TP et Raccodement\FICHES CREES RACCORDEMENT\2 - SAV + COMPL + PASSAGE W XV A SAISIR DANS AX\01-11-2019\*LR PASS*.pdf")</f>
        <v>0</v>
      </c>
      <c r="I2" s="91">
        <f ca="1">GetFileList("P:\TP et Raccodement\FICHES CREES RACCORDEMENT\2 - SAV + COMPL + PASSAGE W XV A SAISIR DANS AX\01-11-2019\*CL PASS*.pdf")</f>
        <v>0</v>
      </c>
      <c r="J2" s="93">
        <f ca="1">GetFileList("P:\TP et Raccodement\FICHES CREES RACCORDEMENT\2 - SAV + COMPL + PASSAGE W XV A SAISIR DANS AX\01-11-2019\*SAV*.pdf")</f>
        <v>0</v>
      </c>
      <c r="K2" s="94">
        <f ca="1">GetFileList("P:\TP et Raccodement\FICHES CREES RACCORDEMENT\2 - SAV + COMPL + PASSAGE W XV A SAISIR DANS AX\01-11-2019\*COMPLEMENT*.pdf")</f>
        <v>0</v>
      </c>
      <c r="L2" s="94">
        <f ca="1">GetFileList("P:\TP et Raccodement\FICHES CREES RACCORDEMENT\2 - SAV + COMPL + PASSAGE W XV A SAISIR DANS AX\01-11-2019\*REPRISE*.pdf")</f>
        <v>0</v>
      </c>
      <c r="M2" s="95">
        <f ca="1">GetFileList("P:\TP et Raccodement\FICHES CREES RACCORDEMENT\2 - SAV + COMPL + PASSAGE W XV A SAISIR DANS AX\01-11-2019\*REMONTAGE*.pdf")</f>
        <v>0</v>
      </c>
      <c r="N2" s="61"/>
      <c r="O2" s="73">
        <f ca="1">B2+F2+J2+K2+L2+M2</f>
        <v>0</v>
      </c>
      <c r="P2" s="54"/>
    </row>
    <row r="3" spans="1:16" ht="16.5" x14ac:dyDescent="0.3">
      <c r="A3" s="59">
        <v>43406</v>
      </c>
      <c r="B3" s="74">
        <f t="shared" ref="B3:B31" ca="1" si="0">C3+D3+E3</f>
        <v>0</v>
      </c>
      <c r="C3" s="67">
        <f ca="1">GetFileList("P:\TP et Raccodement\FICHES CREES RACCORDEMENT\1 - RACCOS A SAISIR DANS AX\02-11-2019\*LM RACCO*.pdf")</f>
        <v>0</v>
      </c>
      <c r="D3" s="67">
        <f ca="1">GetFileList("P:\TP et Raccodement\FICHES CREES RACCORDEMENT\1 - RACCOS A SAISIR DANS AX\02-11-2019\*LR RACCO*.pdf")</f>
        <v>0</v>
      </c>
      <c r="E3" s="68">
        <f ca="1">GetFileList("P:\TP et Raccodement\FICHES CREES RACCORDEMENT\1 - RACCOS A SAISIR DANS AX\02-11-2019\*CL RACCO*.pdf")</f>
        <v>0</v>
      </c>
      <c r="F3" s="75">
        <f ca="1">G3+H3+I3</f>
        <v>0</v>
      </c>
      <c r="G3" s="67">
        <f ca="1">GetFileList("P:\TP et Raccodement\FICHES CREES RACCORDEMENT\2 - SAV + COMPL + PASSAGE W XV A SAISIR DANS AX\02-11-2019\*LM PASS*.pdf")</f>
        <v>0</v>
      </c>
      <c r="H3" s="67">
        <f ca="1">GetFileList("P:\TP et Raccodement\FICHES CREES RACCORDEMENT\2 - SAV + COMPL + PASSAGE W XV A SAISIR DANS AX\02-11-2019\*LR PASS*.pdf")</f>
        <v>0</v>
      </c>
      <c r="I3" s="68">
        <f ca="1">GetFileList("P:\TP et Raccodement\FICHES CREES RACCORDEMENT\2 - SAV + COMPL + PASSAGE W XV A SAISIR DANS AX\02-11-2019\*CL PASS*.pdf")</f>
        <v>0</v>
      </c>
      <c r="J3" s="76">
        <f ca="1">GetFileList("P:\TP et Raccodement\FICHES CREES RACCORDEMENT\2 - SAV + COMPL + PASSAGE W XV A SAISIR DANS AX\02-11-2019\*SAV*.pdf")</f>
        <v>0</v>
      </c>
      <c r="K3" s="77">
        <f ca="1">GetFileList("P:\TP et Raccodement\FICHES CREES RACCORDEMENT\2 - SAV + COMPL + PASSAGE W XV A SAISIR DANS AX\02-11-2019\*COMPLEMENT*.pdf")</f>
        <v>0</v>
      </c>
      <c r="L3" s="77">
        <f ca="1">GetFileList("P:\TP et Raccodement\FICHES CREES RACCORDEMENT\2 - SAV + COMPL + PASSAGE W XV A SAISIR DANS AX\02-11-2019\*REPRISE*.pdf")</f>
        <v>0</v>
      </c>
      <c r="M3" s="78">
        <f ca="1">GetFileList("P:\TP et Raccodement\FICHES CREES RACCORDEMENT\2 - SAV + COMPL + PASSAGE W XV A SAISIR DANS AX\02-11-2019\*REMONTAGE*.pdf")</f>
        <v>0</v>
      </c>
      <c r="N3" s="61"/>
      <c r="O3" s="73">
        <f t="shared" ref="O3:O31" ca="1" si="1">B3+F3+J3+K3+L3+M3</f>
        <v>0</v>
      </c>
    </row>
    <row r="4" spans="1:16" ht="16.5" x14ac:dyDescent="0.3">
      <c r="A4" s="88">
        <v>43407</v>
      </c>
      <c r="B4" s="89">
        <f t="shared" ca="1" si="0"/>
        <v>0</v>
      </c>
      <c r="C4" s="90">
        <f ca="1">GetFileList("P:\TP et Raccodement\FICHES CREES RACCORDEMENT\1 - RACCOS A SAISIR DANS AX\03-11-2019\*LM RACCO*.pdf")</f>
        <v>0</v>
      </c>
      <c r="D4" s="90">
        <f ca="1">GetFileList("P:\TP et Raccodement\FICHES CREES RACCORDEMENT\1 - RACCOS A SAISIR DANS AX\03-11-2019\*LR RACCO*.pdf")</f>
        <v>0</v>
      </c>
      <c r="E4" s="91">
        <f ca="1">GetFileList("P:\TP et Raccodement\FICHES CREES RACCORDEMENT\1 - RACCOS A SAISIR DANS AX\03-11-2019\*CL RACCO*.pdf")</f>
        <v>0</v>
      </c>
      <c r="F4" s="92">
        <f t="shared" ref="F4:F31" ca="1" si="2">G4+H4+I4</f>
        <v>0</v>
      </c>
      <c r="G4" s="90">
        <f ca="1">GetFileList("P:\TP et Raccodement\FICHES CREES RACCORDEMENT\2 - SAV + COMPL + PASSAGE W XV A SAISIR DANS AX\03-11-2019\*LM PASS*.pdf")</f>
        <v>0</v>
      </c>
      <c r="H4" s="90">
        <f ca="1">GetFileList("P:\TP et Raccodement\FICHES CREES RACCORDEMENT\2 - SAV + COMPL + PASSAGE W XV A SAISIR DANS AX\03-11-2019\*LR PASS*.pdf")</f>
        <v>0</v>
      </c>
      <c r="I4" s="91">
        <f ca="1">GetFileList("P:\TP et Raccodement\FICHES CREES RACCORDEMENT\2 - SAV + COMPL + PASSAGE W XV A SAISIR DANS AX\03-11-2019\*CL PASS*.pdf")</f>
        <v>0</v>
      </c>
      <c r="J4" s="93">
        <f ca="1">GetFileList("P:\TP et Raccodement\FICHES CREES RACCORDEMENT\2 - SAV + COMPL + PASSAGE W XV A SAISIR DANS AX\03-11-2019\*SAV*.pdf")</f>
        <v>0</v>
      </c>
      <c r="K4" s="94">
        <f ca="1">GetFileList("P:\TP et Raccodement\FICHES CREES RACCORDEMENT\2 - SAV + COMPL + PASSAGE W XV A SAISIR DANS AX\03-11-2019\*COMPLEMENT*.pdf")</f>
        <v>0</v>
      </c>
      <c r="L4" s="94">
        <f ca="1">GetFileList("P:\TP et Raccodement\FICHES CREES RACCORDEMENT\2 - SAV + COMPL + PASSAGE W XV A SAISIR DANS AX\03-11-2019\*REPRISE*.pdf")</f>
        <v>0</v>
      </c>
      <c r="M4" s="95">
        <f ca="1">GetFileList("P:\TP et Raccodement\FICHES CREES RACCORDEMENT\2 - SAV + COMPL + PASSAGE W XV A SAISIR DANS AX\03-11-2019\*REMONTAGE*.pdf")</f>
        <v>0</v>
      </c>
      <c r="N4" s="61"/>
      <c r="O4" s="73">
        <f t="shared" ca="1" si="1"/>
        <v>0</v>
      </c>
    </row>
    <row r="5" spans="1:16" ht="16.5" x14ac:dyDescent="0.3">
      <c r="A5" s="59">
        <v>43408</v>
      </c>
      <c r="B5" s="74">
        <f t="shared" ca="1" si="0"/>
        <v>0</v>
      </c>
      <c r="C5" s="67">
        <f ca="1">GetFileList("P:\TP et Raccodement\FICHES CREES RACCORDEMENT\1 - RACCOS A SAISIR DANS AX\04-11-2019\*LM RACCO*.pdf")</f>
        <v>0</v>
      </c>
      <c r="D5" s="67">
        <f ca="1">GetFileList("P:\TP et Raccodement\FICHES CREES RACCORDEMENT\1 - RACCOS A SAISIR DANS AX\04-11-2019\*LR RACCO*.pdf")</f>
        <v>0</v>
      </c>
      <c r="E5" s="68">
        <f ca="1">GetFileList("P:\TP et Raccodement\FICHES CREES RACCORDEMENT\1 - RACCOS A SAISIR DANS AX\04-11-2019\*CL RACCO*.pdf")</f>
        <v>0</v>
      </c>
      <c r="F5" s="75">
        <f t="shared" ca="1" si="2"/>
        <v>0</v>
      </c>
      <c r="G5" s="67">
        <f ca="1">GetFileList("P:\TP et Raccodement\FICHES CREES RACCORDEMENT\2 - SAV + COMPL + PASSAGE W XV A SAISIR DANS AX\04-11-2019\*LM PASS*.pdf")</f>
        <v>0</v>
      </c>
      <c r="H5" s="67">
        <f ca="1">GetFileList("P:\TP et Raccodement\FICHES CREES RACCORDEMENT\2 - SAV + COMPL + PASSAGE W XV A SAISIR DANS AX\04-11-2019\*LR PASS*.pdf")</f>
        <v>0</v>
      </c>
      <c r="I5" s="68">
        <f ca="1">GetFileList("P:\TP et Raccodement\FICHES CREES RACCORDEMENT\2 - SAV + COMPL + PASSAGE W XV A SAISIR DANS AX\04-11-2019\*CL PASS*.pdf")</f>
        <v>0</v>
      </c>
      <c r="J5" s="76">
        <f ca="1">GetFileList("P:\TP et Raccodement\FICHES CREES RACCORDEMENT\2 - SAV + COMPL + PASSAGE W XV A SAISIR DANS AX\04-11-2019\*SAV*.pdf")</f>
        <v>0</v>
      </c>
      <c r="K5" s="77">
        <f ca="1">GetFileList("P:\TP et Raccodement\FICHES CREES RACCORDEMENT\2 - SAV + COMPL + PASSAGE W XV A SAISIR DANS AX\04-11-2019\*COMPLEMENT*.pdf")</f>
        <v>0</v>
      </c>
      <c r="L5" s="77">
        <f ca="1">GetFileList("P:\TP et Raccodement\FICHES CREES RACCORDEMENT\2 - SAV + COMPL + PASSAGE W XV A SAISIR DANS AX\04-11-2019\*REPRISE*.pdf")</f>
        <v>0</v>
      </c>
      <c r="M5" s="78">
        <f ca="1">GetFileList("P:\TP et Raccodement\FICHES CREES RACCORDEMENT\2 - SAV + COMPL + PASSAGE W XV A SAISIR DANS AX\04-11-2019\*REMONTAGE*.pdf")</f>
        <v>0</v>
      </c>
      <c r="N5" s="61"/>
      <c r="O5" s="73">
        <f t="shared" ca="1" si="1"/>
        <v>0</v>
      </c>
    </row>
    <row r="6" spans="1:16" ht="16.5" x14ac:dyDescent="0.3">
      <c r="A6" s="59">
        <v>43409</v>
      </c>
      <c r="B6" s="74">
        <f t="shared" ca="1" si="0"/>
        <v>0</v>
      </c>
      <c r="C6" s="67">
        <f ca="1">GetFileList("P:\TP et Raccodement\FICHES CREES RACCORDEMENT\1 - RACCOS A SAISIR DANS AX\05-11-2019\*LM RACCO*.pdf")</f>
        <v>0</v>
      </c>
      <c r="D6" s="67">
        <f ca="1">GetFileList("P:\TP et Raccodement\FICHES CREES RACCORDEMENT\1 - RACCOS A SAISIR DANS AX\05-11-2019\*LR RACCO*.pdf")</f>
        <v>0</v>
      </c>
      <c r="E6" s="68">
        <f ca="1">GetFileList("P:\TP et Raccodement\FICHES CREES RACCORDEMENT\1 - RACCOS A SAISIR DANS AX\05-11-2019\*CL RACCO*.pdf")</f>
        <v>0</v>
      </c>
      <c r="F6" s="75">
        <f t="shared" ca="1" si="2"/>
        <v>0</v>
      </c>
      <c r="G6" s="67">
        <f ca="1">GetFileList("P:\TP et Raccodement\FICHES CREES RACCORDEMENT\2 - SAV + COMPL + PASSAGE W XV A SAISIR DANS AX\05-11-2019\*LM PASS*.pdf")</f>
        <v>0</v>
      </c>
      <c r="H6" s="67">
        <f ca="1">GetFileList("P:\TP et Raccodement\FICHES CREES RACCORDEMENT\2 - SAV + COMPL + PASSAGE W XV A SAISIR DANS AX\05-11-2019\*LR PASS*.pdf")</f>
        <v>0</v>
      </c>
      <c r="I6" s="68">
        <f ca="1">GetFileList("P:\TP et Raccodement\FICHES CREES RACCORDEMENT\2 - SAV + COMPL + PASSAGE W XV A SAISIR DANS AX\05-11-2019\*CL PASS*.pdf")</f>
        <v>0</v>
      </c>
      <c r="J6" s="76">
        <f ca="1">GetFileList("P:\TP et Raccodement\FICHES CREES RACCORDEMENT\2 - SAV + COMPL + PASSAGE W XV A SAISIR DANS AX\05-11-2019\*SAV*.pdf")</f>
        <v>0</v>
      </c>
      <c r="K6" s="77">
        <f ca="1">GetFileList("P:\TP et Raccodement\FICHES CREES RACCORDEMENT\2 - SAV + COMPL + PASSAGE W XV A SAISIR DANS AX\05-11-2019\*COMPLEMENT*.pdf")</f>
        <v>0</v>
      </c>
      <c r="L6" s="77">
        <f ca="1">GetFileList("P:\TP et Raccodement\FICHES CREES RACCORDEMENT\2 - SAV + COMPL + PASSAGE W XV A SAISIR DANS AX\05-11-2019\*REPRISE*.pdf")</f>
        <v>0</v>
      </c>
      <c r="M6" s="78">
        <f ca="1">GetFileList("P:\TP et Raccodement\FICHES CREES RACCORDEMENT\2 - SAV + COMPL + PASSAGE W XV A SAISIR DANS AX\05-11-2019\*REMONTAGE*.pdf")</f>
        <v>0</v>
      </c>
      <c r="N6" s="61"/>
      <c r="O6" s="73">
        <f t="shared" ca="1" si="1"/>
        <v>0</v>
      </c>
    </row>
    <row r="7" spans="1:16" ht="16.5" x14ac:dyDescent="0.3">
      <c r="A7" s="59">
        <v>43410</v>
      </c>
      <c r="B7" s="74">
        <f t="shared" ca="1" si="0"/>
        <v>0</v>
      </c>
      <c r="C7" s="67">
        <f ca="1">GetFileList("P:\TP et Raccodement\FICHES CREES RACCORDEMENT\1 - RACCOS A SAISIR DANS AX\06-11-2019\*LM RACCO*.pdf")</f>
        <v>0</v>
      </c>
      <c r="D7" s="67">
        <f ca="1">GetFileList("P:\TP et Raccodement\FICHES CREES RACCORDEMENT\1 - RACCOS A SAISIR DANS AX\06-11-2019\*LR RACCO*.pdf")</f>
        <v>0</v>
      </c>
      <c r="E7" s="68">
        <f ca="1">GetFileList("P:\TP et Raccodement\FICHES CREES RACCORDEMENT\1 - RACCOS A SAISIR DANS AX\06-11-2019\*CL RACCO*.pdf")</f>
        <v>0</v>
      </c>
      <c r="F7" s="75">
        <f t="shared" ca="1" si="2"/>
        <v>0</v>
      </c>
      <c r="G7" s="67">
        <f ca="1">GetFileList("P:\TP et Raccodement\FICHES CREES RACCORDEMENT\2 - SAV + COMPL + PASSAGE W XV A SAISIR DANS AX\06-11-2019\*LM PASS*.pdf")</f>
        <v>0</v>
      </c>
      <c r="H7" s="67">
        <f ca="1">GetFileList("P:\TP et Raccodement\FICHES CREES RACCORDEMENT\2 - SAV + COMPL + PASSAGE W XV A SAISIR DANS AX\06-11-2019\*LR PASS*.pdf")</f>
        <v>0</v>
      </c>
      <c r="I7" s="68">
        <f ca="1">GetFileList("P:\TP et Raccodement\FICHES CREES RACCORDEMENT\2 - SAV + COMPL + PASSAGE W XV A SAISIR DANS AX\06-11-2019\*CL PASS*.pdf")</f>
        <v>0</v>
      </c>
      <c r="J7" s="76">
        <f ca="1">GetFileList("P:\TP et Raccodement\FICHES CREES RACCORDEMENT\2 - SAV + COMPL + PASSAGE W XV A SAISIR DANS AX\06-11-2019\*SAV*.pdf")</f>
        <v>0</v>
      </c>
      <c r="K7" s="77">
        <f ca="1">GetFileList("P:\TP et Raccodement\FICHES CREES RACCORDEMENT\2 - SAV + COMPL + PASSAGE W XV A SAISIR DANS AX\06-11-2019\*COMPLEMENT*.pdf")</f>
        <v>0</v>
      </c>
      <c r="L7" s="77">
        <f ca="1">GetFileList("P:\TP et Raccodement\FICHES CREES RACCORDEMENT\2 - SAV + COMPL + PASSAGE W XV A SAISIR DANS AX\06-11-2019\*REPRISE*.pdf")</f>
        <v>0</v>
      </c>
      <c r="M7" s="78">
        <f ca="1">GetFileList("P:\TP et Raccodement\FICHES CREES RACCORDEMENT\2 - SAV + COMPL + PASSAGE W XV A SAISIR DANS AX\06-11-2019\*REMONTAGE*.pdf")</f>
        <v>0</v>
      </c>
      <c r="N7" s="61"/>
      <c r="O7" s="73">
        <f t="shared" ca="1" si="1"/>
        <v>0</v>
      </c>
    </row>
    <row r="8" spans="1:16" ht="16.5" x14ac:dyDescent="0.3">
      <c r="A8" s="59">
        <v>43411</v>
      </c>
      <c r="B8" s="74">
        <f t="shared" ca="1" si="0"/>
        <v>0</v>
      </c>
      <c r="C8" s="67">
        <f ca="1">GetFileList("P:\TP et Raccodement\FICHES CREES RACCORDEMENT\1 - RACCOS A SAISIR DANS AX\07-11-2019\*LM RACCO*.pdf")</f>
        <v>0</v>
      </c>
      <c r="D8" s="67">
        <f ca="1">GetFileList("P:\TP et Raccodement\FICHES CREES RACCORDEMENT\1 - RACCOS A SAISIR DANS AX\07-11-2019\*LR RACCO*.pdf")</f>
        <v>0</v>
      </c>
      <c r="E8" s="68">
        <f ca="1">GetFileList("P:\TP et Raccodement\FICHES CREES RACCORDEMENT\1 - RACCOS A SAISIR DANS AX\07-11-2019\*CL RACCO*.pdf")</f>
        <v>0</v>
      </c>
      <c r="F8" s="75">
        <f t="shared" ca="1" si="2"/>
        <v>0</v>
      </c>
      <c r="G8" s="67">
        <f ca="1">GetFileList("P:\TP et Raccodement\FICHES CREES RACCORDEMENT\2 - SAV + COMPL + PASSAGE W XV A SAISIR DANS AX\07-11-2019\*LM PASS*.pdf")</f>
        <v>0</v>
      </c>
      <c r="H8" s="67">
        <f ca="1">GetFileList("P:\TP et Raccodement\FICHES CREES RACCORDEMENT\2 - SAV + COMPL + PASSAGE W XV A SAISIR DANS AX\07-11-2019\*LR PASS*.pdf")</f>
        <v>0</v>
      </c>
      <c r="I8" s="68">
        <f ca="1">GetFileList("P:\TP et Raccodement\FICHES CREES RACCORDEMENT\2 - SAV + COMPL + PASSAGE W XV A SAISIR DANS AX\07-11-2019\*CL PASS*.pdf")</f>
        <v>0</v>
      </c>
      <c r="J8" s="76">
        <f ca="1">GetFileList("P:\TP et Raccodement\FICHES CREES RACCORDEMENT\2 - SAV + COMPL + PASSAGE W XV A SAISIR DANS AX\07-11-2019\*SAV*.pdf")</f>
        <v>0</v>
      </c>
      <c r="K8" s="77">
        <f ca="1">GetFileList("P:\TP et Raccodement\FICHES CREES RACCORDEMENT\2 - SAV + COMPL + PASSAGE W XV A SAISIR DANS AX\07-11-2019\*COMPLEMENT*.pdf")</f>
        <v>0</v>
      </c>
      <c r="L8" s="77">
        <f ca="1">GetFileList("P:\TP et Raccodement\FICHES CREES RACCORDEMENT\2 - SAV + COMPL + PASSAGE W XV A SAISIR DANS AX\07-11-2019\*REPRISE*.pdf")</f>
        <v>0</v>
      </c>
      <c r="M8" s="78">
        <f ca="1">GetFileList("P:\TP et Raccodement\FICHES CREES RACCORDEMENT\2 - SAV + COMPL + PASSAGE W XV A SAISIR DANS AX\07-11-2019\*REMONTAGE*.pdf")</f>
        <v>0</v>
      </c>
      <c r="N8" s="61"/>
      <c r="O8" s="73">
        <f t="shared" ca="1" si="1"/>
        <v>0</v>
      </c>
    </row>
    <row r="9" spans="1:16" ht="16.5" x14ac:dyDescent="0.3">
      <c r="A9" s="59">
        <v>43412</v>
      </c>
      <c r="B9" s="74">
        <f t="shared" ca="1" si="0"/>
        <v>0</v>
      </c>
      <c r="C9" s="67">
        <f ca="1">GetFileList("P:\TP et Raccodement\FICHES CREES RACCORDEMENT\1 - RACCOS A SAISIR DANS AX\08-11-2019\*LM RACCO*.pdf")</f>
        <v>0</v>
      </c>
      <c r="D9" s="67">
        <f ca="1">GetFileList("P:\TP et Raccodement\FICHES CREES RACCORDEMENT\1 - RACCOS A SAISIR DANS AX\08-11-2019\*LR RACCO*.pdf")</f>
        <v>0</v>
      </c>
      <c r="E9" s="68">
        <f ca="1">GetFileList("P:\TP et Raccodement\FICHES CREES RACCORDEMENT\1 - RACCOS A SAISIR DANS AX\08-11-2019\*CL RACCO*.pdf")</f>
        <v>0</v>
      </c>
      <c r="F9" s="75">
        <f t="shared" ca="1" si="2"/>
        <v>0</v>
      </c>
      <c r="G9" s="67">
        <f ca="1">GetFileList("P:\TP et Raccodement\FICHES CREES RACCORDEMENT\2 - SAV + COMPL + PASSAGE W XV A SAISIR DANS AX\08-11-2019\*LM PASS*.pdf")</f>
        <v>0</v>
      </c>
      <c r="H9" s="67">
        <f ca="1">GetFileList("P:\TP et Raccodement\FICHES CREES RACCORDEMENT\2 - SAV + COMPL + PASSAGE W XV A SAISIR DANS AX\08-11-2019\*LR PASS*.pdf")</f>
        <v>0</v>
      </c>
      <c r="I9" s="68">
        <f ca="1">GetFileList("P:\TP et Raccodement\FICHES CREES RACCORDEMENT\2 - SAV + COMPL + PASSAGE W XV A SAISIR DANS AX\08-11-2019\*CL PASS*.pdf")</f>
        <v>0</v>
      </c>
      <c r="J9" s="76">
        <f ca="1">GetFileList("P:\TP et Raccodement\FICHES CREES RACCORDEMENT\2 - SAV + COMPL + PASSAGE W XV A SAISIR DANS AX\08-11-2019\*SAV*.pdf")</f>
        <v>0</v>
      </c>
      <c r="K9" s="77">
        <f ca="1">GetFileList("P:\TP et Raccodement\FICHES CREES RACCORDEMENT\2 - SAV + COMPL + PASSAGE W XV A SAISIR DANS AX\08-11-2019\*COMPLEMENT*.pdf")</f>
        <v>0</v>
      </c>
      <c r="L9" s="77">
        <f ca="1">GetFileList("P:\TP et Raccodement\FICHES CREES RACCORDEMENT\2 - SAV + COMPL + PASSAGE W XV A SAISIR DANS AX\08-11-2019\*REPRISE*.pdf")</f>
        <v>0</v>
      </c>
      <c r="M9" s="78">
        <f ca="1">GetFileList("P:\TP et Raccodement\FICHES CREES RACCORDEMENT\2 - SAV + COMPL + PASSAGE W XV A SAISIR DANS AX\08-11-2019\*REMONTAGE*.pdf")</f>
        <v>0</v>
      </c>
      <c r="N9" s="61"/>
      <c r="O9" s="73">
        <f t="shared" ca="1" si="1"/>
        <v>0</v>
      </c>
    </row>
    <row r="10" spans="1:16" ht="16.5" x14ac:dyDescent="0.3">
      <c r="A10" s="59">
        <v>43413</v>
      </c>
      <c r="B10" s="74">
        <f t="shared" ca="1" si="0"/>
        <v>0</v>
      </c>
      <c r="C10" s="67">
        <f ca="1">GetFileList("P:\TP et Raccodement\FICHES CREES RACCORDEMENT\1 - RACCOS A SAISIR DANS AX\09-11-2019\*LM RACCO*.pdf")</f>
        <v>0</v>
      </c>
      <c r="D10" s="67">
        <f ca="1">GetFileList("P:\TP et Raccodement\FICHES CREES RACCORDEMENT\1 - RACCOS A SAISIR DANS AX\09-11-2019\*LR RACCO*.pdf")</f>
        <v>0</v>
      </c>
      <c r="E10" s="68">
        <f ca="1">GetFileList("P:\TP et Raccodement\FICHES CREES RACCORDEMENT\1 - RACCOS A SAISIR DANS AX\09-11-2019\*CL RACCO*.pdf")</f>
        <v>0</v>
      </c>
      <c r="F10" s="75">
        <f t="shared" ca="1" si="2"/>
        <v>0</v>
      </c>
      <c r="G10" s="67">
        <f ca="1">GetFileList("P:\TP et Raccodement\FICHES CREES RACCORDEMENT\2 - SAV + COMPL + PASSAGE W XV A SAISIR DANS AX\09-11-2019\*LM PASS*.pdf")</f>
        <v>0</v>
      </c>
      <c r="H10" s="67">
        <f ca="1">GetFileList("P:\TP et Raccodement\FICHES CREES RACCORDEMENT\2 - SAV + COMPL + PASSAGE W XV A SAISIR DANS AX\09-11-2019\*LR PASS*.pdf")</f>
        <v>0</v>
      </c>
      <c r="I10" s="68">
        <f ca="1">GetFileList("P:\TP et Raccodement\FICHES CREES RACCORDEMENT\2 - SAV + COMPL + PASSAGE W XV A SAISIR DANS AX\09-11-2019\*CL PASS*.pdf")</f>
        <v>0</v>
      </c>
      <c r="J10" s="76">
        <f ca="1">GetFileList("P:\TP et Raccodement\FICHES CREES RACCORDEMENT\2 - SAV + COMPL + PASSAGE W XV A SAISIR DANS AX\09-11-2019\*SAV*.pdf")</f>
        <v>0</v>
      </c>
      <c r="K10" s="77">
        <f ca="1">GetFileList("P:\TP et Raccodement\FICHES CREES RACCORDEMENT\2 - SAV + COMPL + PASSAGE W XV A SAISIR DANS AX\09-11-2019\*COMPLEMENT*.pdf")</f>
        <v>0</v>
      </c>
      <c r="L10" s="77">
        <f ca="1">GetFileList("P:\TP et Raccodement\FICHES CREES RACCORDEMENT\2 - SAV + COMPL + PASSAGE W XV A SAISIR DANS AX\09-11-2019\*REPRISE*.pdf")</f>
        <v>0</v>
      </c>
      <c r="M10" s="78">
        <f ca="1">GetFileList("P:\TP et Raccodement\FICHES CREES RACCORDEMENT\2 - SAV + COMPL + PASSAGE W XV A SAISIR DANS AX\09-11-2019\*REMONTAGE*.pdf")</f>
        <v>0</v>
      </c>
      <c r="N10" s="61"/>
      <c r="O10" s="73">
        <f t="shared" ca="1" si="1"/>
        <v>0</v>
      </c>
    </row>
    <row r="11" spans="1:16" ht="16.5" x14ac:dyDescent="0.3">
      <c r="A11" s="88">
        <v>43414</v>
      </c>
      <c r="B11" s="89">
        <f t="shared" ca="1" si="0"/>
        <v>0</v>
      </c>
      <c r="C11" s="90">
        <f ca="1">GetFileList("P:\TP et Raccodement\FICHES CREES RACCORDEMENT\1 - RACCOS A SAISIR DANS AX\10-11-2019\*LM RACCO*.pdf")</f>
        <v>0</v>
      </c>
      <c r="D11" s="90">
        <f ca="1">GetFileList("P:\TP et Raccodement\FICHES CREES RACCORDEMENT\1 - RACCOS A SAISIR DANS AX\10-11-2019\*LR RACCO*.pdf")</f>
        <v>0</v>
      </c>
      <c r="E11" s="91">
        <f ca="1">GetFileList("P:\TP et Raccodement\FICHES CREES RACCORDEMENT\1 - RACCOS A SAISIR DANS AX\10-11-2019\*CL RACCO*.pdf")</f>
        <v>0</v>
      </c>
      <c r="F11" s="92">
        <f t="shared" ca="1" si="2"/>
        <v>0</v>
      </c>
      <c r="G11" s="90">
        <f ca="1">GetFileList("P:\TP et Raccodement\FICHES CREES RACCORDEMENT\2 - SAV + COMPL + PASSAGE W XV A SAISIR DANS AX\10-11-2019\*LM PASS*.pdf")</f>
        <v>0</v>
      </c>
      <c r="H11" s="90">
        <f ca="1">GetFileList("P:\TP et Raccodement\FICHES CREES RACCORDEMENT\2 - SAV + COMPL + PASSAGE W XV A SAISIR DANS AX\10-11-2019\*LR PASS*.pdf")</f>
        <v>0</v>
      </c>
      <c r="I11" s="91">
        <f ca="1">GetFileList("P:\TP et Raccodement\FICHES CREES RACCORDEMENT\2 - SAV + COMPL + PASSAGE W XV A SAISIR DANS AX\10-11-2019\*CL PASS*.pdf")</f>
        <v>0</v>
      </c>
      <c r="J11" s="93">
        <f ca="1">GetFileList("P:\TP et Raccodement\FICHES CREES RACCORDEMENT\2 - SAV + COMPL + PASSAGE W XV A SAISIR DANS AX\10-11-2019\*SAV*.pdf")</f>
        <v>0</v>
      </c>
      <c r="K11" s="94">
        <f ca="1">GetFileList("P:\TP et Raccodement\FICHES CREES RACCORDEMENT\2 - SAV + COMPL + PASSAGE W XV A SAISIR DANS AX\10-11-2019\*COMPLEMENT*.pdf")</f>
        <v>0</v>
      </c>
      <c r="L11" s="94">
        <f ca="1">GetFileList("P:\TP et Raccodement\FICHES CREES RACCORDEMENT\2 - SAV + COMPL + PASSAGE W XV A SAISIR DANS AX\10-11-2019\*REPRISE*.pdf")</f>
        <v>0</v>
      </c>
      <c r="M11" s="95">
        <f ca="1">GetFileList("P:\TP et Raccodement\FICHES CREES RACCORDEMENT\2 - SAV + COMPL + PASSAGE W XV A SAISIR DANS AX\10-11-2019\*REMONTAGE*.pdf")</f>
        <v>0</v>
      </c>
      <c r="N11" s="61"/>
      <c r="O11" s="73">
        <f t="shared" ca="1" si="1"/>
        <v>0</v>
      </c>
    </row>
    <row r="12" spans="1:16" ht="16.5" x14ac:dyDescent="0.3">
      <c r="A12" s="88">
        <v>43415</v>
      </c>
      <c r="B12" s="89">
        <f t="shared" ca="1" si="0"/>
        <v>0</v>
      </c>
      <c r="C12" s="90">
        <f ca="1">GetFileList("P:\TP et Raccodement\FICHES CREES RACCORDEMENT\1 - RACCOS A SAISIR DANS AX\11-11-2019\*LM RACCO*.pdf")</f>
        <v>0</v>
      </c>
      <c r="D12" s="90">
        <f ca="1">GetFileList("P:\TP et Raccodement\FICHES CREES RACCORDEMENT\1 - RACCOS A SAISIR DANS AX\11-11-2019\*LR RACCO*.pdf")</f>
        <v>0</v>
      </c>
      <c r="E12" s="91">
        <f ca="1">GetFileList("P:\TP et Raccodement\FICHES CREES RACCORDEMENT\1 - RACCOS A SAISIR DANS AX\11-11-2019\*CL RACCO*.pdf")</f>
        <v>0</v>
      </c>
      <c r="F12" s="92">
        <f t="shared" ca="1" si="2"/>
        <v>0</v>
      </c>
      <c r="G12" s="90">
        <f ca="1">GetFileList("P:\TP et Raccodement\FICHES CREES RACCORDEMENT\2 - SAV + COMPL + PASSAGE W XV A SAISIR DANS AX\11-11-2019\*LM PASS*.pdf")</f>
        <v>0</v>
      </c>
      <c r="H12" s="90">
        <f ca="1">GetFileList("P:\TP et Raccodement\FICHES CREES RACCORDEMENT\2 - SAV + COMPL + PASSAGE W XV A SAISIR DANS AX\11-11-2019\*LR PASS*.pdf")</f>
        <v>0</v>
      </c>
      <c r="I12" s="91">
        <f ca="1">GetFileList("P:\TP et Raccodement\FICHES CREES RACCORDEMENT\2 - SAV + COMPL + PASSAGE W XV A SAISIR DANS AX\11-11-2019\*CL PASS*.pdf")</f>
        <v>0</v>
      </c>
      <c r="J12" s="93">
        <f ca="1">GetFileList("P:\TP et Raccodement\FICHES CREES RACCORDEMENT\2 - SAV + COMPL + PASSAGE W XV A SAISIR DANS AX\11-11-2019\*SAV*.pdf")</f>
        <v>0</v>
      </c>
      <c r="K12" s="94">
        <f ca="1">GetFileList("P:\TP et Raccodement\FICHES CREES RACCORDEMENT\2 - SAV + COMPL + PASSAGE W XV A SAISIR DANS AX\11-11-2019\*COMPLEMENT*.pdf")</f>
        <v>0</v>
      </c>
      <c r="L12" s="94">
        <f ca="1">GetFileList("P:\TP et Raccodement\FICHES CREES RACCORDEMENT\2 - SAV + COMPL + PASSAGE W XV A SAISIR DANS AX\11-11-2019\*REPRISE*.pdf")</f>
        <v>0</v>
      </c>
      <c r="M12" s="95">
        <f ca="1">GetFileList("P:\TP et Raccodement\FICHES CREES RACCORDEMENT\2 - SAV + COMPL + PASSAGE W XV A SAISIR DANS AX\11-11-2019\*REMONTAGE*.pdf")</f>
        <v>0</v>
      </c>
      <c r="N12" s="61"/>
      <c r="O12" s="73">
        <f t="shared" ca="1" si="1"/>
        <v>0</v>
      </c>
    </row>
    <row r="13" spans="1:16" ht="16.5" x14ac:dyDescent="0.3">
      <c r="A13" s="59">
        <v>43416</v>
      </c>
      <c r="B13" s="74">
        <f t="shared" ca="1" si="0"/>
        <v>0</v>
      </c>
      <c r="C13" s="67">
        <f ca="1">GetFileList("P:\TP et Raccodement\FICHES CREES RACCORDEMENT\1 - RACCOS A SAISIR DANS AX\12-11-2019\*LM RACCO*.pdf")</f>
        <v>0</v>
      </c>
      <c r="D13" s="67">
        <f ca="1">GetFileList("P:\TP et Raccodement\FICHES CREES RACCORDEMENT\1 - RACCOS A SAISIR DANS AX\12-11-2019\*LR RACCO*.pdf")</f>
        <v>0</v>
      </c>
      <c r="E13" s="68">
        <f ca="1">GetFileList("P:\TP et Raccodement\FICHES CREES RACCORDEMENT\1 - RACCOS A SAISIR DANS AX\12-11-2019\*CL RACCO*.pdf")</f>
        <v>0</v>
      </c>
      <c r="F13" s="75">
        <f t="shared" ca="1" si="2"/>
        <v>0</v>
      </c>
      <c r="G13" s="67">
        <f ca="1">GetFileList("P:\TP et Raccodement\FICHES CREES RACCORDEMENT\2 - SAV + COMPL + PASSAGE W XV A SAISIR DANS AX\12-11-2019\*LM PASS*.pdf")</f>
        <v>0</v>
      </c>
      <c r="H13" s="67">
        <f ca="1">GetFileList("P:\TP et Raccodement\FICHES CREES RACCORDEMENT\2 - SAV + COMPL + PASSAGE W XV A SAISIR DANS AX\12-11-2019\*LR PASS*.pdf")</f>
        <v>0</v>
      </c>
      <c r="I13" s="68">
        <f ca="1">GetFileList("P:\TP et Raccodement\FICHES CREES RACCORDEMENT\2 - SAV + COMPL + PASSAGE W XV A SAISIR DANS AX\12-11-2019\*CL PASS*.pdf")</f>
        <v>0</v>
      </c>
      <c r="J13" s="76">
        <f ca="1">GetFileList("P:\TP et Raccodement\FICHES CREES RACCORDEMENT\2 - SAV + COMPL + PASSAGE W XV A SAISIR DANS AX\12-11-2019\*SAV*.pdf")</f>
        <v>0</v>
      </c>
      <c r="K13" s="77">
        <f ca="1">GetFileList("P:\TP et Raccodement\FICHES CREES RACCORDEMENT\2 - SAV + COMPL + PASSAGE W XV A SAISIR DANS AX\12-11-2019\*COMPLEMENT*.pdf")</f>
        <v>0</v>
      </c>
      <c r="L13" s="77">
        <f ca="1">GetFileList("P:\TP et Raccodement\FICHES CREES RACCORDEMENT\2 - SAV + COMPL + PASSAGE W XV A SAISIR DANS AX\12-11-2019\*REPRISE*.pdf")</f>
        <v>0</v>
      </c>
      <c r="M13" s="78">
        <f ca="1">GetFileList("P:\TP et Raccodement\FICHES CREES RACCORDEMENT\2 - SAV + COMPL + PASSAGE W XV A SAISIR DANS AX\12-11-2019\*REMONTAGE*.pdf")</f>
        <v>0</v>
      </c>
      <c r="N13" s="61"/>
      <c r="O13" s="73">
        <f t="shared" ca="1" si="1"/>
        <v>0</v>
      </c>
    </row>
    <row r="14" spans="1:16" ht="16.5" x14ac:dyDescent="0.3">
      <c r="A14" s="59">
        <v>43417</v>
      </c>
      <c r="B14" s="74">
        <f t="shared" ca="1" si="0"/>
        <v>0</v>
      </c>
      <c r="C14" s="67">
        <f ca="1">GetFileList("P:\TP et Raccodement\FICHES CREES RACCORDEMENT\1 - RACCOS A SAISIR DANS AX\13-11-2019\*LM RACCO*.pdf")</f>
        <v>0</v>
      </c>
      <c r="D14" s="67">
        <f ca="1">GetFileList("P:\TP et Raccodement\FICHES CREES RACCORDEMENT\1 - RACCOS A SAISIR DANS AX\13-11-2019\*LR RACCO*.pdf")</f>
        <v>0</v>
      </c>
      <c r="E14" s="68">
        <f ca="1">GetFileList("P:\TP et Raccodement\FICHES CREES RACCORDEMENT\1 - RACCOS A SAISIR DANS AX\13-11-2019\*CL RACCO*.pdf")</f>
        <v>0</v>
      </c>
      <c r="F14" s="75">
        <f t="shared" ca="1" si="2"/>
        <v>0</v>
      </c>
      <c r="G14" s="67">
        <f ca="1">GetFileList("P:\TP et Raccodement\FICHES CREES RACCORDEMENT\2 - SAV + COMPL + PASSAGE W XV A SAISIR DANS AX\13-11-2019\*LM PASS*.pdf")</f>
        <v>0</v>
      </c>
      <c r="H14" s="67">
        <f ca="1">GetFileList("P:\TP et Raccodement\FICHES CREES RACCORDEMENT\2 - SAV + COMPL + PASSAGE W XV A SAISIR DANS AX\13-11-2019\*LR PASS*.pdf")</f>
        <v>0</v>
      </c>
      <c r="I14" s="68">
        <f ca="1">GetFileList("P:\TP et Raccodement\FICHES CREES RACCORDEMENT\2 - SAV + COMPL + PASSAGE W XV A SAISIR DANS AX\13-11-2019\*CL PASS*.pdf")</f>
        <v>0</v>
      </c>
      <c r="J14" s="76">
        <f ca="1">GetFileList("P:\TP et Raccodement\FICHES CREES RACCORDEMENT\2 - SAV + COMPL + PASSAGE W XV A SAISIR DANS AX\13-11-2019\*SAV*.pdf")</f>
        <v>0</v>
      </c>
      <c r="K14" s="77">
        <f ca="1">GetFileList("P:\TP et Raccodement\FICHES CREES RACCORDEMENT\2 - SAV + COMPL + PASSAGE W XV A SAISIR DANS AX\13-11-2019\*COMPLEMENT*.pdf")</f>
        <v>0</v>
      </c>
      <c r="L14" s="77">
        <f ca="1">GetFileList("P:\TP et Raccodement\FICHES CREES RACCORDEMENT\2 - SAV + COMPL + PASSAGE W XV A SAISIR DANS AX\13-11-2019\*REPRISE*.pdf")</f>
        <v>0</v>
      </c>
      <c r="M14" s="78">
        <f ca="1">GetFileList("P:\TP et Raccodement\FICHES CREES RACCORDEMENT\2 - SAV + COMPL + PASSAGE W XV A SAISIR DANS AX\13-11-2019\*REMONTAGE*.pdf")</f>
        <v>0</v>
      </c>
      <c r="N14" s="61"/>
      <c r="O14" s="73">
        <f t="shared" ca="1" si="1"/>
        <v>0</v>
      </c>
    </row>
    <row r="15" spans="1:16" ht="16.5" x14ac:dyDescent="0.3">
      <c r="A15" s="59">
        <v>43418</v>
      </c>
      <c r="B15" s="74">
        <f t="shared" ca="1" si="0"/>
        <v>0</v>
      </c>
      <c r="C15" s="67">
        <f ca="1">GetFileList("P:\TP et Raccodement\FICHES CREES RACCORDEMENT\1 - RACCOS A SAISIR DANS AX\14-11-2019\*LM RACCO*.pdf")</f>
        <v>0</v>
      </c>
      <c r="D15" s="67">
        <f ca="1">GetFileList("P:\TP et Raccodement\FICHES CREES RACCORDEMENT\1 - RACCOS A SAISIR DANS AX\14-11-2019\*LR RACCO*.pdf")</f>
        <v>0</v>
      </c>
      <c r="E15" s="68">
        <f ca="1">GetFileList("P:\TP et Raccodement\FICHES CREES RACCORDEMENT\1 - RACCOS A SAISIR DANS AX\14-11-2019\*CL RACCO*.pdf")</f>
        <v>0</v>
      </c>
      <c r="F15" s="75">
        <f t="shared" ca="1" si="2"/>
        <v>0</v>
      </c>
      <c r="G15" s="67">
        <f ca="1">GetFileList("P:\TP et Raccodement\FICHES CREES RACCORDEMENT\2 - SAV + COMPL + PASSAGE W XV A SAISIR DANS AX\14-11-2019\*LM PASS*.pdf")</f>
        <v>0</v>
      </c>
      <c r="H15" s="67">
        <f ca="1">GetFileList("P:\TP et Raccodement\FICHES CREES RACCORDEMENT\2 - SAV + COMPL + PASSAGE W XV A SAISIR DANS AX\14-11-2019\*LR PASS*.pdf")</f>
        <v>0</v>
      </c>
      <c r="I15" s="68">
        <f ca="1">GetFileList("P:\TP et Raccodement\FICHES CREES RACCORDEMENT\2 - SAV + COMPL + PASSAGE W XV A SAISIR DANS AX\14-11-2019\*CL PASS*.pdf")</f>
        <v>0</v>
      </c>
      <c r="J15" s="76">
        <f ca="1">GetFileList("P:\TP et Raccodement\FICHES CREES RACCORDEMENT\2 - SAV + COMPL + PASSAGE W XV A SAISIR DANS AX\14-11-2019\*SAV*.pdf")</f>
        <v>0</v>
      </c>
      <c r="K15" s="77">
        <f ca="1">GetFileList("P:\TP et Raccodement\FICHES CREES RACCORDEMENT\2 - SAV + COMPL + PASSAGE W XV A SAISIR DANS AX\14-11-2019\*COMPLEMENT*.pdf")</f>
        <v>0</v>
      </c>
      <c r="L15" s="77">
        <f ca="1">GetFileList("P:\TP et Raccodement\FICHES CREES RACCORDEMENT\2 - SAV + COMPL + PASSAGE W XV A SAISIR DANS AX\14-11-2019\*REPRISE*.pdf")</f>
        <v>0</v>
      </c>
      <c r="M15" s="78">
        <f ca="1">GetFileList("P:\TP et Raccodement\FICHES CREES RACCORDEMENT\2 - SAV + COMPL + PASSAGE W XV A SAISIR DANS AX\14-11-2019\*REMONTAGE*.pdf")</f>
        <v>0</v>
      </c>
      <c r="N15" s="61"/>
      <c r="O15" s="73">
        <f t="shared" ca="1" si="1"/>
        <v>0</v>
      </c>
    </row>
    <row r="16" spans="1:16" ht="16.5" x14ac:dyDescent="0.3">
      <c r="A16" s="59">
        <v>43419</v>
      </c>
      <c r="B16" s="74">
        <f t="shared" ca="1" si="0"/>
        <v>0</v>
      </c>
      <c r="C16" s="67">
        <f ca="1">GetFileList("P:\TP et Raccodement\FICHES CREES RACCORDEMENT\1 - RACCOS A SAISIR DANS AX\15-11-2019\*LM RACCO*.pdf")</f>
        <v>0</v>
      </c>
      <c r="D16" s="67">
        <f ca="1">GetFileList("P:\TP et Raccodement\FICHES CREES RACCORDEMENT\1 - RACCOS A SAISIR DANS AX\15-11-2019\*LR RACCO*.pdf")</f>
        <v>0</v>
      </c>
      <c r="E16" s="68">
        <f ca="1">GetFileList("P:\TP et Raccodement\FICHES CREES RACCORDEMENT\1 - RACCOS A SAISIR DANS AX\15-11-2019\*CL RACCO*.pdf")</f>
        <v>0</v>
      </c>
      <c r="F16" s="75">
        <f t="shared" ca="1" si="2"/>
        <v>0</v>
      </c>
      <c r="G16" s="67">
        <f ca="1">GetFileList("P:\TP et Raccodement\FICHES CREES RACCORDEMENT\2 - SAV + COMPL + PASSAGE W XV A SAISIR DANS AX\15-11-2019\*LM PASS*.pdf")</f>
        <v>0</v>
      </c>
      <c r="H16" s="67">
        <f ca="1">GetFileList("P:\TP et Raccodement\FICHES CREES RACCORDEMENT\2 - SAV + COMPL + PASSAGE W XV A SAISIR DANS AX\15-11-2019\*LR PASS*.pdf")</f>
        <v>0</v>
      </c>
      <c r="I16" s="68">
        <f ca="1">GetFileList("P:\TP et Raccodement\FICHES CREES RACCORDEMENT\2 - SAV + COMPL + PASSAGE W XV A SAISIR DANS AX\15-11-2019\*CL PASS*.pdf")</f>
        <v>0</v>
      </c>
      <c r="J16" s="76">
        <f ca="1">GetFileList("P:\TP et Raccodement\FICHES CREES RACCORDEMENT\2 - SAV + COMPL + PASSAGE W XV A SAISIR DANS AX\15-11-2019\*SAV*.pdf")</f>
        <v>0</v>
      </c>
      <c r="K16" s="77">
        <f ca="1">GetFileList("P:\TP et Raccodement\FICHES CREES RACCORDEMENT\2 - SAV + COMPL + PASSAGE W XV A SAISIR DANS AX\15-11-2019\*COMPLEMENT*.pdf")</f>
        <v>0</v>
      </c>
      <c r="L16" s="77">
        <f ca="1">GetFileList("P:\TP et Raccodement\FICHES CREES RACCORDEMENT\2 - SAV + COMPL + PASSAGE W XV A SAISIR DANS AX\15-11-2019\*REPRISE*.pdf")</f>
        <v>0</v>
      </c>
      <c r="M16" s="78">
        <f ca="1">GetFileList("P:\TP et Raccodement\FICHES CREES RACCORDEMENT\2 - SAV + COMPL + PASSAGE W XV A SAISIR DANS AX\15-11-2019\*REMONTAGE*.pdf")</f>
        <v>0</v>
      </c>
      <c r="N16" s="61"/>
      <c r="O16" s="73">
        <f t="shared" ca="1" si="1"/>
        <v>0</v>
      </c>
    </row>
    <row r="17" spans="1:15" ht="16.5" x14ac:dyDescent="0.3">
      <c r="A17" s="59">
        <v>43420</v>
      </c>
      <c r="B17" s="74">
        <f t="shared" ca="1" si="0"/>
        <v>0</v>
      </c>
      <c r="C17" s="67">
        <f ca="1">GetFileList("P:\TP et Raccodement\FICHES CREES RACCORDEMENT\1 - RACCOS A SAISIR DANS AX\16-11-2019\*LM RACCO*.pdf")</f>
        <v>0</v>
      </c>
      <c r="D17" s="67">
        <f ca="1">GetFileList("P:\TP et Raccodement\FICHES CREES RACCORDEMENT\1 - RACCOS A SAISIR DANS AX\16-11-2019\*LR RACCO*.pdf")</f>
        <v>0</v>
      </c>
      <c r="E17" s="68">
        <f ca="1">GetFileList("P:\TP et Raccodement\FICHES CREES RACCORDEMENT\1 - RACCOS A SAISIR DANS AX\16-11-2019\*CL RACCO*.pdf")</f>
        <v>0</v>
      </c>
      <c r="F17" s="75">
        <f t="shared" ca="1" si="2"/>
        <v>0</v>
      </c>
      <c r="G17" s="67">
        <f ca="1">GetFileList("P:\TP et Raccodement\FICHES CREES RACCORDEMENT\2 - SAV + COMPL + PASSAGE W XV A SAISIR DANS AX\16-11-2019\*LM PASS*.pdf")</f>
        <v>0</v>
      </c>
      <c r="H17" s="67">
        <f ca="1">GetFileList("P:\TP et Raccodement\FICHES CREES RACCORDEMENT\2 - SAV + COMPL + PASSAGE W XV A SAISIR DANS AX\16-11-2019\*LR PASS*.pdf")</f>
        <v>0</v>
      </c>
      <c r="I17" s="68">
        <f ca="1">GetFileList("P:\TP et Raccodement\FICHES CREES RACCORDEMENT\2 - SAV + COMPL + PASSAGE W XV A SAISIR DANS AX\16-11-2019\*CL PASS*.pdf")</f>
        <v>0</v>
      </c>
      <c r="J17" s="76">
        <f ca="1">GetFileList("P:\TP et Raccodement\FICHES CREES RACCORDEMENT\2 - SAV + COMPL + PASSAGE W XV A SAISIR DANS AX\16-11-2019\*SAV*.pdf")</f>
        <v>0</v>
      </c>
      <c r="K17" s="77">
        <f ca="1">GetFileList("P:\TP et Raccodement\FICHES CREES RACCORDEMENT\2 - SAV + COMPL + PASSAGE W XV A SAISIR DANS AX\16-11-2019\*COMPLEMENT*.pdf")</f>
        <v>0</v>
      </c>
      <c r="L17" s="77">
        <f ca="1">GetFileList("P:\TP et Raccodement\FICHES CREES RACCORDEMENT\2 - SAV + COMPL + PASSAGE W XV A SAISIR DANS AX\16-11-2019\*REPRISE*.pdf")</f>
        <v>0</v>
      </c>
      <c r="M17" s="78">
        <f ca="1">GetFileList("P:\TP et Raccodement\FICHES CREES RACCORDEMENT\2 - SAV + COMPL + PASSAGE W XV A SAISIR DANS AX\16-11-2019\*REMONTAGE*.pdf")</f>
        <v>0</v>
      </c>
      <c r="N17" s="61"/>
      <c r="O17" s="73">
        <f t="shared" ca="1" si="1"/>
        <v>0</v>
      </c>
    </row>
    <row r="18" spans="1:15" ht="16.5" x14ac:dyDescent="0.3">
      <c r="A18" s="88">
        <v>43421</v>
      </c>
      <c r="B18" s="89">
        <f t="shared" ca="1" si="0"/>
        <v>0</v>
      </c>
      <c r="C18" s="90">
        <f ca="1">GetFileList("P:\TP et Raccodement\FICHES CREES RACCORDEMENT\1 - RACCOS A SAISIR DANS AX\17-11-2019\*LM RACCO*.pdf")</f>
        <v>0</v>
      </c>
      <c r="D18" s="90">
        <f ca="1">GetFileList("P:\TP et Raccodement\FICHES CREES RACCORDEMENT\1 - RACCOS A SAISIR DANS AX\17-11-2019\*LR RACCO*.pdf")</f>
        <v>0</v>
      </c>
      <c r="E18" s="91">
        <f ca="1">GetFileList("P:\TP et Raccodement\FICHES CREES RACCORDEMENT\1 - RACCOS A SAISIR DANS AX\17-11-2019\*CL RACCO*.pdf")</f>
        <v>0</v>
      </c>
      <c r="F18" s="92">
        <f t="shared" ca="1" si="2"/>
        <v>0</v>
      </c>
      <c r="G18" s="90">
        <f ca="1">GetFileList("P:\TP et Raccodement\FICHES CREES RACCORDEMENT\2 - SAV + COMPL + PASSAGE W XV A SAISIR DANS AX\17-11-2019\*LM PASS*.pdf")</f>
        <v>0</v>
      </c>
      <c r="H18" s="90">
        <f ca="1">GetFileList("P:\TP et Raccodement\FICHES CREES RACCORDEMENT\2 - SAV + COMPL + PASSAGE W XV A SAISIR DANS AX\17-11-2019\*LR PASS*.pdf")</f>
        <v>0</v>
      </c>
      <c r="I18" s="91">
        <f ca="1">GetFileList("P:\TP et Raccodement\FICHES CREES RACCORDEMENT\2 - SAV + COMPL + PASSAGE W XV A SAISIR DANS AX\17-11-2019\*CL PASS*.pdf")</f>
        <v>0</v>
      </c>
      <c r="J18" s="93">
        <f ca="1">GetFileList("P:\TP et Raccodement\FICHES CREES RACCORDEMENT\2 - SAV + COMPL + PASSAGE W XV A SAISIR DANS AX\17-11-2019\*SAV*.pdf")</f>
        <v>0</v>
      </c>
      <c r="K18" s="94">
        <f ca="1">GetFileList("P:\TP et Raccodement\FICHES CREES RACCORDEMENT\2 - SAV + COMPL + PASSAGE W XV A SAISIR DANS AX\17-11-2019\*COMPLEMENT*.pdf")</f>
        <v>0</v>
      </c>
      <c r="L18" s="94">
        <f ca="1">GetFileList("P:\TP et Raccodement\FICHES CREES RACCORDEMENT\2 - SAV + COMPL + PASSAGE W XV A SAISIR DANS AX\17-11-2019\*REPRISE*.pdf")</f>
        <v>0</v>
      </c>
      <c r="M18" s="95">
        <f ca="1">GetFileList("P:\TP et Raccodement\FICHES CREES RACCORDEMENT\2 - SAV + COMPL + PASSAGE W XV A SAISIR DANS AX\17-11-2019\*REMONTAGE*.pdf")</f>
        <v>0</v>
      </c>
      <c r="N18" s="61"/>
      <c r="O18" s="73">
        <f t="shared" ca="1" si="1"/>
        <v>0</v>
      </c>
    </row>
    <row r="19" spans="1:15" ht="16.5" x14ac:dyDescent="0.3">
      <c r="A19" s="59">
        <v>43422</v>
      </c>
      <c r="B19" s="74">
        <f t="shared" ca="1" si="0"/>
        <v>0</v>
      </c>
      <c r="C19" s="67">
        <f ca="1">GetFileList("P:\TP et Raccodement\FICHES CREES RACCORDEMENT\1 - RACCOS A SAISIR DANS AX\18-11-2019\*LM RACCO*.pdf")</f>
        <v>0</v>
      </c>
      <c r="D19" s="67">
        <f ca="1">GetFileList("P:\TP et Raccodement\FICHES CREES RACCORDEMENT\1 - RACCOS A SAISIR DANS AX\18-11-2019\*LR RACCO*.pdf")</f>
        <v>0</v>
      </c>
      <c r="E19" s="68">
        <f ca="1">GetFileList("P:\TP et Raccodement\FICHES CREES RACCORDEMENT\1 - RACCOS A SAISIR DANS AX\18-11-2019\*CL RACCO*.pdf")</f>
        <v>0</v>
      </c>
      <c r="F19" s="75">
        <f t="shared" ca="1" si="2"/>
        <v>0</v>
      </c>
      <c r="G19" s="67">
        <f ca="1">GetFileList("P:\TP et Raccodement\FICHES CREES RACCORDEMENT\2 - SAV + COMPL + PASSAGE W XV A SAISIR DANS AX\18-11-2019\*LM PASS*.pdf")</f>
        <v>0</v>
      </c>
      <c r="H19" s="67">
        <f ca="1">GetFileList("P:\TP et Raccodement\FICHES CREES RACCORDEMENT\2 - SAV + COMPL + PASSAGE W XV A SAISIR DANS AX\18-11-2019\*LR PASS*.pdf")</f>
        <v>0</v>
      </c>
      <c r="I19" s="68">
        <f ca="1">GetFileList("P:\TP et Raccodement\FICHES CREES RACCORDEMENT\2 - SAV + COMPL + PASSAGE W XV A SAISIR DANS AX\18-11-2019\*CL PASS*.pdf")</f>
        <v>0</v>
      </c>
      <c r="J19" s="76">
        <f ca="1">GetFileList("P:\TP et Raccodement\FICHES CREES RACCORDEMENT\2 - SAV + COMPL + PASSAGE W XV A SAISIR DANS AX\18-11-2019\*SAV*.pdf")</f>
        <v>0</v>
      </c>
      <c r="K19" s="77">
        <f ca="1">GetFileList("P:\TP et Raccodement\FICHES CREES RACCORDEMENT\2 - SAV + COMPL + PASSAGE W XV A SAISIR DANS AX\18-11-2019\*COMPLEMENT*.pdf")</f>
        <v>0</v>
      </c>
      <c r="L19" s="77">
        <f ca="1">GetFileList("P:\TP et Raccodement\FICHES CREES RACCORDEMENT\2 - SAV + COMPL + PASSAGE W XV A SAISIR DANS AX\18-11-2019\*REPRISE*.pdf")</f>
        <v>0</v>
      </c>
      <c r="M19" s="78">
        <f ca="1">GetFileList("P:\TP et Raccodement\FICHES CREES RACCORDEMENT\2 - SAV + COMPL + PASSAGE W XV A SAISIR DANS AX\18-11-2019\*REMONTAGE*.pdf")</f>
        <v>0</v>
      </c>
      <c r="N19" s="61"/>
      <c r="O19" s="73">
        <f t="shared" ca="1" si="1"/>
        <v>0</v>
      </c>
    </row>
    <row r="20" spans="1:15" ht="16.5" x14ac:dyDescent="0.3">
      <c r="A20" s="59">
        <v>43423</v>
      </c>
      <c r="B20" s="74">
        <f t="shared" ca="1" si="0"/>
        <v>0</v>
      </c>
      <c r="C20" s="67">
        <f ca="1">GetFileList("P:\TP et Raccodement\FICHES CREES RACCORDEMENT\1 - RACCOS A SAISIR DANS AX\19-11-2019\*LM RACCO*.pdf")</f>
        <v>0</v>
      </c>
      <c r="D20" s="67">
        <f ca="1">GetFileList("P:\TP et Raccodement\FICHES CREES RACCORDEMENT\1 - RACCOS A SAISIR DANS AX\19-11-2019\*LR RACCO*.pdf")</f>
        <v>0</v>
      </c>
      <c r="E20" s="68">
        <f ca="1">GetFileList("P:\TP et Raccodement\FICHES CREES RACCORDEMENT\1 - RACCOS A SAISIR DANS AX\19-11-2019\*CL RACCO*.pdf")</f>
        <v>0</v>
      </c>
      <c r="F20" s="75">
        <f t="shared" ca="1" si="2"/>
        <v>0</v>
      </c>
      <c r="G20" s="67">
        <f ca="1">GetFileList("P:\TP et Raccodement\FICHES CREES RACCORDEMENT\2 - SAV + COMPL + PASSAGE W XV A SAISIR DANS AX\19-11-2019\*LM PASS*.pdf")</f>
        <v>0</v>
      </c>
      <c r="H20" s="67">
        <f ca="1">GetFileList("P:\TP et Raccodement\FICHES CREES RACCORDEMENT\2 - SAV + COMPL + PASSAGE W XV A SAISIR DANS AX\19-11-2019\*LR PASS*.pdf")</f>
        <v>0</v>
      </c>
      <c r="I20" s="68">
        <f ca="1">GetFileList("P:\TP et Raccodement\FICHES CREES RACCORDEMENT\2 - SAV + COMPL + PASSAGE W XV A SAISIR DANS AX\19-11-2019\*CL PASS*.pdf")</f>
        <v>0</v>
      </c>
      <c r="J20" s="76">
        <f ca="1">GetFileList("P:\TP et Raccodement\FICHES CREES RACCORDEMENT\2 - SAV + COMPL + PASSAGE W XV A SAISIR DANS AX\19-11-2019\*SAV*.pdf")</f>
        <v>0</v>
      </c>
      <c r="K20" s="77">
        <f ca="1">GetFileList("P:\TP et Raccodement\FICHES CREES RACCORDEMENT\2 - SAV + COMPL + PASSAGE W XV A SAISIR DANS AX\19-11-2019\*COMPLEMENT*.pdf")</f>
        <v>0</v>
      </c>
      <c r="L20" s="77">
        <f ca="1">GetFileList("P:\TP et Raccodement\FICHES CREES RACCORDEMENT\2 - SAV + COMPL + PASSAGE W XV A SAISIR DANS AX\19-11-2019\*REPRISE*.pdf")</f>
        <v>0</v>
      </c>
      <c r="M20" s="78">
        <f ca="1">GetFileList("P:\TP et Raccodement\FICHES CREES RACCORDEMENT\2 - SAV + COMPL + PASSAGE W XV A SAISIR DANS AX\19-11-2019\*REMONTAGE*.pdf")</f>
        <v>0</v>
      </c>
      <c r="N20" s="61"/>
      <c r="O20" s="73">
        <f t="shared" ca="1" si="1"/>
        <v>0</v>
      </c>
    </row>
    <row r="21" spans="1:15" ht="16.5" x14ac:dyDescent="0.3">
      <c r="A21" s="59">
        <v>43424</v>
      </c>
      <c r="B21" s="74">
        <f t="shared" ca="1" si="0"/>
        <v>0</v>
      </c>
      <c r="C21" s="67">
        <f ca="1">GetFileList("P:\TP et Raccodement\FICHES CREES RACCORDEMENT\1 - RACCOS A SAISIR DANS AX\20-11-2019\*LM RACCO*.pdf")</f>
        <v>0</v>
      </c>
      <c r="D21" s="67">
        <f ca="1">GetFileList("P:\TP et Raccodement\FICHES CREES RACCORDEMENT\1 - RACCOS A SAISIR DANS AX\20-11-2019\*LR RACCO*.pdf")</f>
        <v>0</v>
      </c>
      <c r="E21" s="68">
        <f ca="1">GetFileList("P:\TP et Raccodement\FICHES CREES RACCORDEMENT\1 - RACCOS A SAISIR DANS AX\20-11-2019\*CL RACCO*.pdf")</f>
        <v>0</v>
      </c>
      <c r="F21" s="75">
        <f t="shared" ca="1" si="2"/>
        <v>0</v>
      </c>
      <c r="G21" s="67">
        <f ca="1">GetFileList("P:\TP et Raccodement\FICHES CREES RACCORDEMENT\2 - SAV + COMPL + PASSAGE W XV A SAISIR DANS AX\20-11-2019\*LM PASS*.pdf")</f>
        <v>0</v>
      </c>
      <c r="H21" s="67">
        <f ca="1">GetFileList("P:\TP et Raccodement\FICHES CREES RACCORDEMENT\2 - SAV + COMPL + PASSAGE W XV A SAISIR DANS AX\20-11-2019\*LR PASS*.pdf")</f>
        <v>0</v>
      </c>
      <c r="I21" s="68">
        <f ca="1">GetFileList("P:\TP et Raccodement\FICHES CREES RACCORDEMENT\2 - SAV + COMPL + PASSAGE W XV A SAISIR DANS AX\20-11-2019\*CL PASS*.pdf")</f>
        <v>0</v>
      </c>
      <c r="J21" s="76">
        <f ca="1">GetFileList("P:\TP et Raccodement\FICHES CREES RACCORDEMENT\2 - SAV + COMPL + PASSAGE W XV A SAISIR DANS AX\20-11-2019\*SAV*.pdf")</f>
        <v>0</v>
      </c>
      <c r="K21" s="77">
        <f ca="1">GetFileList("P:\TP et Raccodement\FICHES CREES RACCORDEMENT\2 - SAV + COMPL + PASSAGE W XV A SAISIR DANS AX\20-11-2019\*COMPLEMENT*.pdf")</f>
        <v>0</v>
      </c>
      <c r="L21" s="77">
        <f ca="1">GetFileList("P:\TP et Raccodement\FICHES CREES RACCORDEMENT\2 - SAV + COMPL + PASSAGE W XV A SAISIR DANS AX\20-11-2019\*REPRISE*.pdf")</f>
        <v>0</v>
      </c>
      <c r="M21" s="78">
        <f ca="1">GetFileList("P:\TP et Raccodement\FICHES CREES RACCORDEMENT\2 - SAV + COMPL + PASSAGE W XV A SAISIR DANS AX\20-11-2019\*REMONTAGE*.pdf")</f>
        <v>0</v>
      </c>
      <c r="N21" s="61"/>
      <c r="O21" s="73">
        <f t="shared" ca="1" si="1"/>
        <v>0</v>
      </c>
    </row>
    <row r="22" spans="1:15" ht="16.5" x14ac:dyDescent="0.3">
      <c r="A22" s="59">
        <v>43425</v>
      </c>
      <c r="B22" s="74">
        <f t="shared" ca="1" si="0"/>
        <v>0</v>
      </c>
      <c r="C22" s="67">
        <f ca="1">GetFileList("P:\TP et Raccodement\FICHES CREES RACCORDEMENT\1 - RACCOS A SAISIR DANS AX\21-11-2019\*LM RACCO*.pdf")</f>
        <v>0</v>
      </c>
      <c r="D22" s="67">
        <f ca="1">GetFileList("P:\TP et Raccodement\FICHES CREES RACCORDEMENT\1 - RACCOS A SAISIR DANS AX\21-11-2019\*LR RACCO*.pdf")</f>
        <v>0</v>
      </c>
      <c r="E22" s="68">
        <f ca="1">GetFileList("P:\TP et Raccodement\FICHES CREES RACCORDEMENT\1 - RACCOS A SAISIR DANS AX\21-11-2019\*CL RACCO*.pdf")</f>
        <v>0</v>
      </c>
      <c r="F22" s="75">
        <f t="shared" ca="1" si="2"/>
        <v>0</v>
      </c>
      <c r="G22" s="67">
        <f ca="1">GetFileList("P:\TP et Raccodement\FICHES CREES RACCORDEMENT\2 - SAV + COMPL + PASSAGE W XV A SAISIR DANS AX\21-11-2019\*LM PASS*.pdf")</f>
        <v>0</v>
      </c>
      <c r="H22" s="67">
        <f ca="1">GetFileList("P:\TP et Raccodement\FICHES CREES RACCORDEMENT\2 - SAV + COMPL + PASSAGE W XV A SAISIR DANS AX\21-11-2019\*LR PASS*.pdf")</f>
        <v>0</v>
      </c>
      <c r="I22" s="68">
        <f ca="1">GetFileList("P:\TP et Raccodement\FICHES CREES RACCORDEMENT\2 - SAV + COMPL + PASSAGE W XV A SAISIR DANS AX\21-11-2019\*CL PASS*.pdf")</f>
        <v>0</v>
      </c>
      <c r="J22" s="76">
        <f ca="1">GetFileList("P:\TP et Raccodement\FICHES CREES RACCORDEMENT\2 - SAV + COMPL + PASSAGE W XV A SAISIR DANS AX\21-11-2019\*SAV*.pdf")</f>
        <v>0</v>
      </c>
      <c r="K22" s="77">
        <f ca="1">GetFileList("P:\TP et Raccodement\FICHES CREES RACCORDEMENT\2 - SAV + COMPL + PASSAGE W XV A SAISIR DANS AX\21-11-2019\*COMPLEMENT*.pdf")</f>
        <v>0</v>
      </c>
      <c r="L22" s="77">
        <f ca="1">GetFileList("P:\TP et Raccodement\FICHES CREES RACCORDEMENT\2 - SAV + COMPL + PASSAGE W XV A SAISIR DANS AX\21-11-2019\*REPRISE*.pdf")</f>
        <v>0</v>
      </c>
      <c r="M22" s="78">
        <f ca="1">GetFileList("P:\TP et Raccodement\FICHES CREES RACCORDEMENT\2 - SAV + COMPL + PASSAGE W XV A SAISIR DANS AX\21-11-2019\*REMONTAGE*.pdf")</f>
        <v>0</v>
      </c>
      <c r="N22" s="61"/>
      <c r="O22" s="73">
        <f t="shared" ca="1" si="1"/>
        <v>0</v>
      </c>
    </row>
    <row r="23" spans="1:15" ht="16.5" x14ac:dyDescent="0.3">
      <c r="A23" s="59">
        <v>43426</v>
      </c>
      <c r="B23" s="74">
        <f t="shared" ca="1" si="0"/>
        <v>0</v>
      </c>
      <c r="C23" s="67">
        <f ca="1">GetFileList("P:\TP et Raccodement\FICHES CREES RACCORDEMENT\1 - RACCOS A SAISIR DANS AX\22-11-2019\*LM RACCO*.pdf")</f>
        <v>0</v>
      </c>
      <c r="D23" s="67">
        <f ca="1">GetFileList("P:\TP et Raccodement\FICHES CREES RACCORDEMENT\1 - RACCOS A SAISIR DANS AX\22-11-2019\*LR RACCO*.pdf")</f>
        <v>0</v>
      </c>
      <c r="E23" s="68">
        <f ca="1">GetFileList("P:\TP et Raccodement\FICHES CREES RACCORDEMENT\1 - RACCOS A SAISIR DANS AX\22-11-2019\*CL RACCO*.pdf")</f>
        <v>0</v>
      </c>
      <c r="F23" s="75">
        <f t="shared" ca="1" si="2"/>
        <v>0</v>
      </c>
      <c r="G23" s="67">
        <f ca="1">GetFileList("P:\TP et Raccodement\FICHES CREES RACCORDEMENT\2 - SAV + COMPL + PASSAGE W XV A SAISIR DANS AX\22-11-2019\*LM PASS*.pdf")</f>
        <v>0</v>
      </c>
      <c r="H23" s="67">
        <f ca="1">GetFileList("P:\TP et Raccodement\FICHES CREES RACCORDEMENT\2 - SAV + COMPL + PASSAGE W XV A SAISIR DANS AX\22-11-2019\*LR PASS*.pdf")</f>
        <v>0</v>
      </c>
      <c r="I23" s="68">
        <f ca="1">GetFileList("P:\TP et Raccodement\FICHES CREES RACCORDEMENT\2 - SAV + COMPL + PASSAGE W XV A SAISIR DANS AX\22-11-2019\*CL PASS*.pdf")</f>
        <v>0</v>
      </c>
      <c r="J23" s="76">
        <f ca="1">GetFileList("P:\TP et Raccodement\FICHES CREES RACCORDEMENT\2 - SAV + COMPL + PASSAGE W XV A SAISIR DANS AX\22-11-2019\*SAV*.pdf")</f>
        <v>0</v>
      </c>
      <c r="K23" s="77">
        <f ca="1">GetFileList("P:\TP et Raccodement\FICHES CREES RACCORDEMENT\2 - SAV + COMPL + PASSAGE W XV A SAISIR DANS AX\22-11-2019\*COMPLEMENT*.pdf")</f>
        <v>0</v>
      </c>
      <c r="L23" s="77">
        <f ca="1">GetFileList("P:\TP et Raccodement\FICHES CREES RACCORDEMENT\2 - SAV + COMPL + PASSAGE W XV A SAISIR DANS AX\22-11-2019\*REPRISE*.pdf")</f>
        <v>0</v>
      </c>
      <c r="M23" s="78">
        <f ca="1">GetFileList("P:\TP et Raccodement\FICHES CREES RACCORDEMENT\2 - SAV + COMPL + PASSAGE W XV A SAISIR DANS AX\22-11-2019\*REMONTAGE*.pdf")</f>
        <v>0</v>
      </c>
      <c r="N23" s="61"/>
      <c r="O23" s="73">
        <f t="shared" ca="1" si="1"/>
        <v>0</v>
      </c>
    </row>
    <row r="24" spans="1:15" ht="16.5" x14ac:dyDescent="0.3">
      <c r="A24" s="59">
        <v>43427</v>
      </c>
      <c r="B24" s="74">
        <f t="shared" ca="1" si="0"/>
        <v>0</v>
      </c>
      <c r="C24" s="67">
        <f ca="1">GetFileList("P:\TP et Raccodement\FICHES CREES RACCORDEMENT\1 - RACCOS A SAISIR DANS AX\23-11-2019\*LM RACCO*.pdf")</f>
        <v>0</v>
      </c>
      <c r="D24" s="67">
        <f ca="1">GetFileList("P:\TP et Raccodement\FICHES CREES RACCORDEMENT\1 - RACCOS A SAISIR DANS AX\23-11-2019\*LR RACCO*.pdf")</f>
        <v>0</v>
      </c>
      <c r="E24" s="68">
        <f ca="1">GetFileList("P:\TP et Raccodement\FICHES CREES RACCORDEMENT\1 - RACCOS A SAISIR DANS AX\23-11-2019\*CL RACCO*.pdf")</f>
        <v>0</v>
      </c>
      <c r="F24" s="75">
        <f t="shared" ca="1" si="2"/>
        <v>0</v>
      </c>
      <c r="G24" s="67">
        <f ca="1">GetFileList("P:\TP et Raccodement\FICHES CREES RACCORDEMENT\2 - SAV + COMPL + PASSAGE W XV A SAISIR DANS AX\23-11-2019\*LM PASS*.pdf")</f>
        <v>0</v>
      </c>
      <c r="H24" s="67">
        <f ca="1">GetFileList("P:\TP et Raccodement\FICHES CREES RACCORDEMENT\2 - SAV + COMPL + PASSAGE W XV A SAISIR DANS AX\23-11-2019\*LR PASS*.pdf")</f>
        <v>0</v>
      </c>
      <c r="I24" s="68">
        <f ca="1">GetFileList("P:\TP et Raccodement\FICHES CREES RACCORDEMENT\2 - SAV + COMPL + PASSAGE W XV A SAISIR DANS AX\23-11-2019\*CL PASS*.pdf")</f>
        <v>0</v>
      </c>
      <c r="J24" s="76">
        <f ca="1">GetFileList("P:\TP et Raccodement\FICHES CREES RACCORDEMENT\2 - SAV + COMPL + PASSAGE W XV A SAISIR DANS AX\23-11-2019\*SAV*.pdf")</f>
        <v>0</v>
      </c>
      <c r="K24" s="77">
        <f ca="1">GetFileList("P:\TP et Raccodement\FICHES CREES RACCORDEMENT\2 - SAV + COMPL + PASSAGE W XV A SAISIR DANS AX\23-11-2019\*COMPLEMENT*.pdf")</f>
        <v>0</v>
      </c>
      <c r="L24" s="77">
        <f ca="1">GetFileList("P:\TP et Raccodement\FICHES CREES RACCORDEMENT\2 - SAV + COMPL + PASSAGE W XV A SAISIR DANS AX\23-11-2019\*REPRISE*.pdf")</f>
        <v>0</v>
      </c>
      <c r="M24" s="78">
        <f ca="1">GetFileList("P:\TP et Raccodement\FICHES CREES RACCORDEMENT\2 - SAV + COMPL + PASSAGE W XV A SAISIR DANS AX\23-11-2019\*REMONTAGE*.pdf")</f>
        <v>0</v>
      </c>
      <c r="N24" s="61"/>
      <c r="O24" s="73">
        <f t="shared" ca="1" si="1"/>
        <v>0</v>
      </c>
    </row>
    <row r="25" spans="1:15" ht="16.5" x14ac:dyDescent="0.3">
      <c r="A25" s="88">
        <v>43428</v>
      </c>
      <c r="B25" s="89">
        <f t="shared" ca="1" si="0"/>
        <v>0</v>
      </c>
      <c r="C25" s="90">
        <f ca="1">GetFileList("P:\TP et Raccodement\FICHES CREES RACCORDEMENT\1 - RACCOS A SAISIR DANS AX\24-11-2019\*LM RACCO*.pdf")</f>
        <v>0</v>
      </c>
      <c r="D25" s="90">
        <f ca="1">GetFileList("P:\TP et Raccodement\FICHES CREES RACCORDEMENT\1 - RACCOS A SAISIR DANS AX\24-11-2019\*LR RACCO*.pdf")</f>
        <v>0</v>
      </c>
      <c r="E25" s="91">
        <f ca="1">GetFileList("P:\TP et Raccodement\FICHES CREES RACCORDEMENT\1 - RACCOS A SAISIR DANS AX\24-11-2019\*CL RACCO*.pdf")</f>
        <v>0</v>
      </c>
      <c r="F25" s="92">
        <f t="shared" ca="1" si="2"/>
        <v>0</v>
      </c>
      <c r="G25" s="90">
        <f ca="1">GetFileList("P:\TP et Raccodement\FICHES CREES RACCORDEMENT\2 - SAV + COMPL + PASSAGE W XV A SAISIR DANS AX\24-11-2019\*LM PASS*.pdf")</f>
        <v>0</v>
      </c>
      <c r="H25" s="90">
        <f ca="1">GetFileList("P:\TP et Raccodement\FICHES CREES RACCORDEMENT\2 - SAV + COMPL + PASSAGE W XV A SAISIR DANS AX\24-11-2019\*LR PASS*.pdf")</f>
        <v>0</v>
      </c>
      <c r="I25" s="91">
        <f ca="1">GetFileList("P:\TP et Raccodement\FICHES CREES RACCORDEMENT\2 - SAV + COMPL + PASSAGE W XV A SAISIR DANS AX\24-11-2019\*CL PASS*.pdf")</f>
        <v>0</v>
      </c>
      <c r="J25" s="93">
        <f ca="1">GetFileList("P:\TP et Raccodement\FICHES CREES RACCORDEMENT\2 - SAV + COMPL + PASSAGE W XV A SAISIR DANS AX\24-11-2019\*SAV*.pdf")</f>
        <v>0</v>
      </c>
      <c r="K25" s="94">
        <f ca="1">GetFileList("P:\TP et Raccodement\FICHES CREES RACCORDEMENT\2 - SAV + COMPL + PASSAGE W XV A SAISIR DANS AX\24-11-2019\*COMPLEMENT*.pdf")</f>
        <v>0</v>
      </c>
      <c r="L25" s="94">
        <f ca="1">GetFileList("P:\TP et Raccodement\FICHES CREES RACCORDEMENT\2 - SAV + COMPL + PASSAGE W XV A SAISIR DANS AX\24-11-2019\*REPRISE*.pdf")</f>
        <v>0</v>
      </c>
      <c r="M25" s="95">
        <f ca="1">GetFileList("P:\TP et Raccodement\FICHES CREES RACCORDEMENT\2 - SAV + COMPL + PASSAGE W XV A SAISIR DANS AX\24-11-2019\*REMONTAGE*.pdf")</f>
        <v>0</v>
      </c>
      <c r="N25" s="61"/>
      <c r="O25" s="73">
        <f t="shared" ca="1" si="1"/>
        <v>0</v>
      </c>
    </row>
    <row r="26" spans="1:15" ht="16.5" x14ac:dyDescent="0.3">
      <c r="A26" s="59">
        <v>43429</v>
      </c>
      <c r="B26" s="74">
        <f t="shared" ca="1" si="0"/>
        <v>0</v>
      </c>
      <c r="C26" s="67">
        <f ca="1">GetFileList("P:\TP et Raccodement\FICHES CREES RACCORDEMENT\1 - RACCOS A SAISIR DANS AX\25-11-2019\*LM RACCO*.pdf")</f>
        <v>0</v>
      </c>
      <c r="D26" s="67">
        <f ca="1">GetFileList("P:\TP et Raccodement\FICHES CREES RACCORDEMENT\1 - RACCOS A SAISIR DANS AX\25-11-2019\*LR RACCO*.pdf")</f>
        <v>0</v>
      </c>
      <c r="E26" s="68">
        <f ca="1">GetFileList("P:\TP et Raccodement\FICHES CREES RACCORDEMENT\1 - RACCOS A SAISIR DANS AX\25-11-2019\*CL RACCO*.pdf")</f>
        <v>0</v>
      </c>
      <c r="F26" s="75">
        <f t="shared" ca="1" si="2"/>
        <v>0</v>
      </c>
      <c r="G26" s="67">
        <f ca="1">GetFileList("P:\TP et Raccodement\FICHES CREES RACCORDEMENT\2 - SAV + COMPL + PASSAGE W XV A SAISIR DANS AX\25-11-2019\*LM PASS*.pdf")</f>
        <v>0</v>
      </c>
      <c r="H26" s="67">
        <f ca="1">GetFileList("P:\TP et Raccodement\FICHES CREES RACCORDEMENT\2 - SAV + COMPL + PASSAGE W XV A SAISIR DANS AX\25-11-2019\*LR PASS*.pdf")</f>
        <v>0</v>
      </c>
      <c r="I26" s="68">
        <f ca="1">GetFileList("P:\TP et Raccodement\FICHES CREES RACCORDEMENT\2 - SAV + COMPL + PASSAGE W XV A SAISIR DANS AX\25-11-2019\*CL PASS*.pdf")</f>
        <v>0</v>
      </c>
      <c r="J26" s="76">
        <f ca="1">GetFileList("P:\TP et Raccodement\FICHES CREES RACCORDEMENT\2 - SAV + COMPL + PASSAGE W XV A SAISIR DANS AX\25-11-2019\*SAV*.pdf")</f>
        <v>0</v>
      </c>
      <c r="K26" s="77">
        <f ca="1">GetFileList("P:\TP et Raccodement\FICHES CREES RACCORDEMENT\2 - SAV + COMPL + PASSAGE W XV A SAISIR DANS AX\25-11-2019\*COMPLEMENT*.pdf")</f>
        <v>0</v>
      </c>
      <c r="L26" s="77">
        <f ca="1">GetFileList("P:\TP et Raccodement\FICHES CREES RACCORDEMENT\2 - SAV + COMPL + PASSAGE W XV A SAISIR DANS AX\25-11-2019\*REPRISE*.pdf")</f>
        <v>0</v>
      </c>
      <c r="M26" s="78">
        <f ca="1">GetFileList("P:\TP et Raccodement\FICHES CREES RACCORDEMENT\2 - SAV + COMPL + PASSAGE W XV A SAISIR DANS AX\25-11-2019\*REMONTAGE*.pdf")</f>
        <v>0</v>
      </c>
      <c r="N26" s="61"/>
      <c r="O26" s="73">
        <f t="shared" ca="1" si="1"/>
        <v>0</v>
      </c>
    </row>
    <row r="27" spans="1:15" ht="16.5" x14ac:dyDescent="0.3">
      <c r="A27" s="59">
        <v>43430</v>
      </c>
      <c r="B27" s="74">
        <f t="shared" ca="1" si="0"/>
        <v>0</v>
      </c>
      <c r="C27" s="67">
        <f ca="1">GetFileList("P:\TP et Raccodement\FICHES CREES RACCORDEMENT\1 - RACCOS A SAISIR DANS AX\26-11-2019\*LM RACCO*.pdf")</f>
        <v>0</v>
      </c>
      <c r="D27" s="67">
        <f ca="1">GetFileList("P:\TP et Raccodement\FICHES CREES RACCORDEMENT\1 - RACCOS A SAISIR DANS AX\26-11-2019\*LR RACCO*.pdf")</f>
        <v>0</v>
      </c>
      <c r="E27" s="68">
        <f ca="1">GetFileList("P:\TP et Raccodement\FICHES CREES RACCORDEMENT\1 - RACCOS A SAISIR DANS AX\26-11-2019\*CL RACCO*.pdf")</f>
        <v>0</v>
      </c>
      <c r="F27" s="75">
        <f t="shared" ca="1" si="2"/>
        <v>0</v>
      </c>
      <c r="G27" s="67">
        <f ca="1">GetFileList("P:\TP et Raccodement\FICHES CREES RACCORDEMENT\2 - SAV + COMPL + PASSAGE W XV A SAISIR DANS AX\26-11-2019\*LM PASS*.pdf")</f>
        <v>0</v>
      </c>
      <c r="H27" s="67">
        <f ca="1">GetFileList("P:\TP et Raccodement\FICHES CREES RACCORDEMENT\2 - SAV + COMPL + PASSAGE W XV A SAISIR DANS AX\26-11-2019\*LR PASS*.pdf")</f>
        <v>0</v>
      </c>
      <c r="I27" s="68">
        <f ca="1">GetFileList("P:\TP et Raccodement\FICHES CREES RACCORDEMENT\2 - SAV + COMPL + PASSAGE W XV A SAISIR DANS AX\26-11-2019\*CL PASS*.pdf")</f>
        <v>0</v>
      </c>
      <c r="J27" s="76">
        <f ca="1">GetFileList("P:\TP et Raccodement\FICHES CREES RACCORDEMENT\2 - SAV + COMPL + PASSAGE W XV A SAISIR DANS AX\26-11-2019\*SAV*.pdf")</f>
        <v>0</v>
      </c>
      <c r="K27" s="77">
        <f ca="1">GetFileList("P:\TP et Raccodement\FICHES CREES RACCORDEMENT\2 - SAV + COMPL + PASSAGE W XV A SAISIR DANS AX\26-11-2019\*COMPLEMENT*.pdf")</f>
        <v>0</v>
      </c>
      <c r="L27" s="77">
        <f ca="1">GetFileList("P:\TP et Raccodement\FICHES CREES RACCORDEMENT\2 - SAV + COMPL + PASSAGE W XV A SAISIR DANS AX\26-11-2019\*REPRISE*.pdf")</f>
        <v>0</v>
      </c>
      <c r="M27" s="78">
        <f ca="1">GetFileList("P:\TP et Raccodement\FICHES CREES RACCORDEMENT\2 - SAV + COMPL + PASSAGE W XV A SAISIR DANS AX\26-11-2019\*REMONTAGE*.pdf")</f>
        <v>0</v>
      </c>
      <c r="N27" s="61"/>
      <c r="O27" s="73">
        <f t="shared" ca="1" si="1"/>
        <v>0</v>
      </c>
    </row>
    <row r="28" spans="1:15" ht="16.5" x14ac:dyDescent="0.3">
      <c r="A28" s="59">
        <v>43431</v>
      </c>
      <c r="B28" s="74">
        <f t="shared" ca="1" si="0"/>
        <v>0</v>
      </c>
      <c r="C28" s="67">
        <f ca="1">GetFileList("P:\TP et Raccodement\FICHES CREES RACCORDEMENT\1 - RACCOS A SAISIR DANS AX\27-11-2019\*LM RACCO*.pdf")</f>
        <v>0</v>
      </c>
      <c r="D28" s="67">
        <f ca="1">GetFileList("P:\TP et Raccodement\FICHES CREES RACCORDEMENT\1 - RACCOS A SAISIR DANS AX\27-11-2019\*LR RACCO*.pdf")</f>
        <v>0</v>
      </c>
      <c r="E28" s="68">
        <f ca="1">GetFileList("P:\TP et Raccodement\FICHES CREES RACCORDEMENT\1 - RACCOS A SAISIR DANS AX\27-11-2019\*CL RACCO*.pdf")</f>
        <v>0</v>
      </c>
      <c r="F28" s="75">
        <f t="shared" ca="1" si="2"/>
        <v>0</v>
      </c>
      <c r="G28" s="67">
        <f ca="1">GetFileList("P:\TP et Raccodement\FICHES CREES RACCORDEMENT\2 - SAV + COMPL + PASSAGE W XV A SAISIR DANS AX\27-11-2019\*LM PASS*.pdf")</f>
        <v>0</v>
      </c>
      <c r="H28" s="67">
        <f ca="1">GetFileList("P:\TP et Raccodement\FICHES CREES RACCORDEMENT\2 - SAV + COMPL + PASSAGE W XV A SAISIR DANS AX\27-11-2019\*LR PASS*.pdf")</f>
        <v>0</v>
      </c>
      <c r="I28" s="68">
        <f ca="1">GetFileList("P:\TP et Raccodement\FICHES CREES RACCORDEMENT\2 - SAV + COMPL + PASSAGE W XV A SAISIR DANS AX\27-11-2019\*CL PASS*.pdf")</f>
        <v>0</v>
      </c>
      <c r="J28" s="76">
        <f ca="1">GetFileList("P:\TP et Raccodement\FICHES CREES RACCORDEMENT\2 - SAV + COMPL + PASSAGE W XV A SAISIR DANS AX\27-11-2019\*SAV*.pdf")</f>
        <v>0</v>
      </c>
      <c r="K28" s="77">
        <f ca="1">GetFileList("P:\TP et Raccodement\FICHES CREES RACCORDEMENT\2 - SAV + COMPL + PASSAGE W XV A SAISIR DANS AX\27-11-2019\*COMPLEMENT*.pdf")</f>
        <v>0</v>
      </c>
      <c r="L28" s="77">
        <f ca="1">GetFileList("P:\TP et Raccodement\FICHES CREES RACCORDEMENT\2 - SAV + COMPL + PASSAGE W XV A SAISIR DANS AX\27-11-2019\*REPRISE*.pdf")</f>
        <v>0</v>
      </c>
      <c r="M28" s="78">
        <f ca="1">GetFileList("P:\TP et Raccodement\FICHES CREES RACCORDEMENT\2 - SAV + COMPL + PASSAGE W XV A SAISIR DANS AX\27-11-2019\*REMONTAGE*.pdf")</f>
        <v>0</v>
      </c>
      <c r="N28" s="61"/>
      <c r="O28" s="73">
        <f t="shared" ca="1" si="1"/>
        <v>0</v>
      </c>
    </row>
    <row r="29" spans="1:15" ht="16.5" x14ac:dyDescent="0.3">
      <c r="A29" s="59">
        <v>43432</v>
      </c>
      <c r="B29" s="74">
        <f t="shared" ca="1" si="0"/>
        <v>0</v>
      </c>
      <c r="C29" s="67">
        <f ca="1">GetFileList("P:\TP et Raccodement\FICHES CREES RACCORDEMENT\1 - RACCOS A SAISIR DANS AX\28-11-2019\*LM RACCO*.pdf")</f>
        <v>0</v>
      </c>
      <c r="D29" s="67">
        <f ca="1">GetFileList("P:\TP et Raccodement\FICHES CREES RACCORDEMENT\1 - RACCOS A SAISIR DANS AX\28-11-2019\*LR RACCO*.pdf")</f>
        <v>0</v>
      </c>
      <c r="E29" s="68">
        <f ca="1">GetFileList("P:\TP et Raccodement\FICHES CREES RACCORDEMENT\1 - RACCOS A SAISIR DANS AX\28-11-2019\*CL RACCO*.pdf")</f>
        <v>0</v>
      </c>
      <c r="F29" s="75">
        <f t="shared" ca="1" si="2"/>
        <v>0</v>
      </c>
      <c r="G29" s="67">
        <f ca="1">GetFileList("P:\TP et Raccodement\FICHES CREES RACCORDEMENT\2 - SAV + COMPL + PASSAGE W XV A SAISIR DANS AX\28-11-2019\*LM PASS*.pdf")</f>
        <v>0</v>
      </c>
      <c r="H29" s="67">
        <f ca="1">GetFileList("P:\TP et Raccodement\FICHES CREES RACCORDEMENT\2 - SAV + COMPL + PASSAGE W XV A SAISIR DANS AX\28-11-2019\*LR PASS*.pdf")</f>
        <v>0</v>
      </c>
      <c r="I29" s="68">
        <f ca="1">GetFileList("P:\TP et Raccodement\FICHES CREES RACCORDEMENT\2 - SAV + COMPL + PASSAGE W XV A SAISIR DANS AX\28-11-2019\*CL PASS*.pdf")</f>
        <v>0</v>
      </c>
      <c r="J29" s="76">
        <f ca="1">GetFileList("P:\TP et Raccodement\FICHES CREES RACCORDEMENT\2 - SAV + COMPL + PASSAGE W XV A SAISIR DANS AX\28-11-2019\*SAV*.pdf")</f>
        <v>0</v>
      </c>
      <c r="K29" s="77">
        <f ca="1">GetFileList("P:\TP et Raccodement\FICHES CREES RACCORDEMENT\2 - SAV + COMPL + PASSAGE W XV A SAISIR DANS AX\28-11-2019\*COMPLEMENT*.pdf")</f>
        <v>0</v>
      </c>
      <c r="L29" s="77">
        <f ca="1">GetFileList("P:\TP et Raccodement\FICHES CREES RACCORDEMENT\2 - SAV + COMPL + PASSAGE W XV A SAISIR DANS AX\28-11-2019\*REPRISE*.pdf")</f>
        <v>0</v>
      </c>
      <c r="M29" s="78">
        <f ca="1">GetFileList("P:\TP et Raccodement\FICHES CREES RACCORDEMENT\2 - SAV + COMPL + PASSAGE W XV A SAISIR DANS AX\28-11-2019\*REMONTAGE*.pdf")</f>
        <v>0</v>
      </c>
      <c r="N29" s="61"/>
      <c r="O29" s="73">
        <v>0</v>
      </c>
    </row>
    <row r="30" spans="1:15" ht="16.5" x14ac:dyDescent="0.3">
      <c r="A30" s="59">
        <v>43433</v>
      </c>
      <c r="B30" s="74">
        <f t="shared" ca="1" si="0"/>
        <v>0</v>
      </c>
      <c r="C30" s="67">
        <f ca="1">GetFileList("P:\TP et Raccodement\FICHES CREES RACCORDEMENT\1 - RACCOS A SAISIR DANS AX\29-11-2019\*LM RACCO*.pdf")</f>
        <v>0</v>
      </c>
      <c r="D30" s="67">
        <f ca="1">GetFileList("P:\TP et Raccodement\FICHES CREES RACCORDEMENT\1 - RACCOS A SAISIR DANS AX\29-11-2019\*LR RACCO*.pdf")</f>
        <v>0</v>
      </c>
      <c r="E30" s="68">
        <f ca="1">GetFileList("P:\TP et Raccodement\FICHES CREES RACCORDEMENT\1 - RACCOS A SAISIR DANS AX\29-11-2019\*CL RACCO*.pdf")</f>
        <v>0</v>
      </c>
      <c r="F30" s="75">
        <f t="shared" ca="1" si="2"/>
        <v>0</v>
      </c>
      <c r="G30" s="67">
        <f ca="1">GetFileList("P:\TP et Raccodement\FICHES CREES RACCORDEMENT\2 - SAV + COMPL + PASSAGE W XV A SAISIR DANS AX\29-11-2019\*LM PASS*.pdf")</f>
        <v>0</v>
      </c>
      <c r="H30" s="67">
        <f ca="1">GetFileList("P:\TP et Raccodement\FICHES CREES RACCORDEMENT\2 - SAV + COMPL + PASSAGE W XV A SAISIR DANS AX\29-11-2019\*LR PASS*.pdf")</f>
        <v>0</v>
      </c>
      <c r="I30" s="68">
        <f ca="1">GetFileList("P:\TP et Raccodement\FICHES CREES RACCORDEMENT\2 - SAV + COMPL + PASSAGE W XV A SAISIR DANS AX\29-11-2019\*CL PASS*.pdf")</f>
        <v>0</v>
      </c>
      <c r="J30" s="76">
        <f ca="1">GetFileList("P:\TP et Raccodement\FICHES CREES RACCORDEMENT\2 - SAV + COMPL + PASSAGE W XV A SAISIR DANS AX\29-11-2019\*SAV*.pdf")</f>
        <v>0</v>
      </c>
      <c r="K30" s="77">
        <f ca="1">GetFileList("P:\TP et Raccodement\FICHES CREES RACCORDEMENT\2 - SAV + COMPL + PASSAGE W XV A SAISIR DANS AX\29-11-2019\*COMPLEMENT*.pdf")</f>
        <v>0</v>
      </c>
      <c r="L30" s="77">
        <f ca="1">GetFileList("P:\TP et Raccodement\FICHES CREES RACCORDEMENT\2 - SAV + COMPL + PASSAGE W XV A SAISIR DANS AX\29-11-2019\*REPRISE*.pdf")</f>
        <v>0</v>
      </c>
      <c r="M30" s="78">
        <f ca="1">GetFileList("P:\TP et Raccodement\FICHES CREES RACCORDEMENT\2 - SAV + COMPL + PASSAGE W XV A SAISIR DANS AX\29-11-2019\*REMONTAGE*.pdf")</f>
        <v>0</v>
      </c>
      <c r="N30" s="61"/>
      <c r="O30" s="73">
        <f t="shared" ca="1" si="1"/>
        <v>0</v>
      </c>
    </row>
    <row r="31" spans="1:15" ht="17.25" thickBot="1" x14ac:dyDescent="0.35">
      <c r="A31" s="59">
        <v>43434</v>
      </c>
      <c r="B31" s="74">
        <f t="shared" ca="1" si="0"/>
        <v>0</v>
      </c>
      <c r="C31" s="67">
        <f ca="1">GetFileList("P:\TP et Raccodement\FICHES CREES RACCORDEMENT\1 - RACCOS A SAISIR DANS AX\30-11-2019\*LM RACCO*.pdf")</f>
        <v>0</v>
      </c>
      <c r="D31" s="67">
        <f ca="1">GetFileList("P:\TP et Raccodement\FICHES CREES RACCORDEMENT\1 - RACCOS A SAISIR DANS AX\30-11-2019\*LR RACCO*.pdf")</f>
        <v>0</v>
      </c>
      <c r="E31" s="68">
        <f ca="1">GetFileList("P:\TP et Raccodement\FICHES CREES RACCORDEMENT\1 - RACCOS A SAISIR DANS AX\30-11-2019\*CL RACCO*.pdf")</f>
        <v>0</v>
      </c>
      <c r="F31" s="75">
        <f t="shared" ca="1" si="2"/>
        <v>0</v>
      </c>
      <c r="G31" s="67">
        <f ca="1">GetFileList("P:\TP et Raccodement\FICHES CREES RACCORDEMENT\2 - SAV + COMPL + PASSAGE W XV A SAISIR DANS AX\30-11-2019\*LM PASS*.pdf")</f>
        <v>0</v>
      </c>
      <c r="H31" s="67">
        <f ca="1">GetFileList("P:\TP et Raccodement\FICHES CREES RACCORDEMENT\2 - SAV + COMPL + PASSAGE W XV A SAISIR DANS AX\30-11-2019\*LR PASS*.pdf")</f>
        <v>0</v>
      </c>
      <c r="I31" s="68">
        <f ca="1">GetFileList("P:\TP et Raccodement\FICHES CREES RACCORDEMENT\2 - SAV + COMPL + PASSAGE W XV A SAISIR DANS AX\30-11-2019\*CL PASS*.pdf")</f>
        <v>0</v>
      </c>
      <c r="J31" s="76">
        <f ca="1">GetFileList("P:\TP et Raccodement\FICHES CREES RACCORDEMENT\2 - SAV + COMPL + PASSAGE W XV A SAISIR DANS AX\30-11-2019\*SAV*.pdf")</f>
        <v>0</v>
      </c>
      <c r="K31" s="77">
        <f ca="1">GetFileList("P:\TP et Raccodement\FICHES CREES RACCORDEMENT\2 - SAV + COMPL + PASSAGE W XV A SAISIR DANS AX\30-11-2019\*COMPLEMENT*.pdf")</f>
        <v>0</v>
      </c>
      <c r="L31" s="77">
        <f ca="1">GetFileList("P:\TP et Raccodement\FICHES CREES RACCORDEMENT\2 - SAV + COMPL + PASSAGE W XV A SAISIR DANS AX\30-11-2019\*REPRISE*.pdf")</f>
        <v>0</v>
      </c>
      <c r="M31" s="78">
        <f ca="1">GetFileList("P:\TP et Raccodement\FICHES CREES RACCORDEMENT\2 - SAV + COMPL + PASSAGE W XV A SAISIR DANS AX\30-11-2019\*REMONTAGE*.pdf")</f>
        <v>0</v>
      </c>
      <c r="N31" s="61"/>
      <c r="O31" s="73">
        <f t="shared" ca="1" si="1"/>
        <v>0</v>
      </c>
    </row>
    <row r="32" spans="1:15" ht="18" thickBot="1" x14ac:dyDescent="0.35">
      <c r="A32" s="136" t="s">
        <v>10</v>
      </c>
      <c r="B32" s="132">
        <f t="shared" ref="B32:M32" ca="1" si="3">SUM(B2:B31)</f>
        <v>0</v>
      </c>
      <c r="C32" s="133">
        <f t="shared" ca="1" si="3"/>
        <v>0</v>
      </c>
      <c r="D32" s="133">
        <f t="shared" ca="1" si="3"/>
        <v>0</v>
      </c>
      <c r="E32" s="134">
        <f t="shared" ca="1" si="3"/>
        <v>0</v>
      </c>
      <c r="F32" s="69">
        <f t="shared" ca="1" si="3"/>
        <v>0</v>
      </c>
      <c r="G32" s="70">
        <f t="shared" ca="1" si="3"/>
        <v>0</v>
      </c>
      <c r="H32" s="70">
        <f t="shared" ca="1" si="3"/>
        <v>0</v>
      </c>
      <c r="I32" s="86">
        <f t="shared" ca="1" si="3"/>
        <v>0</v>
      </c>
      <c r="J32" s="87">
        <f t="shared" ca="1" si="3"/>
        <v>0</v>
      </c>
      <c r="K32" s="82">
        <f t="shared" ca="1" si="3"/>
        <v>0</v>
      </c>
      <c r="L32" s="82">
        <f t="shared" ca="1" si="3"/>
        <v>0</v>
      </c>
      <c r="M32" s="83">
        <f t="shared" ca="1" si="3"/>
        <v>0</v>
      </c>
      <c r="N32" s="62"/>
      <c r="O32" s="72">
        <f ca="1">SUM(O2:O31)</f>
        <v>0</v>
      </c>
    </row>
  </sheetData>
  <conditionalFormatting sqref="O2:O31">
    <cfRule type="cellIs" dxfId="4" priority="1" operator="equal">
      <formula>0</formula>
    </cfRule>
  </conditionalFormatting>
  <conditionalFormatting sqref="B2:B31">
    <cfRule type="dataBar" priority="42">
      <dataBar>
        <cfvo type="min"/>
        <cfvo type="max"/>
        <color rgb="FF41A964"/>
      </dataBar>
      <extLst>
        <ext xmlns:x14="http://schemas.microsoft.com/office/spreadsheetml/2009/9/main" uri="{B025F937-C7B1-47D3-B67F-A62EFF666E3E}">
          <x14:id>{FD7F490A-DBE8-4E22-A11C-B9B596574DB6}</x14:id>
        </ext>
      </extLst>
    </cfRule>
  </conditionalFormatting>
  <conditionalFormatting sqref="B5:B9 B13:B16 B19:B23 B26:B30">
    <cfRule type="iconSet" priority="43">
      <iconSet iconSet="3Flags">
        <cfvo type="percent" val="0"/>
        <cfvo type="percent" val="33"/>
        <cfvo type="percent" val="67"/>
      </iconSet>
    </cfRule>
  </conditionalFormatting>
  <conditionalFormatting sqref="F2:F31">
    <cfRule type="dataBar" priority="48">
      <dataBar>
        <cfvo type="min"/>
        <cfvo type="max"/>
        <color rgb="FF53BD76"/>
      </dataBar>
      <extLst>
        <ext xmlns:x14="http://schemas.microsoft.com/office/spreadsheetml/2009/9/main" uri="{B025F937-C7B1-47D3-B67F-A62EFF666E3E}">
          <x14:id>{9D4EFB99-D9D8-40DA-BF14-982EC5933794}</x14:id>
        </ext>
      </extLst>
    </cfRule>
  </conditionalFormatting>
  <conditionalFormatting sqref="F5:F9 F13:F16 F19:F23 F26:F30">
    <cfRule type="iconSet" priority="49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7F490A-DBE8-4E22-A11C-B9B596574DB6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B2:B31</xm:sqref>
        </x14:conditionalFormatting>
        <x14:conditionalFormatting xmlns:xm="http://schemas.microsoft.com/office/excel/2006/main">
          <x14:cfRule type="dataBar" id="{9D4EFB99-D9D8-40DA-BF14-982EC5933794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F2:F31</xm:sqref>
        </x14:conditionalFormatting>
      </x14:conditionalFormatting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rgb="FF7030A0"/>
  </sheetPr>
  <dimension ref="A1:P33"/>
  <sheetViews>
    <sheetView showGridLines="0" zoomScaleNormal="10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2.140625" customWidth="1"/>
    <col min="2" max="2" width="14.85546875" bestFit="1" customWidth="1"/>
    <col min="6" max="6" width="13.42578125" customWidth="1"/>
    <col min="13" max="13" width="12.28515625" bestFit="1" customWidth="1"/>
    <col min="14" max="14" width="0.85546875" customWidth="1"/>
    <col min="15" max="15" width="9.140625" style="1"/>
    <col min="16" max="16" width="10.7109375" bestFit="1" customWidth="1"/>
  </cols>
  <sheetData>
    <row r="1" spans="1:16" ht="31.5" customHeight="1" x14ac:dyDescent="0.25">
      <c r="A1" s="58" t="s">
        <v>11</v>
      </c>
      <c r="B1" s="66" t="s">
        <v>41</v>
      </c>
      <c r="C1" s="64" t="s">
        <v>1</v>
      </c>
      <c r="D1" s="64" t="s">
        <v>2</v>
      </c>
      <c r="E1" s="65" t="s">
        <v>3</v>
      </c>
      <c r="F1" s="71" t="s">
        <v>42</v>
      </c>
      <c r="G1" s="84" t="s">
        <v>5</v>
      </c>
      <c r="H1" s="84" t="s">
        <v>2</v>
      </c>
      <c r="I1" s="85" t="s">
        <v>3</v>
      </c>
      <c r="J1" s="63" t="s">
        <v>43</v>
      </c>
      <c r="K1" s="64" t="s">
        <v>44</v>
      </c>
      <c r="L1" s="64" t="s">
        <v>45</v>
      </c>
      <c r="M1" s="65" t="s">
        <v>46</v>
      </c>
      <c r="N1" s="60"/>
      <c r="O1" s="71" t="s">
        <v>10</v>
      </c>
    </row>
    <row r="2" spans="1:16" ht="16.5" x14ac:dyDescent="0.3">
      <c r="A2" s="88">
        <v>43800</v>
      </c>
      <c r="B2" s="89">
        <f ca="1">C2+D2+E2</f>
        <v>0</v>
      </c>
      <c r="C2" s="90">
        <f ca="1">GetFileList("P:\TP et Raccodement\FICHES CREES RACCORDEMENT\1 - RACCOS A SAISIR DANS AX\01-12-2019\*LM RACCO*.pdf")</f>
        <v>0</v>
      </c>
      <c r="D2" s="90">
        <f ca="1">GetFileList("P:\TP et Raccodement\FICHES CREES RACCORDEMENT\1 - RACCOS A SAISIR DANS AX\01-12-2019\*LR RACCO*.pdf")</f>
        <v>0</v>
      </c>
      <c r="E2" s="91">
        <f ca="1">GetFileList("P:\TP et Raccodement\FICHES CREES RACCORDEMENT\1 - RACCOS A SAISIR DANS AX\01-12-2019\*CL RACCO*.pdf")</f>
        <v>0</v>
      </c>
      <c r="F2" s="92">
        <f ca="1">G2+H2+I2</f>
        <v>0</v>
      </c>
      <c r="G2" s="90">
        <f ca="1">GetFileList("P:\TP et Raccodement\FICHES CREES RACCORDEMENT\2 - SAV + COMPL + PASSAGE W XV A SAISIR DANS AX\01-12-2019\*LM PASS*.pdf")</f>
        <v>0</v>
      </c>
      <c r="H2" s="90">
        <f ca="1">GetFileList("P:\TP et Raccodement\FICHES CREES RACCORDEMENT\2 - SAV + COMPL + PASSAGE W XV A SAISIR DANS AX\01-12-2019\*LR PASS*.pdf")</f>
        <v>0</v>
      </c>
      <c r="I2" s="91">
        <f ca="1">GetFileList("P:\TP et Raccodement\FICHES CREES RACCORDEMENT\2 - SAV + COMPL + PASSAGE W XV A SAISIR DANS AX\01-12-2019\*CL PASS*.pdf")</f>
        <v>0</v>
      </c>
      <c r="J2" s="93">
        <f ca="1">GetFileList("P:\TP et Raccodement\FICHES CREES RACCORDEMENT\2 - SAV + COMPL + PASSAGE W XV A SAISIR DANS AX\01-12-2019\*SAV*.pdf")</f>
        <v>0</v>
      </c>
      <c r="K2" s="94">
        <f ca="1">GetFileList("P:\TP et Raccodement\FICHES CREES RACCORDEMENT\2 - SAV + COMPL + PASSAGE W XV A SAISIR DANS AX\01-12-2019\*COMPLEMENT*.pdf")</f>
        <v>0</v>
      </c>
      <c r="L2" s="94">
        <f ca="1">GetFileList("P:\TP et Raccodement\FICHES CREES RACCORDEMENT\2 - SAV + COMPL + PASSAGE W XV A SAISIR DANS AX\01-12-2019\*REPRISE*.pdf")</f>
        <v>0</v>
      </c>
      <c r="M2" s="95">
        <f ca="1">GetFileList("P:\TP et Raccodement\FICHES CREES RACCORDEMENT\2 - SAV + COMPL + PASSAGE W XV A SAISIR DANS AX\01-12-2019\*REMONTAGE*.pdf")</f>
        <v>0</v>
      </c>
      <c r="N2" s="61"/>
      <c r="O2" s="73">
        <f ca="1">B2+F2+J2+K2+L2+M2</f>
        <v>0</v>
      </c>
      <c r="P2" s="54"/>
    </row>
    <row r="3" spans="1:16" ht="16.5" x14ac:dyDescent="0.3">
      <c r="A3" s="59">
        <v>43801</v>
      </c>
      <c r="B3" s="74">
        <f t="shared" ref="B3:B32" ca="1" si="0">C3+D3+E3</f>
        <v>0</v>
      </c>
      <c r="C3" s="67">
        <f ca="1">GetFileList("P:\TP et Raccodement\FICHES CREES RACCORDEMENT\1 - RACCOS A SAISIR DANS AX\02-12-2019\*LM RACCO*.pdf")</f>
        <v>0</v>
      </c>
      <c r="D3" s="67">
        <f ca="1">GetFileList("P:\TP et Raccodement\FICHES CREES RACCORDEMENT\1 - RACCOS A SAISIR DANS AX\02-12-2019\*LR RACCO*.pdf")</f>
        <v>0</v>
      </c>
      <c r="E3" s="68">
        <f ca="1">GetFileList("P:\TP et Raccodement\FICHES CREES RACCORDEMENT\1 - RACCOS A SAISIR DANS AX\02-12-2019\*CL RACCO*.pdf")</f>
        <v>0</v>
      </c>
      <c r="F3" s="75">
        <f ca="1">G3+H3+I3</f>
        <v>0</v>
      </c>
      <c r="G3" s="67">
        <f ca="1">GetFileList("P:\TP et Raccodement\FICHES CREES RACCORDEMENT\2 - SAV + COMPL + PASSAGE W XV A SAISIR DANS AX\02-12-2019\*LM PASS*.pdf")</f>
        <v>0</v>
      </c>
      <c r="H3" s="67">
        <f ca="1">GetFileList("P:\TP et Raccodement\FICHES CREES RACCORDEMENT\2 - SAV + COMPL + PASSAGE W XV A SAISIR DANS AX\02-12-2019\*LR PASS*.pdf")</f>
        <v>0</v>
      </c>
      <c r="I3" s="68">
        <f ca="1">GetFileList("P:\TP et Raccodement\FICHES CREES RACCORDEMENT\2 - SAV + COMPL + PASSAGE W XV A SAISIR DANS AX\02-12-2019\*CL PASS*.pdf")</f>
        <v>0</v>
      </c>
      <c r="J3" s="76">
        <f ca="1">GetFileList("P:\TP et Raccodement\FICHES CREES RACCORDEMENT\2 - SAV + COMPL + PASSAGE W XV A SAISIR DANS AX\02-12-2019\*SAV*.pdf")</f>
        <v>0</v>
      </c>
      <c r="K3" s="77">
        <f ca="1">GetFileList("P:\TP et Raccodement\FICHES CREES RACCORDEMENT\2 - SAV + COMPL + PASSAGE W XV A SAISIR DANS AX\02-12-2019\*COMPLEMENT*.pdf")</f>
        <v>0</v>
      </c>
      <c r="L3" s="77">
        <f ca="1">GetFileList("P:\TP et Raccodement\FICHES CREES RACCORDEMENT\2 - SAV + COMPL + PASSAGE W XV A SAISIR DANS AX\02-12-2019\*REPRISE*.pdf")</f>
        <v>0</v>
      </c>
      <c r="M3" s="78">
        <f ca="1">GetFileList("P:\TP et Raccodement\FICHES CREES RACCORDEMENT\2 - SAV + COMPL + PASSAGE W XV A SAISIR DANS AX\02-12-2019\*REMONTAGE*.pdf")</f>
        <v>0</v>
      </c>
      <c r="N3" s="61"/>
      <c r="O3" s="73">
        <f t="shared" ref="O3:O32" ca="1" si="1">B3+F3+J3+K3+L3+M3</f>
        <v>0</v>
      </c>
    </row>
    <row r="4" spans="1:16" ht="16.5" x14ac:dyDescent="0.3">
      <c r="A4" s="59">
        <v>43802</v>
      </c>
      <c r="B4" s="74">
        <f t="shared" ca="1" si="0"/>
        <v>0</v>
      </c>
      <c r="C4" s="67">
        <f ca="1">GetFileList("P:\TP et Raccodement\FICHES CREES RACCORDEMENT\1 - RACCOS A SAISIR DANS AX\03-12-2019\*LM RACCO*.pdf")</f>
        <v>0</v>
      </c>
      <c r="D4" s="67">
        <f ca="1">GetFileList("P:\TP et Raccodement\FICHES CREES RACCORDEMENT\1 - RACCOS A SAISIR DANS AX\03-12-2019\*LR RACCO*.pdf")</f>
        <v>0</v>
      </c>
      <c r="E4" s="68">
        <f ca="1">GetFileList("P:\TP et Raccodement\FICHES CREES RACCORDEMENT\1 - RACCOS A SAISIR DANS AX\03-12-2019\*CL RACCO*.pdf")</f>
        <v>0</v>
      </c>
      <c r="F4" s="75">
        <f t="shared" ref="F4:F32" ca="1" si="2">G4+H4+I4</f>
        <v>0</v>
      </c>
      <c r="G4" s="67">
        <f ca="1">GetFileList("P:\TP et Raccodement\FICHES CREES RACCORDEMENT\2 - SAV + COMPL + PASSAGE W XV A SAISIR DANS AX\03-12-2019\*LM PASS*.pdf")</f>
        <v>0</v>
      </c>
      <c r="H4" s="67">
        <f ca="1">GetFileList("P:\TP et Raccodement\FICHES CREES RACCORDEMENT\2 - SAV + COMPL + PASSAGE W XV A SAISIR DANS AX\03-12-2019\*LR PASS*.pdf")</f>
        <v>0</v>
      </c>
      <c r="I4" s="68">
        <f ca="1">GetFileList("P:\TP et Raccodement\FICHES CREES RACCORDEMENT\2 - SAV + COMPL + PASSAGE W XV A SAISIR DANS AX\03-12-2019\*CL PASS*.pdf")</f>
        <v>0</v>
      </c>
      <c r="J4" s="76">
        <f ca="1">GetFileList("P:\TP et Raccodement\FICHES CREES RACCORDEMENT\2 - SAV + COMPL + PASSAGE W XV A SAISIR DANS AX\03-12-2019\*SAV*.pdf")</f>
        <v>0</v>
      </c>
      <c r="K4" s="77">
        <f ca="1">GetFileList("P:\TP et Raccodement\FICHES CREES RACCORDEMENT\2 - SAV + COMPL + PASSAGE W XV A SAISIR DANS AX\03-12-2019\*COMPLEMENT*.pdf")</f>
        <v>0</v>
      </c>
      <c r="L4" s="77">
        <f ca="1">GetFileList("P:\TP et Raccodement\FICHES CREES RACCORDEMENT\2 - SAV + COMPL + PASSAGE W XV A SAISIR DANS AX\03-12-2019\*REPRISE*.pdf")</f>
        <v>0</v>
      </c>
      <c r="M4" s="78">
        <f ca="1">GetFileList("P:\TP et Raccodement\FICHES CREES RACCORDEMENT\2 - SAV + COMPL + PASSAGE W XV A SAISIR DANS AX\03-12-2019\*REMONTAGE*.pdf")</f>
        <v>0</v>
      </c>
      <c r="N4" s="61"/>
      <c r="O4" s="73">
        <f t="shared" ca="1" si="1"/>
        <v>0</v>
      </c>
    </row>
    <row r="5" spans="1:16" ht="16.5" x14ac:dyDescent="0.3">
      <c r="A5" s="59">
        <v>43803</v>
      </c>
      <c r="B5" s="74">
        <f t="shared" ca="1" si="0"/>
        <v>0</v>
      </c>
      <c r="C5" s="67">
        <f ca="1">GetFileList("P:\TP et Raccodement\FICHES CREES RACCORDEMENT\1 - RACCOS A SAISIR DANS AX\04-12-2019\*LM RACCO*.pdf")</f>
        <v>0</v>
      </c>
      <c r="D5" s="67">
        <f ca="1">GetFileList("P:\TP et Raccodement\FICHES CREES RACCORDEMENT\1 - RACCOS A SAISIR DANS AX\04-12-2019\*LR RACCO*.pdf")</f>
        <v>0</v>
      </c>
      <c r="E5" s="68">
        <f ca="1">GetFileList("P:\TP et Raccodement\FICHES CREES RACCORDEMENT\1 - RACCOS A SAISIR DANS AX\04-12-2019\*CL RACCO*.pdf")</f>
        <v>0</v>
      </c>
      <c r="F5" s="75">
        <f t="shared" ca="1" si="2"/>
        <v>0</v>
      </c>
      <c r="G5" s="67">
        <f ca="1">GetFileList("P:\TP et Raccodement\FICHES CREES RACCORDEMENT\2 - SAV + COMPL + PASSAGE W XV A SAISIR DANS AX\04-12-2019\*LM PASS*.pdf")</f>
        <v>0</v>
      </c>
      <c r="H5" s="67">
        <f ca="1">GetFileList("P:\TP et Raccodement\FICHES CREES RACCORDEMENT\2 - SAV + COMPL + PASSAGE W XV A SAISIR DANS AX\04-12-2019\*LR PASS*.pdf")</f>
        <v>0</v>
      </c>
      <c r="I5" s="68">
        <f ca="1">GetFileList("P:\TP et Raccodement\FICHES CREES RACCORDEMENT\2 - SAV + COMPL + PASSAGE W XV A SAISIR DANS AX\04-12-2019\*CL PASS*.pdf")</f>
        <v>0</v>
      </c>
      <c r="J5" s="76">
        <f ca="1">GetFileList("P:\TP et Raccodement\FICHES CREES RACCORDEMENT\2 - SAV + COMPL + PASSAGE W XV A SAISIR DANS AX\04-12-2019\*SAV*.pdf")</f>
        <v>0</v>
      </c>
      <c r="K5" s="77">
        <f ca="1">GetFileList("P:\TP et Raccodement\FICHES CREES RACCORDEMENT\2 - SAV + COMPL + PASSAGE W XV A SAISIR DANS AX\04-12-2019\*COMPLEMENT*.pdf")</f>
        <v>0</v>
      </c>
      <c r="L5" s="77">
        <f ca="1">GetFileList("P:\TP et Raccodement\FICHES CREES RACCORDEMENT\2 - SAV + COMPL + PASSAGE W XV A SAISIR DANS AX\04-12-2019\*REPRISE*.pdf")</f>
        <v>0</v>
      </c>
      <c r="M5" s="78">
        <f ca="1">GetFileList("P:\TP et Raccodement\FICHES CREES RACCORDEMENT\2 - SAV + COMPL + PASSAGE W XV A SAISIR DANS AX\04-12-2019\*REMONTAGE*.pdf")</f>
        <v>0</v>
      </c>
      <c r="N5" s="61"/>
      <c r="O5" s="73">
        <f t="shared" ca="1" si="1"/>
        <v>0</v>
      </c>
    </row>
    <row r="6" spans="1:16" ht="16.5" x14ac:dyDescent="0.3">
      <c r="A6" s="59">
        <v>43804</v>
      </c>
      <c r="B6" s="74">
        <f t="shared" ca="1" si="0"/>
        <v>0</v>
      </c>
      <c r="C6" s="67">
        <f ca="1">GetFileList("P:\TP et Raccodement\FICHES CREES RACCORDEMENT\1 - RACCOS A SAISIR DANS AX\05-12-2019\*LM RACCO*.pdf")</f>
        <v>0</v>
      </c>
      <c r="D6" s="67">
        <f ca="1">GetFileList("P:\TP et Raccodement\FICHES CREES RACCORDEMENT\1 - RACCOS A SAISIR DANS AX\05-12-2019\*LR RACCO*.pdf")</f>
        <v>0</v>
      </c>
      <c r="E6" s="68">
        <f ca="1">GetFileList("P:\TP et Raccodement\FICHES CREES RACCORDEMENT\1 - RACCOS A SAISIR DANS AX\05-12-2019\*CL RACCO*.pdf")</f>
        <v>0</v>
      </c>
      <c r="F6" s="75">
        <f t="shared" ca="1" si="2"/>
        <v>0</v>
      </c>
      <c r="G6" s="67">
        <f ca="1">GetFileList("P:\TP et Raccodement\FICHES CREES RACCORDEMENT\2 - SAV + COMPL + PASSAGE W XV A SAISIR DANS AX\05-12-2019\*LM PASS*.pdf")</f>
        <v>0</v>
      </c>
      <c r="H6" s="67">
        <f ca="1">GetFileList("P:\TP et Raccodement\FICHES CREES RACCORDEMENT\2 - SAV + COMPL + PASSAGE W XV A SAISIR DANS AX\05-12-2019\*LR PASS*.pdf")</f>
        <v>0</v>
      </c>
      <c r="I6" s="68">
        <f ca="1">GetFileList("P:\TP et Raccodement\FICHES CREES RACCORDEMENT\2 - SAV + COMPL + PASSAGE W XV A SAISIR DANS AX\05-12-2019\*CL PASS*.pdf")</f>
        <v>0</v>
      </c>
      <c r="J6" s="76">
        <f ca="1">GetFileList("P:\TP et Raccodement\FICHES CREES RACCORDEMENT\2 - SAV + COMPL + PASSAGE W XV A SAISIR DANS AX\05-12-2019\*SAV*.pdf")</f>
        <v>0</v>
      </c>
      <c r="K6" s="77">
        <f ca="1">GetFileList("P:\TP et Raccodement\FICHES CREES RACCORDEMENT\2 - SAV + COMPL + PASSAGE W XV A SAISIR DANS AX\05-12-2019\*COMPLEMENT*.pdf")</f>
        <v>0</v>
      </c>
      <c r="L6" s="77">
        <f ca="1">GetFileList("P:\TP et Raccodement\FICHES CREES RACCORDEMENT\2 - SAV + COMPL + PASSAGE W XV A SAISIR DANS AX\05-12-2019\*REPRISE*.pdf")</f>
        <v>0</v>
      </c>
      <c r="M6" s="78">
        <f ca="1">GetFileList("P:\TP et Raccodement\FICHES CREES RACCORDEMENT\2 - SAV + COMPL + PASSAGE W XV A SAISIR DANS AX\05-12-2019\*REMONTAGE*.pdf")</f>
        <v>0</v>
      </c>
      <c r="N6" s="61"/>
      <c r="O6" s="73">
        <f t="shared" ca="1" si="1"/>
        <v>0</v>
      </c>
    </row>
    <row r="7" spans="1:16" ht="16.5" x14ac:dyDescent="0.3">
      <c r="A7" s="59">
        <v>43805</v>
      </c>
      <c r="B7" s="74">
        <f t="shared" ca="1" si="0"/>
        <v>0</v>
      </c>
      <c r="C7" s="67">
        <f ca="1">GetFileList("P:\TP et Raccodement\FICHES CREES RACCORDEMENT\1 - RACCOS A SAISIR DANS AX\06-12-2019\*LM RACCO*.pdf")</f>
        <v>0</v>
      </c>
      <c r="D7" s="67">
        <f ca="1">GetFileList("P:\TP et Raccodement\FICHES CREES RACCORDEMENT\1 - RACCOS A SAISIR DANS AX\06-12-2019\*LR RACCO*.pdf")</f>
        <v>0</v>
      </c>
      <c r="E7" s="68">
        <f ca="1">GetFileList("P:\TP et Raccodement\FICHES CREES RACCORDEMENT\1 - RACCOS A SAISIR DANS AX\06-12-2019\*CL RACCO*.pdf")</f>
        <v>0</v>
      </c>
      <c r="F7" s="75">
        <f t="shared" ca="1" si="2"/>
        <v>0</v>
      </c>
      <c r="G7" s="67">
        <f ca="1">GetFileList("P:\TP et Raccodement\FICHES CREES RACCORDEMENT\2 - SAV + COMPL + PASSAGE W XV A SAISIR DANS AX\06-12-2019\*LM PASS*.pdf")</f>
        <v>0</v>
      </c>
      <c r="H7" s="67">
        <f ca="1">GetFileList("P:\TP et Raccodement\FICHES CREES RACCORDEMENT\2 - SAV + COMPL + PASSAGE W XV A SAISIR DANS AX\06-12-2019\*LR PASS*.pdf")</f>
        <v>0</v>
      </c>
      <c r="I7" s="68">
        <f ca="1">GetFileList("P:\TP et Raccodement\FICHES CREES RACCORDEMENT\2 - SAV + COMPL + PASSAGE W XV A SAISIR DANS AX\06-12-2019\*CL PASS*.pdf")</f>
        <v>0</v>
      </c>
      <c r="J7" s="76">
        <f ca="1">GetFileList("P:\TP et Raccodement\FICHES CREES RACCORDEMENT\2 - SAV + COMPL + PASSAGE W XV A SAISIR DANS AX\06-12-2019\*SAV*.pdf")</f>
        <v>0</v>
      </c>
      <c r="K7" s="77">
        <f ca="1">GetFileList("P:\TP et Raccodement\FICHES CREES RACCORDEMENT\2 - SAV + COMPL + PASSAGE W XV A SAISIR DANS AX\06-12-2019\*COMPLEMENT*.pdf")</f>
        <v>0</v>
      </c>
      <c r="L7" s="77">
        <f ca="1">GetFileList("P:\TP et Raccodement\FICHES CREES RACCORDEMENT\2 - SAV + COMPL + PASSAGE W XV A SAISIR DANS AX\06-12-2019\*REPRISE*.pdf")</f>
        <v>0</v>
      </c>
      <c r="M7" s="78">
        <f ca="1">GetFileList("P:\TP et Raccodement\FICHES CREES RACCORDEMENT\2 - SAV + COMPL + PASSAGE W XV A SAISIR DANS AX\06-12-2019\*REMONTAGE*.pdf")</f>
        <v>0</v>
      </c>
      <c r="N7" s="61"/>
      <c r="O7" s="73">
        <f t="shared" ca="1" si="1"/>
        <v>0</v>
      </c>
    </row>
    <row r="8" spans="1:16" ht="16.5" x14ac:dyDescent="0.3">
      <c r="A8" s="59">
        <v>43806</v>
      </c>
      <c r="B8" s="74">
        <f t="shared" ca="1" si="0"/>
        <v>0</v>
      </c>
      <c r="C8" s="67">
        <f ca="1">GetFileList("P:\TP et Raccodement\FICHES CREES RACCORDEMENT\1 - RACCOS A SAISIR DANS AX\07-12-2019\*LM RACCO*.pdf")</f>
        <v>0</v>
      </c>
      <c r="D8" s="67">
        <f ca="1">GetFileList("P:\TP et Raccodement\FICHES CREES RACCORDEMENT\1 - RACCOS A SAISIR DANS AX\07-12-2019\*LR RACCO*.pdf")</f>
        <v>0</v>
      </c>
      <c r="E8" s="68">
        <f ca="1">GetFileList("P:\TP et Raccodement\FICHES CREES RACCORDEMENT\1 - RACCOS A SAISIR DANS AX\07-12-2019\*CL RACCO*.pdf")</f>
        <v>0</v>
      </c>
      <c r="F8" s="75">
        <f t="shared" ca="1" si="2"/>
        <v>0</v>
      </c>
      <c r="G8" s="67">
        <f ca="1">GetFileList("P:\TP et Raccodement\FICHES CREES RACCORDEMENT\2 - SAV + COMPL + PASSAGE W XV A SAISIR DANS AX\07-12-2019\*LM PASS*.pdf")</f>
        <v>0</v>
      </c>
      <c r="H8" s="67">
        <f ca="1">GetFileList("P:\TP et Raccodement\FICHES CREES RACCORDEMENT\2 - SAV + COMPL + PASSAGE W XV A SAISIR DANS AX\07-12-2019\*LR PASS*.pdf")</f>
        <v>0</v>
      </c>
      <c r="I8" s="68">
        <f ca="1">GetFileList("P:\TP et Raccodement\FICHES CREES RACCORDEMENT\2 - SAV + COMPL + PASSAGE W XV A SAISIR DANS AX\07-12-2019\*CL PASS*.pdf")</f>
        <v>0</v>
      </c>
      <c r="J8" s="76">
        <f ca="1">GetFileList("P:\TP et Raccodement\FICHES CREES RACCORDEMENT\2 - SAV + COMPL + PASSAGE W XV A SAISIR DANS AX\07-12-2019\*SAV*.pdf")</f>
        <v>0</v>
      </c>
      <c r="K8" s="77">
        <f ca="1">GetFileList("P:\TP et Raccodement\FICHES CREES RACCORDEMENT\2 - SAV + COMPL + PASSAGE W XV A SAISIR DANS AX\07-12-2019\*COMPLEMENT*.pdf")</f>
        <v>0</v>
      </c>
      <c r="L8" s="77">
        <f ca="1">GetFileList("P:\TP et Raccodement\FICHES CREES RACCORDEMENT\2 - SAV + COMPL + PASSAGE W XV A SAISIR DANS AX\07-12-2019\*REPRISE*.pdf")</f>
        <v>0</v>
      </c>
      <c r="M8" s="78">
        <f ca="1">GetFileList("P:\TP et Raccodement\FICHES CREES RACCORDEMENT\2 - SAV + COMPL + PASSAGE W XV A SAISIR DANS AX\07-12-2019\*REMONTAGE*.pdf")</f>
        <v>0</v>
      </c>
      <c r="N8" s="61"/>
      <c r="O8" s="73">
        <f t="shared" ca="1" si="1"/>
        <v>0</v>
      </c>
    </row>
    <row r="9" spans="1:16" ht="16.5" x14ac:dyDescent="0.3">
      <c r="A9" s="88">
        <v>43807</v>
      </c>
      <c r="B9" s="89">
        <f t="shared" ca="1" si="0"/>
        <v>0</v>
      </c>
      <c r="C9" s="90">
        <f ca="1">GetFileList("P:\TP et Raccodement\FICHES CREES RACCORDEMENT\1 - RACCOS A SAISIR DANS AX\08-12-2019\*LM RACCO*.pdf")</f>
        <v>0</v>
      </c>
      <c r="D9" s="90">
        <f ca="1">GetFileList("P:\TP et Raccodement\FICHES CREES RACCORDEMENT\1 - RACCOS A SAISIR DANS AX\08-12-2019\*LR RACCO*.pdf")</f>
        <v>0</v>
      </c>
      <c r="E9" s="91">
        <f ca="1">GetFileList("P:\TP et Raccodement\FICHES CREES RACCORDEMENT\1 - RACCOS A SAISIR DANS AX\08-12-2019\*CL RACCO*.pdf")</f>
        <v>0</v>
      </c>
      <c r="F9" s="92">
        <f t="shared" ca="1" si="2"/>
        <v>0</v>
      </c>
      <c r="G9" s="90">
        <f ca="1">GetFileList("P:\TP et Raccodement\FICHES CREES RACCORDEMENT\2 - SAV + COMPL + PASSAGE W XV A SAISIR DANS AX\08-12-2019\*LM PASS*.pdf")</f>
        <v>0</v>
      </c>
      <c r="H9" s="90">
        <f ca="1">GetFileList("P:\TP et Raccodement\FICHES CREES RACCORDEMENT\2 - SAV + COMPL + PASSAGE W XV A SAISIR DANS AX\08-12-2019\*LR PASS*.pdf")</f>
        <v>0</v>
      </c>
      <c r="I9" s="91">
        <f ca="1">GetFileList("P:\TP et Raccodement\FICHES CREES RACCORDEMENT\2 - SAV + COMPL + PASSAGE W XV A SAISIR DANS AX\08-12-2019\*CL PASS*.pdf")</f>
        <v>0</v>
      </c>
      <c r="J9" s="93">
        <f ca="1">GetFileList("P:\TP et Raccodement\FICHES CREES RACCORDEMENT\2 - SAV + COMPL + PASSAGE W XV A SAISIR DANS AX\08-12-2019\*SAV*.pdf")</f>
        <v>0</v>
      </c>
      <c r="K9" s="94">
        <f ca="1">GetFileList("P:\TP et Raccodement\FICHES CREES RACCORDEMENT\2 - SAV + COMPL + PASSAGE W XV A SAISIR DANS AX\08-12-2019\*COMPLEMENT*.pdf")</f>
        <v>0</v>
      </c>
      <c r="L9" s="94">
        <f ca="1">GetFileList("P:\TP et Raccodement\FICHES CREES RACCORDEMENT\2 - SAV + COMPL + PASSAGE W XV A SAISIR DANS AX\08-12-2019\*REPRISE*.pdf")</f>
        <v>0</v>
      </c>
      <c r="M9" s="95">
        <f ca="1">GetFileList("P:\TP et Raccodement\FICHES CREES RACCORDEMENT\2 - SAV + COMPL + PASSAGE W XV A SAISIR DANS AX\08-12-2019\*REMONTAGE*.pdf")</f>
        <v>0</v>
      </c>
      <c r="N9" s="61"/>
      <c r="O9" s="73">
        <f t="shared" ca="1" si="1"/>
        <v>0</v>
      </c>
    </row>
    <row r="10" spans="1:16" ht="16.5" x14ac:dyDescent="0.3">
      <c r="A10" s="59">
        <v>43808</v>
      </c>
      <c r="B10" s="74">
        <f t="shared" ca="1" si="0"/>
        <v>0</v>
      </c>
      <c r="C10" s="67">
        <f ca="1">GetFileList("P:\TP et Raccodement\FICHES CREES RACCORDEMENT\1 - RACCOS A SAISIR DANS AX\09-12-2019\*LM RACCO*.pdf")</f>
        <v>0</v>
      </c>
      <c r="D10" s="67">
        <f ca="1">GetFileList("P:\TP et Raccodement\FICHES CREES RACCORDEMENT\1 - RACCOS A SAISIR DANS AX\09-12-2019\*LR RACCO*.pdf")</f>
        <v>0</v>
      </c>
      <c r="E10" s="68">
        <f ca="1">GetFileList("P:\TP et Raccodement\FICHES CREES RACCORDEMENT\1 - RACCOS A SAISIR DANS AX\09-12-2019\*CL RACCO*.pdf")</f>
        <v>0</v>
      </c>
      <c r="F10" s="75">
        <f t="shared" ca="1" si="2"/>
        <v>0</v>
      </c>
      <c r="G10" s="67">
        <f ca="1">GetFileList("P:\TP et Raccodement\FICHES CREES RACCORDEMENT\2 - SAV + COMPL + PASSAGE W XV A SAISIR DANS AX\09-12-2019\*LM PASS*.pdf")</f>
        <v>0</v>
      </c>
      <c r="H10" s="67">
        <f ca="1">GetFileList("P:\TP et Raccodement\FICHES CREES RACCORDEMENT\2 - SAV + COMPL + PASSAGE W XV A SAISIR DANS AX\09-12-2019\*LR PASS*.pdf")</f>
        <v>0</v>
      </c>
      <c r="I10" s="68">
        <f ca="1">GetFileList("P:\TP et Raccodement\FICHES CREES RACCORDEMENT\2 - SAV + COMPL + PASSAGE W XV A SAISIR DANS AX\09-12-2019\*CL PASS*.pdf")</f>
        <v>0</v>
      </c>
      <c r="J10" s="76">
        <f ca="1">GetFileList("P:\TP et Raccodement\FICHES CREES RACCORDEMENT\2 - SAV + COMPL + PASSAGE W XV A SAISIR DANS AX\09-12-2019\*SAV*.pdf")</f>
        <v>0</v>
      </c>
      <c r="K10" s="77">
        <f ca="1">GetFileList("P:\TP et Raccodement\FICHES CREES RACCORDEMENT\2 - SAV + COMPL + PASSAGE W XV A SAISIR DANS AX\09-12-2019\*COMPLEMENT*.pdf")</f>
        <v>0</v>
      </c>
      <c r="L10" s="77">
        <f ca="1">GetFileList("P:\TP et Raccodement\FICHES CREES RACCORDEMENT\2 - SAV + COMPL + PASSAGE W XV A SAISIR DANS AX\09-12-2019\*REPRISE*.pdf")</f>
        <v>0</v>
      </c>
      <c r="M10" s="78">
        <f ca="1">GetFileList("P:\TP et Raccodement\FICHES CREES RACCORDEMENT\2 - SAV + COMPL + PASSAGE W XV A SAISIR DANS AX\09-12-2019\*REMONTAGE*.pdf")</f>
        <v>0</v>
      </c>
      <c r="N10" s="61"/>
      <c r="O10" s="73">
        <f t="shared" ca="1" si="1"/>
        <v>0</v>
      </c>
    </row>
    <row r="11" spans="1:16" ht="16.5" x14ac:dyDescent="0.3">
      <c r="A11" s="59">
        <v>43809</v>
      </c>
      <c r="B11" s="74">
        <f t="shared" ca="1" si="0"/>
        <v>0</v>
      </c>
      <c r="C11" s="67">
        <f ca="1">GetFileList("P:\TP et Raccodement\FICHES CREES RACCORDEMENT\1 - RACCOS A SAISIR DANS AX\10-12-2019\*LM RACCO*.pdf")</f>
        <v>0</v>
      </c>
      <c r="D11" s="67">
        <f ca="1">GetFileList("P:\TP et Raccodement\FICHES CREES RACCORDEMENT\1 - RACCOS A SAISIR DANS AX\10-12-2019\*LR RACCO*.pdf")</f>
        <v>0</v>
      </c>
      <c r="E11" s="68">
        <f ca="1">GetFileList("P:\TP et Raccodement\FICHES CREES RACCORDEMENT\1 - RACCOS A SAISIR DANS AX\10-12-2019\*CL RACCO*.pdf")</f>
        <v>0</v>
      </c>
      <c r="F11" s="75">
        <f t="shared" ca="1" si="2"/>
        <v>0</v>
      </c>
      <c r="G11" s="67">
        <f ca="1">GetFileList("P:\TP et Raccodement\FICHES CREES RACCORDEMENT\2 - SAV + COMPL + PASSAGE W XV A SAISIR DANS AX\10-12-2019\*LM PASS*.pdf")</f>
        <v>0</v>
      </c>
      <c r="H11" s="67">
        <f ca="1">GetFileList("P:\TP et Raccodement\FICHES CREES RACCORDEMENT\2 - SAV + COMPL + PASSAGE W XV A SAISIR DANS AX\10-12-2019\*LR PASS*.pdf")</f>
        <v>0</v>
      </c>
      <c r="I11" s="68">
        <f ca="1">GetFileList("P:\TP et Raccodement\FICHES CREES RACCORDEMENT\2 - SAV + COMPL + PASSAGE W XV A SAISIR DANS AX\10-12-2019\*CL PASS*.pdf")</f>
        <v>0</v>
      </c>
      <c r="J11" s="76">
        <f ca="1">GetFileList("P:\TP et Raccodement\FICHES CREES RACCORDEMENT\2 - SAV + COMPL + PASSAGE W XV A SAISIR DANS AX\10-12-2019\*SAV*.pdf")</f>
        <v>0</v>
      </c>
      <c r="K11" s="77">
        <f ca="1">GetFileList("P:\TP et Raccodement\FICHES CREES RACCORDEMENT\2 - SAV + COMPL + PASSAGE W XV A SAISIR DANS AX\10-12-2019\*COMPLEMENT*.pdf")</f>
        <v>0</v>
      </c>
      <c r="L11" s="77">
        <f ca="1">GetFileList("P:\TP et Raccodement\FICHES CREES RACCORDEMENT\2 - SAV + COMPL + PASSAGE W XV A SAISIR DANS AX\10-12-2019\*REPRISE*.pdf")</f>
        <v>0</v>
      </c>
      <c r="M11" s="78">
        <f ca="1">GetFileList("P:\TP et Raccodement\FICHES CREES RACCORDEMENT\2 - SAV + COMPL + PASSAGE W XV A SAISIR DANS AX\10-12-2019\*REMONTAGE*.pdf")</f>
        <v>0</v>
      </c>
      <c r="N11" s="61"/>
      <c r="O11" s="73">
        <f t="shared" ca="1" si="1"/>
        <v>0</v>
      </c>
    </row>
    <row r="12" spans="1:16" ht="16.5" x14ac:dyDescent="0.3">
      <c r="A12" s="59">
        <v>43810</v>
      </c>
      <c r="B12" s="74">
        <f t="shared" ca="1" si="0"/>
        <v>0</v>
      </c>
      <c r="C12" s="67">
        <f ca="1">GetFileList("P:\TP et Raccodement\FICHES CREES RACCORDEMENT\1 - RACCOS A SAISIR DANS AX\11-12-2019\*LM RACCO*.pdf")</f>
        <v>0</v>
      </c>
      <c r="D12" s="67">
        <f ca="1">GetFileList("P:\TP et Raccodement\FICHES CREES RACCORDEMENT\1 - RACCOS A SAISIR DANS AX\11-12-2019\*LR RACCO*.pdf")</f>
        <v>0</v>
      </c>
      <c r="E12" s="68">
        <f ca="1">GetFileList("P:\TP et Raccodement\FICHES CREES RACCORDEMENT\1 - RACCOS A SAISIR DANS AX\11-12-2019\*CL RACCO*.pdf")</f>
        <v>0</v>
      </c>
      <c r="F12" s="75">
        <f t="shared" ca="1" si="2"/>
        <v>0</v>
      </c>
      <c r="G12" s="67">
        <f ca="1">GetFileList("P:\TP et Raccodement\FICHES CREES RACCORDEMENT\2 - SAV + COMPL + PASSAGE W XV A SAISIR DANS AX\11-12-2019\*LM PASS*.pdf")</f>
        <v>0</v>
      </c>
      <c r="H12" s="67">
        <f ca="1">GetFileList("P:\TP et Raccodement\FICHES CREES RACCORDEMENT\2 - SAV + COMPL + PASSAGE W XV A SAISIR DANS AX\11-12-2019\*LR PASS*.pdf")</f>
        <v>0</v>
      </c>
      <c r="I12" s="68">
        <f ca="1">GetFileList("P:\TP et Raccodement\FICHES CREES RACCORDEMENT\2 - SAV + COMPL + PASSAGE W XV A SAISIR DANS AX\11-12-2019\*CL PASS*.pdf")</f>
        <v>0</v>
      </c>
      <c r="J12" s="76">
        <f ca="1">GetFileList("P:\TP et Raccodement\FICHES CREES RACCORDEMENT\2 - SAV + COMPL + PASSAGE W XV A SAISIR DANS AX\11-12-2019\*SAV*.pdf")</f>
        <v>0</v>
      </c>
      <c r="K12" s="77">
        <f ca="1">GetFileList("P:\TP et Raccodement\FICHES CREES RACCORDEMENT\2 - SAV + COMPL + PASSAGE W XV A SAISIR DANS AX\11-12-2019\*COMPLEMENT*.pdf")</f>
        <v>0</v>
      </c>
      <c r="L12" s="77">
        <f ca="1">GetFileList("P:\TP et Raccodement\FICHES CREES RACCORDEMENT\2 - SAV + COMPL + PASSAGE W XV A SAISIR DANS AX\11-12-2019\*REPRISE*.pdf")</f>
        <v>0</v>
      </c>
      <c r="M12" s="78">
        <f ca="1">GetFileList("P:\TP et Raccodement\FICHES CREES RACCORDEMENT\2 - SAV + COMPL + PASSAGE W XV A SAISIR DANS AX\11-12-2019\*REMONTAGE*.pdf")</f>
        <v>0</v>
      </c>
      <c r="N12" s="61"/>
      <c r="O12" s="73">
        <f t="shared" ca="1" si="1"/>
        <v>0</v>
      </c>
    </row>
    <row r="13" spans="1:16" ht="16.5" x14ac:dyDescent="0.3">
      <c r="A13" s="59">
        <v>43811</v>
      </c>
      <c r="B13" s="74">
        <f t="shared" ca="1" si="0"/>
        <v>0</v>
      </c>
      <c r="C13" s="67">
        <f ca="1">GetFileList("P:\TP et Raccodement\FICHES CREES RACCORDEMENT\1 - RACCOS A SAISIR DANS AX\12-12-2019\*LM RACCO*.pdf")</f>
        <v>0</v>
      </c>
      <c r="D13" s="67">
        <f ca="1">GetFileList("P:\TP et Raccodement\FICHES CREES RACCORDEMENT\1 - RACCOS A SAISIR DANS AX\12-12-2019\*LR RACCO*.pdf")</f>
        <v>0</v>
      </c>
      <c r="E13" s="68">
        <f ca="1">GetFileList("P:\TP et Raccodement\FICHES CREES RACCORDEMENT\1 - RACCOS A SAISIR DANS AX\12-12-2019\*CL RACCO*.pdf")</f>
        <v>0</v>
      </c>
      <c r="F13" s="75">
        <f t="shared" ca="1" si="2"/>
        <v>0</v>
      </c>
      <c r="G13" s="67">
        <f ca="1">GetFileList("P:\TP et Raccodement\FICHES CREES RACCORDEMENT\2 - SAV + COMPL + PASSAGE W XV A SAISIR DANS AX\12-12-2019\*LM PASS*.pdf")</f>
        <v>0</v>
      </c>
      <c r="H13" s="67">
        <f ca="1">GetFileList("P:\TP et Raccodement\FICHES CREES RACCORDEMENT\2 - SAV + COMPL + PASSAGE W XV A SAISIR DANS AX\12-12-2019\*LR PASS*.pdf")</f>
        <v>0</v>
      </c>
      <c r="I13" s="68">
        <f ca="1">GetFileList("P:\TP et Raccodement\FICHES CREES RACCORDEMENT\2 - SAV + COMPL + PASSAGE W XV A SAISIR DANS AX\12-12-2019\*CL PASS*.pdf")</f>
        <v>0</v>
      </c>
      <c r="J13" s="76">
        <f ca="1">GetFileList("P:\TP et Raccodement\FICHES CREES RACCORDEMENT\2 - SAV + COMPL + PASSAGE W XV A SAISIR DANS AX\12-12-2019\*SAV*.pdf")</f>
        <v>0</v>
      </c>
      <c r="K13" s="77">
        <f ca="1">GetFileList("P:\TP et Raccodement\FICHES CREES RACCORDEMENT\2 - SAV + COMPL + PASSAGE W XV A SAISIR DANS AX\12-12-2019\*COMPLEMENT*.pdf")</f>
        <v>0</v>
      </c>
      <c r="L13" s="77">
        <f ca="1">GetFileList("P:\TP et Raccodement\FICHES CREES RACCORDEMENT\2 - SAV + COMPL + PASSAGE W XV A SAISIR DANS AX\12-12-2019\*REPRISE*.pdf")</f>
        <v>0</v>
      </c>
      <c r="M13" s="78">
        <f ca="1">GetFileList("P:\TP et Raccodement\FICHES CREES RACCORDEMENT\2 - SAV + COMPL + PASSAGE W XV A SAISIR DANS AX\12-12-2019\*REMONTAGE*.pdf")</f>
        <v>0</v>
      </c>
      <c r="N13" s="61"/>
      <c r="O13" s="73">
        <f t="shared" ca="1" si="1"/>
        <v>0</v>
      </c>
    </row>
    <row r="14" spans="1:16" ht="16.5" x14ac:dyDescent="0.3">
      <c r="A14" s="59">
        <v>43812</v>
      </c>
      <c r="B14" s="74">
        <f t="shared" ca="1" si="0"/>
        <v>0</v>
      </c>
      <c r="C14" s="67">
        <f ca="1">GetFileList("P:\TP et Raccodement\FICHES CREES RACCORDEMENT\1 - RACCOS A SAISIR DANS AX\13-12-2019\*LM RACCO*.pdf")</f>
        <v>0</v>
      </c>
      <c r="D14" s="67">
        <f ca="1">GetFileList("P:\TP et Raccodement\FICHES CREES RACCORDEMENT\1 - RACCOS A SAISIR DANS AX\13-12-2019\*LR RACCO*.pdf")</f>
        <v>0</v>
      </c>
      <c r="E14" s="68">
        <f ca="1">GetFileList("P:\TP et Raccodement\FICHES CREES RACCORDEMENT\1 - RACCOS A SAISIR DANS AX\13-12-2019\*CL RACCO*.pdf")</f>
        <v>0</v>
      </c>
      <c r="F14" s="75">
        <f t="shared" ca="1" si="2"/>
        <v>0</v>
      </c>
      <c r="G14" s="67">
        <f ca="1">GetFileList("P:\TP et Raccodement\FICHES CREES RACCORDEMENT\2 - SAV + COMPL + PASSAGE W XV A SAISIR DANS AX\13-12-2019\*LM PASS*.pdf")</f>
        <v>0</v>
      </c>
      <c r="H14" s="67">
        <f ca="1">GetFileList("P:\TP et Raccodement\FICHES CREES RACCORDEMENT\2 - SAV + COMPL + PASSAGE W XV A SAISIR DANS AX\13-12-2019\*LR PASS*.pdf")</f>
        <v>0</v>
      </c>
      <c r="I14" s="68">
        <f ca="1">GetFileList("P:\TP et Raccodement\FICHES CREES RACCORDEMENT\2 - SAV + COMPL + PASSAGE W XV A SAISIR DANS AX\13-12-2019\*CL PASS*.pdf")</f>
        <v>0</v>
      </c>
      <c r="J14" s="76">
        <f ca="1">GetFileList("P:\TP et Raccodement\FICHES CREES RACCORDEMENT\2 - SAV + COMPL + PASSAGE W XV A SAISIR DANS AX\13-12-2019\*SAV*.pdf")</f>
        <v>0</v>
      </c>
      <c r="K14" s="77">
        <f ca="1">GetFileList("P:\TP et Raccodement\FICHES CREES RACCORDEMENT\2 - SAV + COMPL + PASSAGE W XV A SAISIR DANS AX\13-12-2019\*COMPLEMENT*.pdf")</f>
        <v>0</v>
      </c>
      <c r="L14" s="77">
        <f ca="1">GetFileList("P:\TP et Raccodement\FICHES CREES RACCORDEMENT\2 - SAV + COMPL + PASSAGE W XV A SAISIR DANS AX\13-12-2019\*REPRISE*.pdf")</f>
        <v>0</v>
      </c>
      <c r="M14" s="78">
        <f ca="1">GetFileList("P:\TP et Raccodement\FICHES CREES RACCORDEMENT\2 - SAV + COMPL + PASSAGE W XV A SAISIR DANS AX\13-12-2019\*REMONTAGE*.pdf")</f>
        <v>0</v>
      </c>
      <c r="N14" s="61"/>
      <c r="O14" s="73">
        <f t="shared" ca="1" si="1"/>
        <v>0</v>
      </c>
    </row>
    <row r="15" spans="1:16" ht="16.5" x14ac:dyDescent="0.3">
      <c r="A15" s="59">
        <v>43813</v>
      </c>
      <c r="B15" s="74">
        <f t="shared" ca="1" si="0"/>
        <v>0</v>
      </c>
      <c r="C15" s="67">
        <f ca="1">GetFileList("P:\TP et Raccodement\FICHES CREES RACCORDEMENT\1 - RACCOS A SAISIR DANS AX\14-12-2019\*LM RACCO*.pdf")</f>
        <v>0</v>
      </c>
      <c r="D15" s="67">
        <f ca="1">GetFileList("P:\TP et Raccodement\FICHES CREES RACCORDEMENT\1 - RACCOS A SAISIR DANS AX\14-12-2019\*LR RACCO*.pdf")</f>
        <v>0</v>
      </c>
      <c r="E15" s="68">
        <f ca="1">GetFileList("P:\TP et Raccodement\FICHES CREES RACCORDEMENT\1 - RACCOS A SAISIR DANS AX\14-12-2019\*CL RACCO*.pdf")</f>
        <v>0</v>
      </c>
      <c r="F15" s="75">
        <f t="shared" ca="1" si="2"/>
        <v>0</v>
      </c>
      <c r="G15" s="67">
        <f ca="1">GetFileList("P:\TP et Raccodement\FICHES CREES RACCORDEMENT\2 - SAV + COMPL + PASSAGE W XV A SAISIR DANS AX\14-12-2019\*LM PASS*.pdf")</f>
        <v>0</v>
      </c>
      <c r="H15" s="67">
        <f ca="1">GetFileList("P:\TP et Raccodement\FICHES CREES RACCORDEMENT\2 - SAV + COMPL + PASSAGE W XV A SAISIR DANS AX\14-12-2019\*LR PASS*.pdf")</f>
        <v>0</v>
      </c>
      <c r="I15" s="68">
        <f ca="1">GetFileList("P:\TP et Raccodement\FICHES CREES RACCORDEMENT\2 - SAV + COMPL + PASSAGE W XV A SAISIR DANS AX\14-12-2019\*CL PASS*.pdf")</f>
        <v>0</v>
      </c>
      <c r="J15" s="76">
        <f ca="1">GetFileList("P:\TP et Raccodement\FICHES CREES RACCORDEMENT\2 - SAV + COMPL + PASSAGE W XV A SAISIR DANS AX\14-12-2019\*SAV*.pdf")</f>
        <v>0</v>
      </c>
      <c r="K15" s="77">
        <f ca="1">GetFileList("P:\TP et Raccodement\FICHES CREES RACCORDEMENT\2 - SAV + COMPL + PASSAGE W XV A SAISIR DANS AX\14-12-2019\*COMPLEMENT*.pdf")</f>
        <v>0</v>
      </c>
      <c r="L15" s="77">
        <f ca="1">GetFileList("P:\TP et Raccodement\FICHES CREES RACCORDEMENT\2 - SAV + COMPL + PASSAGE W XV A SAISIR DANS AX\14-12-2019\*REPRISE*.pdf")</f>
        <v>0</v>
      </c>
      <c r="M15" s="78">
        <f ca="1">GetFileList("P:\TP et Raccodement\FICHES CREES RACCORDEMENT\2 - SAV + COMPL + PASSAGE W XV A SAISIR DANS AX\14-12-2019\*REMONTAGE*.pdf")</f>
        <v>0</v>
      </c>
      <c r="N15" s="61"/>
      <c r="O15" s="73">
        <f t="shared" ca="1" si="1"/>
        <v>0</v>
      </c>
    </row>
    <row r="16" spans="1:16" ht="16.5" x14ac:dyDescent="0.3">
      <c r="A16" s="88">
        <v>43814</v>
      </c>
      <c r="B16" s="89">
        <f t="shared" ca="1" si="0"/>
        <v>0</v>
      </c>
      <c r="C16" s="90">
        <f ca="1">GetFileList("P:\TP et Raccodement\FICHES CREES RACCORDEMENT\1 - RACCOS A SAISIR DANS AX\15-12-2019\*LM RACCO*.pdf")</f>
        <v>0</v>
      </c>
      <c r="D16" s="90">
        <f ca="1">GetFileList("P:\TP et Raccodement\FICHES CREES RACCORDEMENT\1 - RACCOS A SAISIR DANS AX\15-12-2019\*LR RACCO*.pdf")</f>
        <v>0</v>
      </c>
      <c r="E16" s="91">
        <f ca="1">GetFileList("P:\TP et Raccodement\FICHES CREES RACCORDEMENT\1 - RACCOS A SAISIR DANS AX\15-12-2019\*CL RACCO*.pdf")</f>
        <v>0</v>
      </c>
      <c r="F16" s="92">
        <f t="shared" ca="1" si="2"/>
        <v>0</v>
      </c>
      <c r="G16" s="90">
        <f ca="1">GetFileList("P:\TP et Raccodement\FICHES CREES RACCORDEMENT\2 - SAV + COMPL + PASSAGE W XV A SAISIR DANS AX\15-12-2019\*LM PASS*.pdf")</f>
        <v>0</v>
      </c>
      <c r="H16" s="90">
        <f ca="1">GetFileList("P:\TP et Raccodement\FICHES CREES RACCORDEMENT\2 - SAV + COMPL + PASSAGE W XV A SAISIR DANS AX\15-12-2019\*LR PASS*.pdf")</f>
        <v>0</v>
      </c>
      <c r="I16" s="91">
        <f ca="1">GetFileList("P:\TP et Raccodement\FICHES CREES RACCORDEMENT\2 - SAV + COMPL + PASSAGE W XV A SAISIR DANS AX\15-12-2019\*CL PASS*.pdf")</f>
        <v>0</v>
      </c>
      <c r="J16" s="93">
        <f ca="1">GetFileList("P:\TP et Raccodement\FICHES CREES RACCORDEMENT\2 - SAV + COMPL + PASSAGE W XV A SAISIR DANS AX\15-12-2019\*SAV*.pdf")</f>
        <v>0</v>
      </c>
      <c r="K16" s="94">
        <f ca="1">GetFileList("P:\TP et Raccodement\FICHES CREES RACCORDEMENT\2 - SAV + COMPL + PASSAGE W XV A SAISIR DANS AX\15-12-2019\*COMPLEMENT*.pdf")</f>
        <v>0</v>
      </c>
      <c r="L16" s="94">
        <f ca="1">GetFileList("P:\TP et Raccodement\FICHES CREES RACCORDEMENT\2 - SAV + COMPL + PASSAGE W XV A SAISIR DANS AX\15-12-2019\*REPRISE*.pdf")</f>
        <v>0</v>
      </c>
      <c r="M16" s="95">
        <f ca="1">GetFileList("P:\TP et Raccodement\FICHES CREES RACCORDEMENT\2 - SAV + COMPL + PASSAGE W XV A SAISIR DANS AX\15-12-2019\*REMONTAGE*.pdf")</f>
        <v>0</v>
      </c>
      <c r="N16" s="61"/>
      <c r="O16" s="73">
        <f t="shared" ca="1" si="1"/>
        <v>0</v>
      </c>
    </row>
    <row r="17" spans="1:15" ht="16.5" x14ac:dyDescent="0.3">
      <c r="A17" s="59">
        <v>43815</v>
      </c>
      <c r="B17" s="74">
        <f t="shared" ca="1" si="0"/>
        <v>0</v>
      </c>
      <c r="C17" s="67">
        <f ca="1">GetFileList("P:\TP et Raccodement\FICHES CREES RACCORDEMENT\1 - RACCOS A SAISIR DANS AX\16-12-2019\*LM RACCO*.pdf")</f>
        <v>0</v>
      </c>
      <c r="D17" s="67">
        <f ca="1">GetFileList("P:\TP et Raccodement\FICHES CREES RACCORDEMENT\1 - RACCOS A SAISIR DANS AX\16-12-2019\*LR RACCO*.pdf")</f>
        <v>0</v>
      </c>
      <c r="E17" s="68">
        <f ca="1">GetFileList("P:\TP et Raccodement\FICHES CREES RACCORDEMENT\1 - RACCOS A SAISIR DANS AX\16-12-2019\*CL RACCO*.pdf")</f>
        <v>0</v>
      </c>
      <c r="F17" s="75">
        <f t="shared" ca="1" si="2"/>
        <v>0</v>
      </c>
      <c r="G17" s="67">
        <f ca="1">GetFileList("P:\TP et Raccodement\FICHES CREES RACCORDEMENT\2 - SAV + COMPL + PASSAGE W XV A SAISIR DANS AX\16-12-2019\*LM PASS*.pdf")</f>
        <v>0</v>
      </c>
      <c r="H17" s="67">
        <f ca="1">GetFileList("P:\TP et Raccodement\FICHES CREES RACCORDEMENT\2 - SAV + COMPL + PASSAGE W XV A SAISIR DANS AX\16-12-2019\*LR PASS*.pdf")</f>
        <v>0</v>
      </c>
      <c r="I17" s="68">
        <f ca="1">GetFileList("P:\TP et Raccodement\FICHES CREES RACCORDEMENT\2 - SAV + COMPL + PASSAGE W XV A SAISIR DANS AX\16-12-2019\*CL PASS*.pdf")</f>
        <v>0</v>
      </c>
      <c r="J17" s="76">
        <f ca="1">GetFileList("P:\TP et Raccodement\FICHES CREES RACCORDEMENT\2 - SAV + COMPL + PASSAGE W XV A SAISIR DANS AX\16-12-2019\*SAV*.pdf")</f>
        <v>0</v>
      </c>
      <c r="K17" s="77">
        <f ca="1">GetFileList("P:\TP et Raccodement\FICHES CREES RACCORDEMENT\2 - SAV + COMPL + PASSAGE W XV A SAISIR DANS AX\16-12-2019\*COMPLEMENT*.pdf")</f>
        <v>0</v>
      </c>
      <c r="L17" s="77">
        <f ca="1">GetFileList("P:\TP et Raccodement\FICHES CREES RACCORDEMENT\2 - SAV + COMPL + PASSAGE W XV A SAISIR DANS AX\16-12-2019\*REPRISE*.pdf")</f>
        <v>0</v>
      </c>
      <c r="M17" s="78">
        <f ca="1">GetFileList("P:\TP et Raccodement\FICHES CREES RACCORDEMENT\2 - SAV + COMPL + PASSAGE W XV A SAISIR DANS AX\16-12-2019\*REMONTAGE*.pdf")</f>
        <v>0</v>
      </c>
      <c r="N17" s="61"/>
      <c r="O17" s="73">
        <f t="shared" ca="1" si="1"/>
        <v>0</v>
      </c>
    </row>
    <row r="18" spans="1:15" ht="16.5" x14ac:dyDescent="0.3">
      <c r="A18" s="59">
        <v>43816</v>
      </c>
      <c r="B18" s="74">
        <f t="shared" ca="1" si="0"/>
        <v>0</v>
      </c>
      <c r="C18" s="67">
        <f ca="1">GetFileList("P:\TP et Raccodement\FICHES CREES RACCORDEMENT\1 - RACCOS A SAISIR DANS AX\17-12-2019\*LM RACCO*.pdf")</f>
        <v>0</v>
      </c>
      <c r="D18" s="67">
        <f ca="1">GetFileList("P:\TP et Raccodement\FICHES CREES RACCORDEMENT\1 - RACCOS A SAISIR DANS AX\17-12-2019\*LR RACCO*.pdf")</f>
        <v>0</v>
      </c>
      <c r="E18" s="68">
        <f ca="1">GetFileList("P:\TP et Raccodement\FICHES CREES RACCORDEMENT\1 - RACCOS A SAISIR DANS AX\17-12-2019\*CL RACCO*.pdf")</f>
        <v>0</v>
      </c>
      <c r="F18" s="75">
        <f t="shared" ca="1" si="2"/>
        <v>0</v>
      </c>
      <c r="G18" s="67">
        <f ca="1">GetFileList("P:\TP et Raccodement\FICHES CREES RACCORDEMENT\2 - SAV + COMPL + PASSAGE W XV A SAISIR DANS AX\17-12-2019\*LM PASS*.pdf")</f>
        <v>0</v>
      </c>
      <c r="H18" s="67">
        <f ca="1">GetFileList("P:\TP et Raccodement\FICHES CREES RACCORDEMENT\2 - SAV + COMPL + PASSAGE W XV A SAISIR DANS AX\17-12-2019\*LR PASS*.pdf")</f>
        <v>0</v>
      </c>
      <c r="I18" s="68">
        <f ca="1">GetFileList("P:\TP et Raccodement\FICHES CREES RACCORDEMENT\2 - SAV + COMPL + PASSAGE W XV A SAISIR DANS AX\17-12-2019\*CL PASS*.pdf")</f>
        <v>0</v>
      </c>
      <c r="J18" s="76">
        <f ca="1">GetFileList("P:\TP et Raccodement\FICHES CREES RACCORDEMENT\2 - SAV + COMPL + PASSAGE W XV A SAISIR DANS AX\17-12-2019\*SAV*.pdf")</f>
        <v>0</v>
      </c>
      <c r="K18" s="77">
        <f ca="1">GetFileList("P:\TP et Raccodement\FICHES CREES RACCORDEMENT\2 - SAV + COMPL + PASSAGE W XV A SAISIR DANS AX\17-12-2019\*COMPLEMENT*.pdf")</f>
        <v>0</v>
      </c>
      <c r="L18" s="77">
        <f ca="1">GetFileList("P:\TP et Raccodement\FICHES CREES RACCORDEMENT\2 - SAV + COMPL + PASSAGE W XV A SAISIR DANS AX\17-12-2019\*REPRISE*.pdf")</f>
        <v>0</v>
      </c>
      <c r="M18" s="78">
        <f ca="1">GetFileList("P:\TP et Raccodement\FICHES CREES RACCORDEMENT\2 - SAV + COMPL + PASSAGE W XV A SAISIR DANS AX\17-12-2019\*REMONTAGE*.pdf")</f>
        <v>0</v>
      </c>
      <c r="N18" s="61"/>
      <c r="O18" s="73">
        <f t="shared" ca="1" si="1"/>
        <v>0</v>
      </c>
    </row>
    <row r="19" spans="1:15" ht="16.5" x14ac:dyDescent="0.3">
      <c r="A19" s="59">
        <v>43817</v>
      </c>
      <c r="B19" s="74">
        <f t="shared" ca="1" si="0"/>
        <v>0</v>
      </c>
      <c r="C19" s="67">
        <f ca="1">GetFileList("P:\TP et Raccodement\FICHES CREES RACCORDEMENT\1 - RACCOS A SAISIR DANS AX\18-12-2019\*LM RACCO*.pdf")</f>
        <v>0</v>
      </c>
      <c r="D19" s="67">
        <f ca="1">GetFileList("P:\TP et Raccodement\FICHES CREES RACCORDEMENT\1 - RACCOS A SAISIR DANS AX\18-12-2019\*LR RACCO*.pdf")</f>
        <v>0</v>
      </c>
      <c r="E19" s="68">
        <f ca="1">GetFileList("P:\TP et Raccodement\FICHES CREES RACCORDEMENT\1 - RACCOS A SAISIR DANS AX\18-12-2019\*CL RACCO*.pdf")</f>
        <v>0</v>
      </c>
      <c r="F19" s="75">
        <f t="shared" ca="1" si="2"/>
        <v>0</v>
      </c>
      <c r="G19" s="67">
        <f ca="1">GetFileList("P:\TP et Raccodement\FICHES CREES RACCORDEMENT\2 - SAV + COMPL + PASSAGE W XV A SAISIR DANS AX\18-12-2019\*LM PASS*.pdf")</f>
        <v>0</v>
      </c>
      <c r="H19" s="67">
        <f ca="1">GetFileList("P:\TP et Raccodement\FICHES CREES RACCORDEMENT\2 - SAV + COMPL + PASSAGE W XV A SAISIR DANS AX\18-12-2019\*LR PASS*.pdf")</f>
        <v>0</v>
      </c>
      <c r="I19" s="68">
        <f ca="1">GetFileList("P:\TP et Raccodement\FICHES CREES RACCORDEMENT\2 - SAV + COMPL + PASSAGE W XV A SAISIR DANS AX\18-12-2019\*CL PASS*.pdf")</f>
        <v>0</v>
      </c>
      <c r="J19" s="76">
        <f ca="1">GetFileList("P:\TP et Raccodement\FICHES CREES RACCORDEMENT\2 - SAV + COMPL + PASSAGE W XV A SAISIR DANS AX\18-12-2019\*SAV*.pdf")</f>
        <v>0</v>
      </c>
      <c r="K19" s="77">
        <f ca="1">GetFileList("P:\TP et Raccodement\FICHES CREES RACCORDEMENT\2 - SAV + COMPL + PASSAGE W XV A SAISIR DANS AX\18-12-2019\*COMPLEMENT*.pdf")</f>
        <v>0</v>
      </c>
      <c r="L19" s="77">
        <f ca="1">GetFileList("P:\TP et Raccodement\FICHES CREES RACCORDEMENT\2 - SAV + COMPL + PASSAGE W XV A SAISIR DANS AX\18-12-2019\*REPRISE*.pdf")</f>
        <v>0</v>
      </c>
      <c r="M19" s="78">
        <f ca="1">GetFileList("P:\TP et Raccodement\FICHES CREES RACCORDEMENT\2 - SAV + COMPL + PASSAGE W XV A SAISIR DANS AX\18-12-2019\*REMONTAGE*.pdf")</f>
        <v>0</v>
      </c>
      <c r="N19" s="61"/>
      <c r="O19" s="73">
        <f t="shared" ca="1" si="1"/>
        <v>0</v>
      </c>
    </row>
    <row r="20" spans="1:15" ht="16.5" x14ac:dyDescent="0.3">
      <c r="A20" s="59">
        <v>43818</v>
      </c>
      <c r="B20" s="74">
        <f t="shared" ca="1" si="0"/>
        <v>0</v>
      </c>
      <c r="C20" s="67">
        <f ca="1">GetFileList("P:\TP et Raccodement\FICHES CREES RACCORDEMENT\1 - RACCOS A SAISIR DANS AX\19-12-2019\*LM RACCO*.pdf")</f>
        <v>0</v>
      </c>
      <c r="D20" s="67">
        <f ca="1">GetFileList("P:\TP et Raccodement\FICHES CREES RACCORDEMENT\1 - RACCOS A SAISIR DANS AX\19-12-2019\*LR RACCO*.pdf")</f>
        <v>0</v>
      </c>
      <c r="E20" s="68">
        <f ca="1">GetFileList("P:\TP et Raccodement\FICHES CREES RACCORDEMENT\1 - RACCOS A SAISIR DANS AX\19-12-2019\*CL RACCO*.pdf")</f>
        <v>0</v>
      </c>
      <c r="F20" s="75">
        <f t="shared" ca="1" si="2"/>
        <v>0</v>
      </c>
      <c r="G20" s="67">
        <f ca="1">GetFileList("P:\TP et Raccodement\FICHES CREES RACCORDEMENT\2 - SAV + COMPL + PASSAGE W XV A SAISIR DANS AX\19-12-2019\*LM PASS*.pdf")</f>
        <v>0</v>
      </c>
      <c r="H20" s="67">
        <f ca="1">GetFileList("P:\TP et Raccodement\FICHES CREES RACCORDEMENT\2 - SAV + COMPL + PASSAGE W XV A SAISIR DANS AX\19-12-2019\*LR PASS*.pdf")</f>
        <v>0</v>
      </c>
      <c r="I20" s="68">
        <f ca="1">GetFileList("P:\TP et Raccodement\FICHES CREES RACCORDEMENT\2 - SAV + COMPL + PASSAGE W XV A SAISIR DANS AX\19-12-2019\*CL PASS*.pdf")</f>
        <v>0</v>
      </c>
      <c r="J20" s="76">
        <f ca="1">GetFileList("P:\TP et Raccodement\FICHES CREES RACCORDEMENT\2 - SAV + COMPL + PASSAGE W XV A SAISIR DANS AX\19-12-2019\*SAV*.pdf")</f>
        <v>0</v>
      </c>
      <c r="K20" s="77">
        <f ca="1">GetFileList("P:\TP et Raccodement\FICHES CREES RACCORDEMENT\2 - SAV + COMPL + PASSAGE W XV A SAISIR DANS AX\19-12-2019\*COMPLEMENT*.pdf")</f>
        <v>0</v>
      </c>
      <c r="L20" s="77">
        <f ca="1">GetFileList("P:\TP et Raccodement\FICHES CREES RACCORDEMENT\2 - SAV + COMPL + PASSAGE W XV A SAISIR DANS AX\19-12-2019\*REPRISE*.pdf")</f>
        <v>0</v>
      </c>
      <c r="M20" s="78">
        <f ca="1">GetFileList("P:\TP et Raccodement\FICHES CREES RACCORDEMENT\2 - SAV + COMPL + PASSAGE W XV A SAISIR DANS AX\19-12-2019\*REMONTAGE*.pdf")</f>
        <v>0</v>
      </c>
      <c r="N20" s="61"/>
      <c r="O20" s="73">
        <f t="shared" ca="1" si="1"/>
        <v>0</v>
      </c>
    </row>
    <row r="21" spans="1:15" ht="16.5" x14ac:dyDescent="0.3">
      <c r="A21" s="59">
        <v>43819</v>
      </c>
      <c r="B21" s="74">
        <f t="shared" ca="1" si="0"/>
        <v>0</v>
      </c>
      <c r="C21" s="67">
        <f ca="1">GetFileList("P:\TP et Raccodement\FICHES CREES RACCORDEMENT\1 - RACCOS A SAISIR DANS AX\20-12-2019\*LM RACCO*.pdf")</f>
        <v>0</v>
      </c>
      <c r="D21" s="67">
        <f ca="1">GetFileList("P:\TP et Raccodement\FICHES CREES RACCORDEMENT\1 - RACCOS A SAISIR DANS AX\20-12-2019\*LR RACCO*.pdf")</f>
        <v>0</v>
      </c>
      <c r="E21" s="68">
        <f ca="1">GetFileList("P:\TP et Raccodement\FICHES CREES RACCORDEMENT\1 - RACCOS A SAISIR DANS AX\20-12-2019\*CL RACCO*.pdf")</f>
        <v>0</v>
      </c>
      <c r="F21" s="75">
        <f t="shared" ca="1" si="2"/>
        <v>0</v>
      </c>
      <c r="G21" s="67">
        <f ca="1">GetFileList("P:\TP et Raccodement\FICHES CREES RACCORDEMENT\2 - SAV + COMPL + PASSAGE W XV A SAISIR DANS AX\20-12-2019\*LM PASS*.pdf")</f>
        <v>0</v>
      </c>
      <c r="H21" s="67">
        <f ca="1">GetFileList("P:\TP et Raccodement\FICHES CREES RACCORDEMENT\2 - SAV + COMPL + PASSAGE W XV A SAISIR DANS AX\20-12-2019\*LR PASS*.pdf")</f>
        <v>0</v>
      </c>
      <c r="I21" s="68">
        <f ca="1">GetFileList("P:\TP et Raccodement\FICHES CREES RACCORDEMENT\2 - SAV + COMPL + PASSAGE W XV A SAISIR DANS AX\20-12-2019\*CL PASS*.pdf")</f>
        <v>0</v>
      </c>
      <c r="J21" s="76">
        <f ca="1">GetFileList("P:\TP et Raccodement\FICHES CREES RACCORDEMENT\2 - SAV + COMPL + PASSAGE W XV A SAISIR DANS AX\20-12-2019\*SAV*.pdf")</f>
        <v>0</v>
      </c>
      <c r="K21" s="77">
        <f ca="1">GetFileList("P:\TP et Raccodement\FICHES CREES RACCORDEMENT\2 - SAV + COMPL + PASSAGE W XV A SAISIR DANS AX\20-12-2019\*COMPLEMENT*.pdf")</f>
        <v>0</v>
      </c>
      <c r="L21" s="77">
        <f ca="1">GetFileList("P:\TP et Raccodement\FICHES CREES RACCORDEMENT\2 - SAV + COMPL + PASSAGE W XV A SAISIR DANS AX\20-12-2019\*REPRISE*.pdf")</f>
        <v>0</v>
      </c>
      <c r="M21" s="78">
        <f ca="1">GetFileList("P:\TP et Raccodement\FICHES CREES RACCORDEMENT\2 - SAV + COMPL + PASSAGE W XV A SAISIR DANS AX\20-12-2019\*REMONTAGE*.pdf")</f>
        <v>0</v>
      </c>
      <c r="N21" s="61"/>
      <c r="O21" s="73">
        <f t="shared" ca="1" si="1"/>
        <v>0</v>
      </c>
    </row>
    <row r="22" spans="1:15" ht="16.5" x14ac:dyDescent="0.3">
      <c r="A22" s="59">
        <v>43820</v>
      </c>
      <c r="B22" s="74">
        <f t="shared" ca="1" si="0"/>
        <v>0</v>
      </c>
      <c r="C22" s="67">
        <f ca="1">GetFileList("P:\TP et Raccodement\FICHES CREES RACCORDEMENT\1 - RACCOS A SAISIR DANS AX\21-12-2019\*LM RACCO*.pdf")</f>
        <v>0</v>
      </c>
      <c r="D22" s="67">
        <f ca="1">GetFileList("P:\TP et Raccodement\FICHES CREES RACCORDEMENT\1 - RACCOS A SAISIR DANS AX\21-12-2019\*LR RACCO*.pdf")</f>
        <v>0</v>
      </c>
      <c r="E22" s="68">
        <f ca="1">GetFileList("P:\TP et Raccodement\FICHES CREES RACCORDEMENT\1 - RACCOS A SAISIR DANS AX\21-12-2019\*CL RACCO*.pdf")</f>
        <v>0</v>
      </c>
      <c r="F22" s="75">
        <f t="shared" ca="1" si="2"/>
        <v>0</v>
      </c>
      <c r="G22" s="67">
        <f ca="1">GetFileList("P:\TP et Raccodement\FICHES CREES RACCORDEMENT\2 - SAV + COMPL + PASSAGE W XV A SAISIR DANS AX\21-12-2019\*LM PASS*.pdf")</f>
        <v>0</v>
      </c>
      <c r="H22" s="67">
        <f ca="1">GetFileList("P:\TP et Raccodement\FICHES CREES RACCORDEMENT\2 - SAV + COMPL + PASSAGE W XV A SAISIR DANS AX\21-12-2019\*LR PASS*.pdf")</f>
        <v>0</v>
      </c>
      <c r="I22" s="68">
        <f ca="1">GetFileList("P:\TP et Raccodement\FICHES CREES RACCORDEMENT\2 - SAV + COMPL + PASSAGE W XV A SAISIR DANS AX\21-12-2019\*CL PASS*.pdf")</f>
        <v>0</v>
      </c>
      <c r="J22" s="76">
        <f ca="1">GetFileList("P:\TP et Raccodement\FICHES CREES RACCORDEMENT\2 - SAV + COMPL + PASSAGE W XV A SAISIR DANS AX\21-12-2019\*SAV*.pdf")</f>
        <v>0</v>
      </c>
      <c r="K22" s="77">
        <f ca="1">GetFileList("P:\TP et Raccodement\FICHES CREES RACCORDEMENT\2 - SAV + COMPL + PASSAGE W XV A SAISIR DANS AX\21-12-2019\*COMPLEMENT*.pdf")</f>
        <v>0</v>
      </c>
      <c r="L22" s="77">
        <f ca="1">GetFileList("P:\TP et Raccodement\FICHES CREES RACCORDEMENT\2 - SAV + COMPL + PASSAGE W XV A SAISIR DANS AX\21-12-2019\*REPRISE*.pdf")</f>
        <v>0</v>
      </c>
      <c r="M22" s="78">
        <f ca="1">GetFileList("P:\TP et Raccodement\FICHES CREES RACCORDEMENT\2 - SAV + COMPL + PASSAGE W XV A SAISIR DANS AX\21-12-2019\*REMONTAGE*.pdf")</f>
        <v>0</v>
      </c>
      <c r="N22" s="61"/>
      <c r="O22" s="73">
        <f t="shared" ca="1" si="1"/>
        <v>0</v>
      </c>
    </row>
    <row r="23" spans="1:15" ht="16.5" x14ac:dyDescent="0.3">
      <c r="A23" s="88">
        <v>43821</v>
      </c>
      <c r="B23" s="89">
        <f t="shared" ca="1" si="0"/>
        <v>0</v>
      </c>
      <c r="C23" s="90">
        <f ca="1">GetFileList("P:\TP et Raccodement\FICHES CREES RACCORDEMENT\1 - RACCOS A SAISIR DANS AX\22-12-2019\*LM RACCO*.pdf")</f>
        <v>0</v>
      </c>
      <c r="D23" s="90">
        <f ca="1">GetFileList("P:\TP et Raccodement\FICHES CREES RACCORDEMENT\1 - RACCOS A SAISIR DANS AX\22-12-2019\*LR RACCO*.pdf")</f>
        <v>0</v>
      </c>
      <c r="E23" s="91">
        <f ca="1">GetFileList("P:\TP et Raccodement\FICHES CREES RACCORDEMENT\1 - RACCOS A SAISIR DANS AX\22-12-2019\*CL RACCO*.pdf")</f>
        <v>0</v>
      </c>
      <c r="F23" s="92">
        <f t="shared" ca="1" si="2"/>
        <v>0</v>
      </c>
      <c r="G23" s="90">
        <f ca="1">GetFileList("P:\TP et Raccodement\FICHES CREES RACCORDEMENT\2 - SAV + COMPL + PASSAGE W XV A SAISIR DANS AX\22-12-2019\*LM PASS*.pdf")</f>
        <v>0</v>
      </c>
      <c r="H23" s="90">
        <f ca="1">GetFileList("P:\TP et Raccodement\FICHES CREES RACCORDEMENT\2 - SAV + COMPL + PASSAGE W XV A SAISIR DANS AX\22-12-2019\*LR PASS*.pdf")</f>
        <v>0</v>
      </c>
      <c r="I23" s="91">
        <f ca="1">GetFileList("P:\TP et Raccodement\FICHES CREES RACCORDEMENT\2 - SAV + COMPL + PASSAGE W XV A SAISIR DANS AX\22-12-2019\*CL PASS*.pdf")</f>
        <v>0</v>
      </c>
      <c r="J23" s="93">
        <f ca="1">GetFileList("P:\TP et Raccodement\FICHES CREES RACCORDEMENT\2 - SAV + COMPL + PASSAGE W XV A SAISIR DANS AX\22-12-2019\*SAV*.pdf")</f>
        <v>0</v>
      </c>
      <c r="K23" s="94">
        <f ca="1">GetFileList("P:\TP et Raccodement\FICHES CREES RACCORDEMENT\2 - SAV + COMPL + PASSAGE W XV A SAISIR DANS AX\22-12-2019\*COMPLEMENT*.pdf")</f>
        <v>0</v>
      </c>
      <c r="L23" s="94">
        <f ca="1">GetFileList("P:\TP et Raccodement\FICHES CREES RACCORDEMENT\2 - SAV + COMPL + PASSAGE W XV A SAISIR DANS AX\22-12-2019\*REPRISE*.pdf")</f>
        <v>0</v>
      </c>
      <c r="M23" s="95">
        <f ca="1">GetFileList("P:\TP et Raccodement\FICHES CREES RACCORDEMENT\2 - SAV + COMPL + PASSAGE W XV A SAISIR DANS AX\22-12-2019\*REMONTAGE*.pdf")</f>
        <v>0</v>
      </c>
      <c r="N23" s="61"/>
      <c r="O23" s="73">
        <f t="shared" ca="1" si="1"/>
        <v>0</v>
      </c>
    </row>
    <row r="24" spans="1:15" ht="16.5" x14ac:dyDescent="0.3">
      <c r="A24" s="59">
        <v>43822</v>
      </c>
      <c r="B24" s="74">
        <f t="shared" ca="1" si="0"/>
        <v>0</v>
      </c>
      <c r="C24" s="67">
        <f ca="1">GetFileList("P:\TP et Raccodement\FICHES CREES RACCORDEMENT\1 - RACCOS A SAISIR DANS AX\23-12-2019\*LM RACCO*.pdf")</f>
        <v>0</v>
      </c>
      <c r="D24" s="67">
        <f ca="1">GetFileList("P:\TP et Raccodement\FICHES CREES RACCORDEMENT\1 - RACCOS A SAISIR DANS AX\23-12-2019\*LR RACCO*.pdf")</f>
        <v>0</v>
      </c>
      <c r="E24" s="68">
        <f ca="1">GetFileList("P:\TP et Raccodement\FICHES CREES RACCORDEMENT\1 - RACCOS A SAISIR DANS AX\23-12-2019\*CL RACCO*.pdf")</f>
        <v>0</v>
      </c>
      <c r="F24" s="75">
        <f t="shared" ca="1" si="2"/>
        <v>0</v>
      </c>
      <c r="G24" s="67">
        <f ca="1">GetFileList("P:\TP et Raccodement\FICHES CREES RACCORDEMENT\2 - SAV + COMPL + PASSAGE W XV A SAISIR DANS AX\23-12-2019\*LM PASS*.pdf")</f>
        <v>0</v>
      </c>
      <c r="H24" s="67">
        <f ca="1">GetFileList("P:\TP et Raccodement\FICHES CREES RACCORDEMENT\2 - SAV + COMPL + PASSAGE W XV A SAISIR DANS AX\23-12-2019\*LR PASS*.pdf")</f>
        <v>0</v>
      </c>
      <c r="I24" s="68">
        <f ca="1">GetFileList("P:\TP et Raccodement\FICHES CREES RACCORDEMENT\2 - SAV + COMPL + PASSAGE W XV A SAISIR DANS AX\23-12-2019\*CL PASS*.pdf")</f>
        <v>0</v>
      </c>
      <c r="J24" s="76">
        <f ca="1">GetFileList("P:\TP et Raccodement\FICHES CREES RACCORDEMENT\2 - SAV + COMPL + PASSAGE W XV A SAISIR DANS AX\23-12-2019\*SAV*.pdf")</f>
        <v>0</v>
      </c>
      <c r="K24" s="77">
        <f ca="1">GetFileList("P:\TP et Raccodement\FICHES CREES RACCORDEMENT\2 - SAV + COMPL + PASSAGE W XV A SAISIR DANS AX\23-12-2019\*COMPLEMENT*.pdf")</f>
        <v>0</v>
      </c>
      <c r="L24" s="77">
        <f ca="1">GetFileList("P:\TP et Raccodement\FICHES CREES RACCORDEMENT\2 - SAV + COMPL + PASSAGE W XV A SAISIR DANS AX\23-12-2019\*REPRISE*.pdf")</f>
        <v>0</v>
      </c>
      <c r="M24" s="78">
        <f ca="1">GetFileList("P:\TP et Raccodement\FICHES CREES RACCORDEMENT\2 - SAV + COMPL + PASSAGE W XV A SAISIR DANS AX\23-12-2019\*REMONTAGE*.pdf")</f>
        <v>0</v>
      </c>
      <c r="N24" s="61"/>
      <c r="O24" s="73">
        <f t="shared" ca="1" si="1"/>
        <v>0</v>
      </c>
    </row>
    <row r="25" spans="1:15" ht="16.5" x14ac:dyDescent="0.3">
      <c r="A25" s="59">
        <v>43823</v>
      </c>
      <c r="B25" s="74">
        <f t="shared" ca="1" si="0"/>
        <v>0</v>
      </c>
      <c r="C25" s="67">
        <f ca="1">GetFileList("P:\TP et Raccodement\FICHES CREES RACCORDEMENT\1 - RACCOS A SAISIR DANS AX\24-12-2019\*LM RACCO*.pdf")</f>
        <v>0</v>
      </c>
      <c r="D25" s="67">
        <f ca="1">GetFileList("P:\TP et Raccodement\FICHES CREES RACCORDEMENT\1 - RACCOS A SAISIR DANS AX\24-12-2019\*LR RACCO*.pdf")</f>
        <v>0</v>
      </c>
      <c r="E25" s="68">
        <f ca="1">GetFileList("P:\TP et Raccodement\FICHES CREES RACCORDEMENT\1 - RACCOS A SAISIR DANS AX\24-12-2019\*CL RACCO*.pdf")</f>
        <v>0</v>
      </c>
      <c r="F25" s="75">
        <f t="shared" ca="1" si="2"/>
        <v>0</v>
      </c>
      <c r="G25" s="67">
        <f ca="1">GetFileList("P:\TP et Raccodement\FICHES CREES RACCORDEMENT\2 - SAV + COMPL + PASSAGE W XV A SAISIR DANS AX\24-12-2019\*LM PASS*.pdf")</f>
        <v>0</v>
      </c>
      <c r="H25" s="67">
        <f ca="1">GetFileList("P:\TP et Raccodement\FICHES CREES RACCORDEMENT\2 - SAV + COMPL + PASSAGE W XV A SAISIR DANS AX\24-12-2019\*LR PASS*.pdf")</f>
        <v>0</v>
      </c>
      <c r="I25" s="68">
        <f ca="1">GetFileList("P:\TP et Raccodement\FICHES CREES RACCORDEMENT\2 - SAV + COMPL + PASSAGE W XV A SAISIR DANS AX\24-12-2019\*CL PASS*.pdf")</f>
        <v>0</v>
      </c>
      <c r="J25" s="76">
        <f ca="1">GetFileList("P:\TP et Raccodement\FICHES CREES RACCORDEMENT\2 - SAV + COMPL + PASSAGE W XV A SAISIR DANS AX\24-12-2019\*SAV*.pdf")</f>
        <v>0</v>
      </c>
      <c r="K25" s="77">
        <f ca="1">GetFileList("P:\TP et Raccodement\FICHES CREES RACCORDEMENT\2 - SAV + COMPL + PASSAGE W XV A SAISIR DANS AX\24-12-2019\*COMPLEMENT*.pdf")</f>
        <v>0</v>
      </c>
      <c r="L25" s="77">
        <f ca="1">GetFileList("P:\TP et Raccodement\FICHES CREES RACCORDEMENT\2 - SAV + COMPL + PASSAGE W XV A SAISIR DANS AX\24-12-2019\*REPRISE*.pdf")</f>
        <v>0</v>
      </c>
      <c r="M25" s="78">
        <f ca="1">GetFileList("P:\TP et Raccodement\FICHES CREES RACCORDEMENT\2 - SAV + COMPL + PASSAGE W XV A SAISIR DANS AX\24-12-2019\*REMONTAGE*.pdf")</f>
        <v>0</v>
      </c>
      <c r="N25" s="61"/>
      <c r="O25" s="73">
        <f t="shared" ca="1" si="1"/>
        <v>0</v>
      </c>
    </row>
    <row r="26" spans="1:15" ht="16.5" x14ac:dyDescent="0.3">
      <c r="A26" s="88">
        <v>43824</v>
      </c>
      <c r="B26" s="89">
        <f t="shared" ca="1" si="0"/>
        <v>0</v>
      </c>
      <c r="C26" s="90">
        <f ca="1">GetFileList("P:\TP et Raccodement\FICHES CREES RACCORDEMENT\1 - RACCOS A SAISIR DANS AX\25-12-2019\*LM RACCO*.pdf")</f>
        <v>0</v>
      </c>
      <c r="D26" s="90">
        <f ca="1">GetFileList("P:\TP et Raccodement\FICHES CREES RACCORDEMENT\1 - RACCOS A SAISIR DANS AX\25-12-2019\*LR RACCO*.pdf")</f>
        <v>0</v>
      </c>
      <c r="E26" s="91">
        <f ca="1">GetFileList("P:\TP et Raccodement\FICHES CREES RACCORDEMENT\1 - RACCOS A SAISIR DANS AX\25-12-2019\*CL RACCO*.pdf")</f>
        <v>0</v>
      </c>
      <c r="F26" s="92">
        <f t="shared" ca="1" si="2"/>
        <v>0</v>
      </c>
      <c r="G26" s="90">
        <f ca="1">GetFileList("P:\TP et Raccodement\FICHES CREES RACCORDEMENT\2 - SAV + COMPL + PASSAGE W XV A SAISIR DANS AX\25-12-2019\*LM PASS*.pdf")</f>
        <v>0</v>
      </c>
      <c r="H26" s="90">
        <f ca="1">GetFileList("P:\TP et Raccodement\FICHES CREES RACCORDEMENT\2 - SAV + COMPL + PASSAGE W XV A SAISIR DANS AX\25-12-2019\*LR PASS*.pdf")</f>
        <v>0</v>
      </c>
      <c r="I26" s="91">
        <f ca="1">GetFileList("P:\TP et Raccodement\FICHES CREES RACCORDEMENT\2 - SAV + COMPL + PASSAGE W XV A SAISIR DANS AX\25-12-2019\*CL PASS*.pdf")</f>
        <v>0</v>
      </c>
      <c r="J26" s="93">
        <f ca="1">GetFileList("P:\TP et Raccodement\FICHES CREES RACCORDEMENT\2 - SAV + COMPL + PASSAGE W XV A SAISIR DANS AX\25-12-2019\*SAV*.pdf")</f>
        <v>0</v>
      </c>
      <c r="K26" s="94">
        <f ca="1">GetFileList("P:\TP et Raccodement\FICHES CREES RACCORDEMENT\2 - SAV + COMPL + PASSAGE W XV A SAISIR DANS AX\25-12-2019\*COMPLEMENT*.pdf")</f>
        <v>0</v>
      </c>
      <c r="L26" s="94">
        <f ca="1">GetFileList("P:\TP et Raccodement\FICHES CREES RACCORDEMENT\2 - SAV + COMPL + PASSAGE W XV A SAISIR DANS AX\25-12-2019\*REPRISE*.pdf")</f>
        <v>0</v>
      </c>
      <c r="M26" s="95">
        <f ca="1">GetFileList("P:\TP et Raccodement\FICHES CREES RACCORDEMENT\2 - SAV + COMPL + PASSAGE W XV A SAISIR DANS AX\25-12-2019\*REMONTAGE*.pdf")</f>
        <v>0</v>
      </c>
      <c r="N26" s="61"/>
      <c r="O26" s="73">
        <f t="shared" ca="1" si="1"/>
        <v>0</v>
      </c>
    </row>
    <row r="27" spans="1:15" ht="16.5" x14ac:dyDescent="0.3">
      <c r="A27" s="59">
        <v>43825</v>
      </c>
      <c r="B27" s="74">
        <f t="shared" ca="1" si="0"/>
        <v>0</v>
      </c>
      <c r="C27" s="67">
        <f ca="1">GetFileList("P:\TP et Raccodement\FICHES CREES RACCORDEMENT\1 - RACCOS A SAISIR DANS AX\26-12-2019\*LM RACCO*.pdf")</f>
        <v>0</v>
      </c>
      <c r="D27" s="67">
        <f ca="1">GetFileList("P:\TP et Raccodement\FICHES CREES RACCORDEMENT\1 - RACCOS A SAISIR DANS AX\26-12-2019\*LR RACCO*.pdf")</f>
        <v>0</v>
      </c>
      <c r="E27" s="68">
        <f ca="1">GetFileList("P:\TP et Raccodement\FICHES CREES RACCORDEMENT\1 - RACCOS A SAISIR DANS AX\26-12-2019\*CL RACCO*.pdf")</f>
        <v>0</v>
      </c>
      <c r="F27" s="75">
        <f t="shared" ca="1" si="2"/>
        <v>0</v>
      </c>
      <c r="G27" s="67">
        <f ca="1">GetFileList("P:\TP et Raccodement\FICHES CREES RACCORDEMENT\2 - SAV + COMPL + PASSAGE W XV A SAISIR DANS AX\26-12-2019\*LM PASS*.pdf")</f>
        <v>0</v>
      </c>
      <c r="H27" s="67">
        <f ca="1">GetFileList("P:\TP et Raccodement\FICHES CREES RACCORDEMENT\2 - SAV + COMPL + PASSAGE W XV A SAISIR DANS AX\26-12-2019\*LR PASS*.pdf")</f>
        <v>0</v>
      </c>
      <c r="I27" s="68">
        <f ca="1">GetFileList("P:\TP et Raccodement\FICHES CREES RACCORDEMENT\2 - SAV + COMPL + PASSAGE W XV A SAISIR DANS AX\26-12-2019\*CL PASS*.pdf")</f>
        <v>0</v>
      </c>
      <c r="J27" s="76">
        <f ca="1">GetFileList("P:\TP et Raccodement\FICHES CREES RACCORDEMENT\2 - SAV + COMPL + PASSAGE W XV A SAISIR DANS AX\26-12-2019\*SAV*.pdf")</f>
        <v>0</v>
      </c>
      <c r="K27" s="77">
        <f ca="1">GetFileList("P:\TP et Raccodement\FICHES CREES RACCORDEMENT\2 - SAV + COMPL + PASSAGE W XV A SAISIR DANS AX\26-12-2019\*COMPLEMENT*.pdf")</f>
        <v>0</v>
      </c>
      <c r="L27" s="77">
        <f ca="1">GetFileList("P:\TP et Raccodement\FICHES CREES RACCORDEMENT\2 - SAV + COMPL + PASSAGE W XV A SAISIR DANS AX\26-12-2019\*REPRISE*.pdf")</f>
        <v>0</v>
      </c>
      <c r="M27" s="78">
        <f ca="1">GetFileList("P:\TP et Raccodement\FICHES CREES RACCORDEMENT\2 - SAV + COMPL + PASSAGE W XV A SAISIR DANS AX\26-12-2019\*REMONTAGE*.pdf")</f>
        <v>0</v>
      </c>
      <c r="N27" s="61"/>
      <c r="O27" s="73">
        <f t="shared" ca="1" si="1"/>
        <v>0</v>
      </c>
    </row>
    <row r="28" spans="1:15" ht="16.5" x14ac:dyDescent="0.3">
      <c r="A28" s="59">
        <v>43826</v>
      </c>
      <c r="B28" s="74">
        <f t="shared" ca="1" si="0"/>
        <v>0</v>
      </c>
      <c r="C28" s="67">
        <f ca="1">GetFileList("P:\TP et Raccodement\FICHES CREES RACCORDEMENT\1 - RACCOS A SAISIR DANS AX\27-12-2019\*LM RACCO*.pdf")</f>
        <v>0</v>
      </c>
      <c r="D28" s="67">
        <f ca="1">GetFileList("P:\TP et Raccodement\FICHES CREES RACCORDEMENT\1 - RACCOS A SAISIR DANS AX\27-12-2019\*LR RACCO*.pdf")</f>
        <v>0</v>
      </c>
      <c r="E28" s="68">
        <f ca="1">GetFileList("P:\TP et Raccodement\FICHES CREES RACCORDEMENT\1 - RACCOS A SAISIR DANS AX\27-12-2019\*CL RACCO*.pdf")</f>
        <v>0</v>
      </c>
      <c r="F28" s="75">
        <f t="shared" ca="1" si="2"/>
        <v>0</v>
      </c>
      <c r="G28" s="67">
        <f ca="1">GetFileList("P:\TP et Raccodement\FICHES CREES RACCORDEMENT\2 - SAV + COMPL + PASSAGE W XV A SAISIR DANS AX\27-12-2019\*LM PASS*.pdf")</f>
        <v>0</v>
      </c>
      <c r="H28" s="67">
        <f ca="1">GetFileList("P:\TP et Raccodement\FICHES CREES RACCORDEMENT\2 - SAV + COMPL + PASSAGE W XV A SAISIR DANS AX\27-12-2019\*LR PASS*.pdf")</f>
        <v>0</v>
      </c>
      <c r="I28" s="68">
        <f ca="1">GetFileList("P:\TP et Raccodement\FICHES CREES RACCORDEMENT\2 - SAV + COMPL + PASSAGE W XV A SAISIR DANS AX\27-12-2019\*CL PASS*.pdf")</f>
        <v>0</v>
      </c>
      <c r="J28" s="76">
        <f ca="1">GetFileList("P:\TP et Raccodement\FICHES CREES RACCORDEMENT\2 - SAV + COMPL + PASSAGE W XV A SAISIR DANS AX\27-12-2019\*SAV*.pdf")</f>
        <v>0</v>
      </c>
      <c r="K28" s="77">
        <f ca="1">GetFileList("P:\TP et Raccodement\FICHES CREES RACCORDEMENT\2 - SAV + COMPL + PASSAGE W XV A SAISIR DANS AX\27-12-2019\*COMPLEMENT*.pdf")</f>
        <v>0</v>
      </c>
      <c r="L28" s="77">
        <f ca="1">GetFileList("P:\TP et Raccodement\FICHES CREES RACCORDEMENT\2 - SAV + COMPL + PASSAGE W XV A SAISIR DANS AX\27-12-2019\*REPRISE*.pdf")</f>
        <v>0</v>
      </c>
      <c r="M28" s="78">
        <f ca="1">GetFileList("P:\TP et Raccodement\FICHES CREES RACCORDEMENT\2 - SAV + COMPL + PASSAGE W XV A SAISIR DANS AX\27-12-2019\*REMONTAGE*.pdf")</f>
        <v>0</v>
      </c>
      <c r="N28" s="61"/>
      <c r="O28" s="73">
        <f t="shared" ca="1" si="1"/>
        <v>0</v>
      </c>
    </row>
    <row r="29" spans="1:15" ht="16.5" x14ac:dyDescent="0.3">
      <c r="A29" s="59">
        <v>43827</v>
      </c>
      <c r="B29" s="74">
        <f t="shared" ca="1" si="0"/>
        <v>0</v>
      </c>
      <c r="C29" s="67">
        <f ca="1">GetFileList("P:\TP et Raccodement\FICHES CREES RACCORDEMENT\1 - RACCOS A SAISIR DANS AX\28-12-2019\*LM RACCO*.pdf")</f>
        <v>0</v>
      </c>
      <c r="D29" s="67">
        <f ca="1">GetFileList("P:\TP et Raccodement\FICHES CREES RACCORDEMENT\1 - RACCOS A SAISIR DANS AX\28-12-2019\*LR RACCO*.pdf")</f>
        <v>0</v>
      </c>
      <c r="E29" s="68">
        <f ca="1">GetFileList("P:\TP et Raccodement\FICHES CREES RACCORDEMENT\1 - RACCOS A SAISIR DANS AX\28-12-2019\*CL RACCO*.pdf")</f>
        <v>0</v>
      </c>
      <c r="F29" s="75">
        <f t="shared" ca="1" si="2"/>
        <v>0</v>
      </c>
      <c r="G29" s="67">
        <f ca="1">GetFileList("P:\TP et Raccodement\FICHES CREES RACCORDEMENT\2 - SAV + COMPL + PASSAGE W XV A SAISIR DANS AX\28-12-2019\*LM PASS*.pdf")</f>
        <v>0</v>
      </c>
      <c r="H29" s="67">
        <f ca="1">GetFileList("P:\TP et Raccodement\FICHES CREES RACCORDEMENT\2 - SAV + COMPL + PASSAGE W XV A SAISIR DANS AX\28-12-2019\*LR PASS*.pdf")</f>
        <v>0</v>
      </c>
      <c r="I29" s="68">
        <f ca="1">GetFileList("P:\TP et Raccodement\FICHES CREES RACCORDEMENT\2 - SAV + COMPL + PASSAGE W XV A SAISIR DANS AX\28-12-2019\*CL PASS*.pdf")</f>
        <v>0</v>
      </c>
      <c r="J29" s="76">
        <f ca="1">GetFileList("P:\TP et Raccodement\FICHES CREES RACCORDEMENT\2 - SAV + COMPL + PASSAGE W XV A SAISIR DANS AX\28-12-2019\*SAV*.pdf")</f>
        <v>0</v>
      </c>
      <c r="K29" s="77">
        <f ca="1">GetFileList("P:\TP et Raccodement\FICHES CREES RACCORDEMENT\2 - SAV + COMPL + PASSAGE W XV A SAISIR DANS AX\28-12-2019\*COMPLEMENT*.pdf")</f>
        <v>0</v>
      </c>
      <c r="L29" s="77">
        <f ca="1">GetFileList("P:\TP et Raccodement\FICHES CREES RACCORDEMENT\2 - SAV + COMPL + PASSAGE W XV A SAISIR DANS AX\28-12-2019\*REPRISE*.pdf")</f>
        <v>0</v>
      </c>
      <c r="M29" s="78">
        <f ca="1">GetFileList("P:\TP et Raccodement\FICHES CREES RACCORDEMENT\2 - SAV + COMPL + PASSAGE W XV A SAISIR DANS AX\28-12-2019\*REMONTAGE*.pdf")</f>
        <v>0</v>
      </c>
      <c r="N29" s="61"/>
      <c r="O29" s="73">
        <f t="shared" ca="1" si="1"/>
        <v>0</v>
      </c>
    </row>
    <row r="30" spans="1:15" ht="16.5" x14ac:dyDescent="0.3">
      <c r="A30" s="88">
        <v>43828</v>
      </c>
      <c r="B30" s="89">
        <f t="shared" ca="1" si="0"/>
        <v>0</v>
      </c>
      <c r="C30" s="90">
        <f ca="1">GetFileList("P:\TP et Raccodement\FICHES CREES RACCORDEMENT\1 - RACCOS A SAISIR DANS AX\29-12-2019\*LM RACCO*.pdf")</f>
        <v>0</v>
      </c>
      <c r="D30" s="90">
        <f ca="1">GetFileList("P:\TP et Raccodement\FICHES CREES RACCORDEMENT\1 - RACCOS A SAISIR DANS AX\29-12-2019\*LR RACCO*.pdf")</f>
        <v>0</v>
      </c>
      <c r="E30" s="91">
        <f ca="1">GetFileList("P:\TP et Raccodement\FICHES CREES RACCORDEMENT\1 - RACCOS A SAISIR DANS AX\29-12-2019\*CL RACCO*.pdf")</f>
        <v>0</v>
      </c>
      <c r="F30" s="92">
        <f t="shared" ca="1" si="2"/>
        <v>0</v>
      </c>
      <c r="G30" s="90">
        <f ca="1">GetFileList("P:\TP et Raccodement\FICHES CREES RACCORDEMENT\2 - SAV + COMPL + PASSAGE W XV A SAISIR DANS AX\29-12-2019\*LM PASS*.pdf")</f>
        <v>0</v>
      </c>
      <c r="H30" s="90">
        <f ca="1">GetFileList("P:\TP et Raccodement\FICHES CREES RACCORDEMENT\2 - SAV + COMPL + PASSAGE W XV A SAISIR DANS AX\29-12-2019\*LR PASS*.pdf")</f>
        <v>0</v>
      </c>
      <c r="I30" s="91">
        <f ca="1">GetFileList("P:\TP et Raccodement\FICHES CREES RACCORDEMENT\2 - SAV + COMPL + PASSAGE W XV A SAISIR DANS AX\29-12-2019\*CL PASS*.pdf")</f>
        <v>0</v>
      </c>
      <c r="J30" s="93">
        <f ca="1">GetFileList("P:\TP et Raccodement\FICHES CREES RACCORDEMENT\2 - SAV + COMPL + PASSAGE W XV A SAISIR DANS AX\29-12-2019\*SAV*.pdf")</f>
        <v>0</v>
      </c>
      <c r="K30" s="94">
        <f ca="1">GetFileList("P:\TP et Raccodement\FICHES CREES RACCORDEMENT\2 - SAV + COMPL + PASSAGE W XV A SAISIR DANS AX\29-12-2019\*COMPLEMENT*.pdf")</f>
        <v>0</v>
      </c>
      <c r="L30" s="94">
        <f ca="1">GetFileList("P:\TP et Raccodement\FICHES CREES RACCORDEMENT\2 - SAV + COMPL + PASSAGE W XV A SAISIR DANS AX\29-12-2019\*REPRISE*.pdf")</f>
        <v>0</v>
      </c>
      <c r="M30" s="95">
        <f ca="1">GetFileList("P:\TP et Raccodement\FICHES CREES RACCORDEMENT\2 - SAV + COMPL + PASSAGE W XV A SAISIR DANS AX\29-12-2019\*REMONTAGE*.pdf")</f>
        <v>0</v>
      </c>
      <c r="N30" s="61"/>
      <c r="O30" s="73">
        <f t="shared" ca="1" si="1"/>
        <v>0</v>
      </c>
    </row>
    <row r="31" spans="1:15" ht="16.5" x14ac:dyDescent="0.3">
      <c r="A31" s="59">
        <v>43829</v>
      </c>
      <c r="B31" s="74">
        <f t="shared" ca="1" si="0"/>
        <v>0</v>
      </c>
      <c r="C31" s="67">
        <f ca="1">GetFileList("P:\TP et Raccodement\FICHES CREES RACCORDEMENT\1 - RACCOS A SAISIR DANS AX\30-12-2019\*LM RACCO*.pdf")</f>
        <v>0</v>
      </c>
      <c r="D31" s="67">
        <f ca="1">GetFileList("P:\TP et Raccodement\FICHES CREES RACCORDEMENT\1 - RACCOS A SAISIR DANS AX\30-12-2019\*LR RACCO*.pdf")</f>
        <v>0</v>
      </c>
      <c r="E31" s="68">
        <f ca="1">GetFileList("P:\TP et Raccodement\FICHES CREES RACCORDEMENT\1 - RACCOS A SAISIR DANS AX\30-12-2019\*CL RACCO*.pdf")</f>
        <v>0</v>
      </c>
      <c r="F31" s="75">
        <f t="shared" ca="1" si="2"/>
        <v>0</v>
      </c>
      <c r="G31" s="67">
        <f ca="1">GetFileList("P:\TP et Raccodement\FICHES CREES RACCORDEMENT\2 - SAV + COMPL + PASSAGE W XV A SAISIR DANS AX\30-12-2019\*LM PASS*.pdf")</f>
        <v>0</v>
      </c>
      <c r="H31" s="67">
        <f ca="1">GetFileList("P:\TP et Raccodement\FICHES CREES RACCORDEMENT\2 - SAV + COMPL + PASSAGE W XV A SAISIR DANS AX\30-12-2019\*LR PASS*.pdf")</f>
        <v>0</v>
      </c>
      <c r="I31" s="68">
        <f ca="1">GetFileList("P:\TP et Raccodement\FICHES CREES RACCORDEMENT\2 - SAV + COMPL + PASSAGE W XV A SAISIR DANS AX\30-12-2019\*CL PASS*.pdf")</f>
        <v>0</v>
      </c>
      <c r="J31" s="76">
        <f ca="1">GetFileList("P:\TP et Raccodement\FICHES CREES RACCORDEMENT\2 - SAV + COMPL + PASSAGE W XV A SAISIR DANS AX\30-12-2019\*SAV*.pdf")</f>
        <v>0</v>
      </c>
      <c r="K31" s="77">
        <f ca="1">GetFileList("P:\TP et Raccodement\FICHES CREES RACCORDEMENT\2 - SAV + COMPL + PASSAGE W XV A SAISIR DANS AX\30-12-2019\*COMPLEMENT*.pdf")</f>
        <v>0</v>
      </c>
      <c r="L31" s="77">
        <f ca="1">GetFileList("P:\TP et Raccodement\FICHES CREES RACCORDEMENT\2 - SAV + COMPL + PASSAGE W XV A SAISIR DANS AX\30-12-2019\*REPRISE*.pdf")</f>
        <v>0</v>
      </c>
      <c r="M31" s="78">
        <f ca="1">GetFileList("P:\TP et Raccodement\FICHES CREES RACCORDEMENT\2 - SAV + COMPL + PASSAGE W XV A SAISIR DANS AX\30-12-2019\*REMONTAGE*.pdf")</f>
        <v>0</v>
      </c>
      <c r="N31" s="61"/>
      <c r="O31" s="73">
        <f t="shared" ca="1" si="1"/>
        <v>0</v>
      </c>
    </row>
    <row r="32" spans="1:15" ht="17.25" thickBot="1" x14ac:dyDescent="0.35">
      <c r="A32" s="59">
        <v>43830</v>
      </c>
      <c r="B32" s="74">
        <f t="shared" ca="1" si="0"/>
        <v>0</v>
      </c>
      <c r="C32" s="67">
        <f ca="1">GetFileList("P:\TP et Raccodement\FICHES CREES RACCORDEMENT\1 - RACCOS A SAISIR DANS AX\31-12-2019\*LM RACCO*.pdf")</f>
        <v>0</v>
      </c>
      <c r="D32" s="67">
        <f ca="1">GetFileList("P:\TP et Raccodement\FICHES CREES RACCORDEMENT\1 - RACCOS A SAISIR DANS AX\31-12-2019\*LR RACCO*.pdf")</f>
        <v>0</v>
      </c>
      <c r="E32" s="68">
        <f ca="1">GetFileList("P:\TP et Raccodement\FICHES CREES RACCORDEMENT\1 - RACCOS A SAISIR DANS AX\31-12-2019\*CL RACCO*.pdf")</f>
        <v>0</v>
      </c>
      <c r="F32" s="75">
        <f t="shared" ca="1" si="2"/>
        <v>0</v>
      </c>
      <c r="G32" s="67">
        <f ca="1">GetFileList("P:\TP et Raccodement\FICHES CREES RACCORDEMENT\2 - SAV + COMPL + PASSAGE W XV A SAISIR DANS AX\31-12-2019\*LM PASS*.pdf")</f>
        <v>0</v>
      </c>
      <c r="H32" s="67">
        <f ca="1">GetFileList("P:\TP et Raccodement\FICHES CREES RACCORDEMENT\2 - SAV + COMPL + PASSAGE W XV A SAISIR DANS AX\31-12-2019\*LR PASS*.pdf")</f>
        <v>0</v>
      </c>
      <c r="I32" s="68">
        <f ca="1">GetFileList("P:\TP et Raccodement\FICHES CREES RACCORDEMENT\2 - SAV + COMPL + PASSAGE W XV A SAISIR DANS AX\31-12-2019\*CL PASS*.pdf")</f>
        <v>0</v>
      </c>
      <c r="J32" s="79">
        <f ca="1">GetFileList("P:\TP et Raccodement\FICHES CREES RACCORDEMENT\2 - SAV + COMPL + PASSAGE W XV A SAISIR DANS AX\31-12-2019\*SAV*.pdf")</f>
        <v>0</v>
      </c>
      <c r="K32" s="80">
        <f ca="1">GetFileList("P:\TP et Raccodement\FICHES CREES RACCORDEMENT\2 - SAV + COMPL + PASSAGE W XV A SAISIR DANS AX\31-12-2019\*COMPLEMENT*.pdf")</f>
        <v>0</v>
      </c>
      <c r="L32" s="80">
        <f ca="1">GetFileList("P:\TP et Raccodement\FICHES CREES RACCORDEMENT\2 - SAV + COMPL + PASSAGE W XV A SAISIR DANS AX\31-12-2019\*REPRISE*.pdf")</f>
        <v>0</v>
      </c>
      <c r="M32" s="81">
        <f ca="1">GetFileList("P:\TP et Raccodement\FICHES CREES RACCORDEMENT\2 - SAV + COMPL + PASSAGE W XV A SAISIR DANS AX\31-12-2019\*REMONTAGE*.pdf")</f>
        <v>0</v>
      </c>
      <c r="N32" s="61"/>
      <c r="O32" s="73">
        <f t="shared" ca="1" si="1"/>
        <v>0</v>
      </c>
    </row>
    <row r="33" spans="1:15" ht="18" thickBot="1" x14ac:dyDescent="0.35">
      <c r="A33" s="136" t="s">
        <v>10</v>
      </c>
      <c r="B33" s="132">
        <f ca="1">SUM(B2:B32)</f>
        <v>0</v>
      </c>
      <c r="C33" s="133">
        <f t="shared" ref="C33:D33" ca="1" si="3">SUM(C2:C32)</f>
        <v>0</v>
      </c>
      <c r="D33" s="133">
        <f t="shared" ca="1" si="3"/>
        <v>0</v>
      </c>
      <c r="E33" s="134">
        <f ca="1">SUM(E2:E32)</f>
        <v>0</v>
      </c>
      <c r="F33" s="69">
        <f ca="1">SUM(F2:F32)</f>
        <v>0</v>
      </c>
      <c r="G33" s="70">
        <f t="shared" ref="G33:I33" ca="1" si="4">SUM(G2:G32)</f>
        <v>0</v>
      </c>
      <c r="H33" s="70">
        <f t="shared" ca="1" si="4"/>
        <v>0</v>
      </c>
      <c r="I33" s="86">
        <f t="shared" ca="1" si="4"/>
        <v>0</v>
      </c>
      <c r="J33" s="87">
        <f ca="1">SUM(J2:J32)</f>
        <v>0</v>
      </c>
      <c r="K33" s="82">
        <f t="shared" ref="K33:M33" ca="1" si="5">SUM(K2:K32)</f>
        <v>0</v>
      </c>
      <c r="L33" s="82">
        <f t="shared" ca="1" si="5"/>
        <v>0</v>
      </c>
      <c r="M33" s="83">
        <f t="shared" ca="1" si="5"/>
        <v>0</v>
      </c>
      <c r="N33" s="62"/>
      <c r="O33" s="72">
        <f ca="1">SUM(O2:O32)</f>
        <v>0</v>
      </c>
    </row>
  </sheetData>
  <conditionalFormatting sqref="B2:B32">
    <cfRule type="dataBar" priority="5">
      <dataBar>
        <cfvo type="min"/>
        <cfvo type="max"/>
        <color rgb="FF41A964"/>
      </dataBar>
      <extLst>
        <ext xmlns:x14="http://schemas.microsoft.com/office/spreadsheetml/2009/9/main" uri="{B025F937-C7B1-47D3-B67F-A62EFF666E3E}">
          <x14:id>{9A6E7EE0-6AAD-4072-88CF-6FF15F08AA8E}</x14:id>
        </ext>
      </extLst>
    </cfRule>
  </conditionalFormatting>
  <conditionalFormatting sqref="B3:B7 B10:B14 B17:B21 B24:B25 B27:B28 B31:B32">
    <cfRule type="iconSet" priority="4">
      <iconSet iconSet="3Flags">
        <cfvo type="percent" val="0"/>
        <cfvo type="percent" val="33"/>
        <cfvo type="percent" val="67"/>
      </iconSet>
    </cfRule>
  </conditionalFormatting>
  <conditionalFormatting sqref="F2:F32">
    <cfRule type="dataBar" priority="3">
      <dataBar>
        <cfvo type="min"/>
        <cfvo type="max"/>
        <color rgb="FF53BD76"/>
      </dataBar>
      <extLst>
        <ext xmlns:x14="http://schemas.microsoft.com/office/spreadsheetml/2009/9/main" uri="{B025F937-C7B1-47D3-B67F-A62EFF666E3E}">
          <x14:id>{5C78A8B5-3B19-444A-A6CF-AB0849D4A006}</x14:id>
        </ext>
      </extLst>
    </cfRule>
  </conditionalFormatting>
  <conditionalFormatting sqref="F3:F7 F10:F14 F17:F21 F24:F25 F27:F28 F31:F32">
    <cfRule type="iconSet" priority="2">
      <iconSet iconSet="3Flags">
        <cfvo type="percent" val="0"/>
        <cfvo type="percent" val="33"/>
        <cfvo type="percent" val="67"/>
      </iconSet>
    </cfRule>
  </conditionalFormatting>
  <conditionalFormatting sqref="O2:O32">
    <cfRule type="cellIs" dxfId="3" priority="1" operator="equal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A6E7EE0-6AAD-4072-88CF-6FF15F08AA8E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B2:B32</xm:sqref>
        </x14:conditionalFormatting>
        <x14:conditionalFormatting xmlns:xm="http://schemas.microsoft.com/office/excel/2006/main">
          <x14:cfRule type="dataBar" id="{5C78A8B5-3B19-444A-A6CF-AB0849D4A006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F2:F32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rgb="FF00B0F0"/>
  </sheetPr>
  <dimension ref="A1:M31"/>
  <sheetViews>
    <sheetView showGridLines="0" zoomScaleNormal="100" workbookViewId="0">
      <pane ySplit="1" topLeftCell="A2" activePane="bottomLeft" state="frozen"/>
      <selection pane="bottomLeft" activeCell="B2" sqref="B2"/>
    </sheetView>
  </sheetViews>
  <sheetFormatPr baseColWidth="10" defaultColWidth="9.140625" defaultRowHeight="15" x14ac:dyDescent="0.25"/>
  <cols>
    <col min="1" max="1" width="16.42578125" customWidth="1"/>
    <col min="2" max="2" width="15" customWidth="1"/>
    <col min="6" max="6" width="11.28515625" customWidth="1"/>
    <col min="10" max="10" width="1.42578125" customWidth="1"/>
    <col min="11" max="11" width="9.140625" style="1"/>
    <col min="12" max="12" width="10.7109375" bestFit="1" customWidth="1"/>
    <col min="13" max="13" width="10.140625" bestFit="1" customWidth="1"/>
  </cols>
  <sheetData>
    <row r="1" spans="1:13" ht="41.25" customHeight="1" x14ac:dyDescent="0.25">
      <c r="A1" s="99" t="s">
        <v>12</v>
      </c>
      <c r="B1" s="107" t="s">
        <v>47</v>
      </c>
      <c r="C1" s="108" t="s">
        <v>1</v>
      </c>
      <c r="D1" s="108" t="s">
        <v>2</v>
      </c>
      <c r="E1" s="109" t="s">
        <v>3</v>
      </c>
      <c r="F1" s="107" t="s">
        <v>48</v>
      </c>
      <c r="G1" s="108" t="s">
        <v>5</v>
      </c>
      <c r="H1" s="108" t="s">
        <v>2</v>
      </c>
      <c r="I1" s="108" t="s">
        <v>3</v>
      </c>
      <c r="J1" s="102"/>
      <c r="K1" s="121" t="s">
        <v>10</v>
      </c>
      <c r="L1" s="137" t="s">
        <v>26</v>
      </c>
      <c r="M1" s="122" t="s">
        <v>40</v>
      </c>
    </row>
    <row r="2" spans="1:13" ht="16.5" x14ac:dyDescent="0.3">
      <c r="A2" s="101" t="s">
        <v>28</v>
      </c>
      <c r="B2" s="74">
        <f ca="1">'Janvier 2019'!B33</f>
        <v>0</v>
      </c>
      <c r="C2" s="110">
        <f ca="1">'Janvier 2019'!C33</f>
        <v>0</v>
      </c>
      <c r="D2" s="110">
        <f ca="1">'Janvier 2019'!D33</f>
        <v>0</v>
      </c>
      <c r="E2" s="111">
        <f ca="1">'Janvier 2019'!E33</f>
        <v>0</v>
      </c>
      <c r="F2" s="74">
        <f ca="1">'Janvier 2019'!F33</f>
        <v>0</v>
      </c>
      <c r="G2" s="110">
        <f ca="1">'Janvier 2019'!G33</f>
        <v>0</v>
      </c>
      <c r="H2" s="110">
        <f ca="1">'Janvier 2019'!H33</f>
        <v>0</v>
      </c>
      <c r="I2" s="110">
        <f ca="1">'Janvier 2019'!I33</f>
        <v>0</v>
      </c>
      <c r="J2" s="104"/>
      <c r="K2" s="123">
        <f t="shared" ref="K2:K13" ca="1" si="0">B2+F2</f>
        <v>0</v>
      </c>
      <c r="L2" s="124" t="e">
        <f ca="1">AVERAGEIF('Janvier 2019'!B2:B32,"&gt;13")</f>
        <v>#DIV/0!</v>
      </c>
      <c r="M2" s="125">
        <f ca="1">(B2-'Année 2018'!B2)</f>
        <v>-1070</v>
      </c>
    </row>
    <row r="3" spans="1:13" ht="16.5" x14ac:dyDescent="0.3">
      <c r="A3" s="101" t="s">
        <v>29</v>
      </c>
      <c r="B3" s="74">
        <f ca="1">'Février 2019'!B30</f>
        <v>0</v>
      </c>
      <c r="C3" s="110">
        <f ca="1">'Février 2019'!C30</f>
        <v>0</v>
      </c>
      <c r="D3" s="110">
        <f ca="1">'Février 2019'!D30</f>
        <v>0</v>
      </c>
      <c r="E3" s="111">
        <f ca="1">'Février 2019'!E30</f>
        <v>0</v>
      </c>
      <c r="F3" s="74">
        <f ca="1">'Février 2019'!F30</f>
        <v>0</v>
      </c>
      <c r="G3" s="110">
        <f ca="1">'Février 2019'!G30</f>
        <v>0</v>
      </c>
      <c r="H3" s="110">
        <f ca="1">'Février 2019'!H30</f>
        <v>0</v>
      </c>
      <c r="I3" s="110">
        <f ca="1">'Février 2019'!I30</f>
        <v>0</v>
      </c>
      <c r="J3" s="104"/>
      <c r="K3" s="123">
        <f t="shared" ca="1" si="0"/>
        <v>0</v>
      </c>
      <c r="L3" s="124" t="e">
        <f ca="1">AVERAGEIF('Février 2019'!B2:B29,"&gt;13")</f>
        <v>#DIV/0!</v>
      </c>
      <c r="M3" s="125">
        <f ca="1">(B3-'Année 2018'!B3)</f>
        <v>-999</v>
      </c>
    </row>
    <row r="4" spans="1:13" ht="16.5" x14ac:dyDescent="0.3">
      <c r="A4" s="101" t="s">
        <v>30</v>
      </c>
      <c r="B4" s="74">
        <f ca="1">'Mars 2019'!B33</f>
        <v>0</v>
      </c>
      <c r="C4" s="110">
        <f ca="1">'Mars 2019'!C33</f>
        <v>0</v>
      </c>
      <c r="D4" s="110">
        <f ca="1">'Mars 2019'!D33</f>
        <v>0</v>
      </c>
      <c r="E4" s="111">
        <f ca="1">'Mars 2019'!E33</f>
        <v>0</v>
      </c>
      <c r="F4" s="74">
        <f ca="1">'Mars 2019'!F33</f>
        <v>0</v>
      </c>
      <c r="G4" s="110">
        <f ca="1">'Mars 2019'!G33</f>
        <v>0</v>
      </c>
      <c r="H4" s="110">
        <f ca="1">'Mars 2019'!H33</f>
        <v>0</v>
      </c>
      <c r="I4" s="110">
        <f ca="1">'Mars 2019'!I33</f>
        <v>0</v>
      </c>
      <c r="J4" s="104"/>
      <c r="K4" s="123">
        <f t="shared" ca="1" si="0"/>
        <v>0</v>
      </c>
      <c r="L4" s="124" t="e">
        <f ca="1">AVERAGEIF('Mars 2019'!B2:B32,"&gt;13")</f>
        <v>#DIV/0!</v>
      </c>
      <c r="M4" s="125">
        <f ca="1">(B4-'Année 2018'!B4)</f>
        <v>-1150</v>
      </c>
    </row>
    <row r="5" spans="1:13" ht="16.5" x14ac:dyDescent="0.3">
      <c r="A5" s="101" t="s">
        <v>31</v>
      </c>
      <c r="B5" s="74">
        <f ca="1">'Avril 2019'!B32</f>
        <v>0</v>
      </c>
      <c r="C5" s="110">
        <f ca="1">'Avril 2019'!C32</f>
        <v>0</v>
      </c>
      <c r="D5" s="110">
        <f ca="1">'Avril 2019'!D32</f>
        <v>0</v>
      </c>
      <c r="E5" s="111">
        <f ca="1">'Avril 2019'!E32</f>
        <v>0</v>
      </c>
      <c r="F5" s="74">
        <f ca="1">'Avril 2019'!F32</f>
        <v>0</v>
      </c>
      <c r="G5" s="110">
        <f ca="1">'Avril 2019'!G32</f>
        <v>0</v>
      </c>
      <c r="H5" s="110">
        <f ca="1">'Avril 2019'!H32</f>
        <v>0</v>
      </c>
      <c r="I5" s="110">
        <f ca="1">'Avril 2019'!I32</f>
        <v>0</v>
      </c>
      <c r="J5" s="104"/>
      <c r="K5" s="123">
        <f t="shared" ca="1" si="0"/>
        <v>0</v>
      </c>
      <c r="L5" s="124" t="e">
        <f ca="1">AVERAGEIF('Avril 2019'!B2:B31,"&gt;13")</f>
        <v>#DIV/0!</v>
      </c>
      <c r="M5" s="125">
        <f ca="1">(B5-'Année 2018'!B5)</f>
        <v>-1113</v>
      </c>
    </row>
    <row r="6" spans="1:13" ht="16.5" x14ac:dyDescent="0.3">
      <c r="A6" s="101" t="s">
        <v>32</v>
      </c>
      <c r="B6" s="74">
        <f ca="1">'Mai 2019'!B33</f>
        <v>0</v>
      </c>
      <c r="C6" s="110">
        <f ca="1">'Mai 2019'!C33</f>
        <v>0</v>
      </c>
      <c r="D6" s="110">
        <f ca="1">'Mai 2019'!D33</f>
        <v>0</v>
      </c>
      <c r="E6" s="111">
        <f ca="1">'Mai 2019'!E33</f>
        <v>0</v>
      </c>
      <c r="F6" s="74">
        <f ca="1">'Mai 2019'!F33</f>
        <v>0</v>
      </c>
      <c r="G6" s="110">
        <f ca="1">'Mai 2019'!G33</f>
        <v>0</v>
      </c>
      <c r="H6" s="110">
        <f ca="1">'Mai 2019'!H33</f>
        <v>0</v>
      </c>
      <c r="I6" s="110">
        <f ca="1">'Mai 2019'!I33</f>
        <v>0</v>
      </c>
      <c r="J6" s="104"/>
      <c r="K6" s="123">
        <f t="shared" ca="1" si="0"/>
        <v>0</v>
      </c>
      <c r="L6" s="124" t="e">
        <f ca="1">AVERAGEIF('Mai 2019'!B2:B32,"&gt;13")</f>
        <v>#DIV/0!</v>
      </c>
      <c r="M6" s="125">
        <f ca="1">(B6-'Année 2018'!B6)</f>
        <v>-1049</v>
      </c>
    </row>
    <row r="7" spans="1:13" ht="16.5" x14ac:dyDescent="0.3">
      <c r="A7" s="101" t="s">
        <v>33</v>
      </c>
      <c r="B7" s="74">
        <f ca="1">'Juin 2019'!B32</f>
        <v>0</v>
      </c>
      <c r="C7" s="110">
        <f ca="1">'Juin 2019'!C32</f>
        <v>0</v>
      </c>
      <c r="D7" s="110">
        <f ca="1">'Juin 2019'!D32</f>
        <v>0</v>
      </c>
      <c r="E7" s="111">
        <f ca="1">'Juin 2019'!E32</f>
        <v>0</v>
      </c>
      <c r="F7" s="74">
        <f ca="1">'Juin 2019'!F32</f>
        <v>0</v>
      </c>
      <c r="G7" s="110">
        <f ca="1">'Juin 2019'!G32</f>
        <v>0</v>
      </c>
      <c r="H7" s="110">
        <f ca="1">'Juin 2019'!H32</f>
        <v>0</v>
      </c>
      <c r="I7" s="110">
        <f ca="1">'Juin 2019'!I32</f>
        <v>0</v>
      </c>
      <c r="J7" s="104"/>
      <c r="K7" s="123">
        <f t="shared" ca="1" si="0"/>
        <v>0</v>
      </c>
      <c r="L7" s="124" t="e">
        <f ca="1">AVERAGEIF('Juin 2019'!B2:B31,"&gt;13")</f>
        <v>#DIV/0!</v>
      </c>
      <c r="M7" s="125">
        <f ca="1">(B7-'Année 2018'!B7)</f>
        <v>-1295</v>
      </c>
    </row>
    <row r="8" spans="1:13" ht="16.5" x14ac:dyDescent="0.3">
      <c r="A8" s="101" t="s">
        <v>34</v>
      </c>
      <c r="B8" s="74">
        <f ca="1">'Juillet 2019'!B33</f>
        <v>0</v>
      </c>
      <c r="C8" s="110">
        <f ca="1">'Juillet 2019'!C33</f>
        <v>0</v>
      </c>
      <c r="D8" s="110">
        <f ca="1">'Juillet 2019'!D33</f>
        <v>0</v>
      </c>
      <c r="E8" s="111">
        <f ca="1">'Juillet 2019'!E33</f>
        <v>0</v>
      </c>
      <c r="F8" s="74">
        <f ca="1">'Juillet 2019'!F33</f>
        <v>0</v>
      </c>
      <c r="G8" s="110">
        <f ca="1">'Juillet 2019'!G33</f>
        <v>0</v>
      </c>
      <c r="H8" s="110">
        <f ca="1">'Juillet 2019'!H33</f>
        <v>0</v>
      </c>
      <c r="I8" s="110">
        <f ca="1">'Juillet 2019'!I33</f>
        <v>0</v>
      </c>
      <c r="J8" s="104"/>
      <c r="K8" s="123">
        <f t="shared" ca="1" si="0"/>
        <v>0</v>
      </c>
      <c r="L8" s="124" t="e">
        <f ca="1">AVERAGEIF('Juillet 2019'!B2:B32,"&gt;13")</f>
        <v>#DIV/0!</v>
      </c>
      <c r="M8" s="125">
        <f ca="1">(B8-'Année 2018'!B8)</f>
        <v>-1418</v>
      </c>
    </row>
    <row r="9" spans="1:13" ht="16.5" x14ac:dyDescent="0.3">
      <c r="A9" s="101" t="s">
        <v>35</v>
      </c>
      <c r="B9" s="74">
        <f ca="1">'Aout 2019'!B33</f>
        <v>0</v>
      </c>
      <c r="C9" s="110">
        <f ca="1">'Aout 2019'!C33</f>
        <v>0</v>
      </c>
      <c r="D9" s="110">
        <f ca="1">'Aout 2019'!D33</f>
        <v>0</v>
      </c>
      <c r="E9" s="111">
        <f ca="1">'Aout 2019'!E33</f>
        <v>0</v>
      </c>
      <c r="F9" s="74">
        <f ca="1">'Aout 2019'!F33</f>
        <v>0</v>
      </c>
      <c r="G9" s="110">
        <f ca="1">'Aout 2019'!G33</f>
        <v>0</v>
      </c>
      <c r="H9" s="110">
        <f ca="1">'Aout 2019'!H33</f>
        <v>0</v>
      </c>
      <c r="I9" s="110">
        <f ca="1">'Aout 2019'!I33</f>
        <v>0</v>
      </c>
      <c r="J9" s="104"/>
      <c r="K9" s="123">
        <f t="shared" ca="1" si="0"/>
        <v>0</v>
      </c>
      <c r="L9" s="124" t="e">
        <f ca="1">AVERAGEIF('Aout 2019'!B2:B32,"&gt;13")</f>
        <v>#DIV/0!</v>
      </c>
      <c r="M9" s="125">
        <f ca="1">(B9-'Année 2018'!B9)</f>
        <v>-839</v>
      </c>
    </row>
    <row r="10" spans="1:13" ht="16.5" x14ac:dyDescent="0.3">
      <c r="A10" s="101" t="s">
        <v>36</v>
      </c>
      <c r="B10" s="74">
        <f ca="1">'Septembre 2019'!B32</f>
        <v>0</v>
      </c>
      <c r="C10" s="110">
        <f ca="1">'Septembre 2019'!C32</f>
        <v>0</v>
      </c>
      <c r="D10" s="110">
        <f ca="1">'Septembre 2019'!D32</f>
        <v>0</v>
      </c>
      <c r="E10" s="111">
        <f ca="1">'Septembre 2019'!E32</f>
        <v>0</v>
      </c>
      <c r="F10" s="74">
        <f ca="1">'Septembre 2019'!F32</f>
        <v>0</v>
      </c>
      <c r="G10" s="110">
        <f ca="1">'Septembre 2019'!G32</f>
        <v>0</v>
      </c>
      <c r="H10" s="110">
        <f ca="1">'Septembre 2019'!H32</f>
        <v>0</v>
      </c>
      <c r="I10" s="110">
        <f ca="1">'Septembre 2019'!I32</f>
        <v>0</v>
      </c>
      <c r="J10" s="104"/>
      <c r="K10" s="123">
        <f t="shared" ca="1" si="0"/>
        <v>0</v>
      </c>
      <c r="L10" s="124" t="e">
        <f ca="1">AVERAGEIF('Septembre 2019'!B2:B31,"&gt;13")</f>
        <v>#DIV/0!</v>
      </c>
      <c r="M10" s="125">
        <f ca="1">(B10-'Année 2018'!B10)</f>
        <v>-821</v>
      </c>
    </row>
    <row r="11" spans="1:13" ht="16.5" x14ac:dyDescent="0.3">
      <c r="A11" s="101" t="s">
        <v>37</v>
      </c>
      <c r="B11" s="74">
        <f ca="1">'Octobre 2019'!B33</f>
        <v>0</v>
      </c>
      <c r="C11" s="110">
        <f ca="1">'Octobre 2019'!C33</f>
        <v>0</v>
      </c>
      <c r="D11" s="110">
        <f ca="1">'Octobre 2019'!D33</f>
        <v>0</v>
      </c>
      <c r="E11" s="111">
        <f ca="1">'Octobre 2019'!E33</f>
        <v>0</v>
      </c>
      <c r="F11" s="74">
        <f ca="1">'Octobre 2019'!F33</f>
        <v>0</v>
      </c>
      <c r="G11" s="110">
        <f ca="1">'Octobre 2019'!G33</f>
        <v>0</v>
      </c>
      <c r="H11" s="110">
        <f ca="1">'Octobre 2019'!H33</f>
        <v>0</v>
      </c>
      <c r="I11" s="110">
        <f ca="1">'Octobre 2019'!I33</f>
        <v>0</v>
      </c>
      <c r="J11" s="104"/>
      <c r="K11" s="123">
        <f t="shared" ca="1" si="0"/>
        <v>0</v>
      </c>
      <c r="L11" s="124" t="e">
        <f ca="1">AVERAGEIF('Octobre 2019'!B2:B32,"&gt;13")</f>
        <v>#DIV/0!</v>
      </c>
      <c r="M11" s="125">
        <f ca="1">(B11-'Année 2018'!B11)</f>
        <v>-1050</v>
      </c>
    </row>
    <row r="12" spans="1:13" ht="16.5" x14ac:dyDescent="0.3">
      <c r="A12" s="101" t="s">
        <v>38</v>
      </c>
      <c r="B12" s="74">
        <f ca="1">'Novembre 2019'!B32</f>
        <v>0</v>
      </c>
      <c r="C12" s="110">
        <f ca="1">'Novembre 2019'!C32</f>
        <v>0</v>
      </c>
      <c r="D12" s="110">
        <f ca="1">'Novembre 2019'!D32</f>
        <v>0</v>
      </c>
      <c r="E12" s="111">
        <f ca="1">'Novembre 2019'!E32</f>
        <v>0</v>
      </c>
      <c r="F12" s="74">
        <f ca="1">'Novembre 2019'!F32</f>
        <v>0</v>
      </c>
      <c r="G12" s="110">
        <f ca="1">'Novembre 2019'!G32</f>
        <v>0</v>
      </c>
      <c r="H12" s="110">
        <f ca="1">'Novembre 2019'!H32</f>
        <v>0</v>
      </c>
      <c r="I12" s="110">
        <f ca="1">'Novembre 2019'!I32</f>
        <v>0</v>
      </c>
      <c r="J12" s="104"/>
      <c r="K12" s="123">
        <f t="shared" ca="1" si="0"/>
        <v>0</v>
      </c>
      <c r="L12" s="124" t="e">
        <f ca="1">AVERAGEIF('Novembre 2019'!B2:B31,"&gt;13")</f>
        <v>#DIV/0!</v>
      </c>
      <c r="M12" s="125">
        <f ca="1">(B12-'Année 2018'!B12)</f>
        <v>-817</v>
      </c>
    </row>
    <row r="13" spans="1:13" ht="17.25" thickBot="1" x14ac:dyDescent="0.35">
      <c r="A13" s="130" t="s">
        <v>39</v>
      </c>
      <c r="B13" s="112">
        <f ca="1">'Décembre 2019'!B33</f>
        <v>0</v>
      </c>
      <c r="C13" s="113">
        <f ca="1">'Décembre 2018'!C33</f>
        <v>0</v>
      </c>
      <c r="D13" s="113">
        <f ca="1">'Décembre 2019'!D33</f>
        <v>0</v>
      </c>
      <c r="E13" s="114">
        <f ca="1">'Décembre 2019'!E33</f>
        <v>0</v>
      </c>
      <c r="F13" s="112">
        <f ca="1">'Décembre 2019'!F33</f>
        <v>0</v>
      </c>
      <c r="G13" s="113">
        <f ca="1">'Décembre 2019'!G33</f>
        <v>0</v>
      </c>
      <c r="H13" s="113">
        <f ca="1">'Décembre 2019'!H33</f>
        <v>0</v>
      </c>
      <c r="I13" s="113">
        <f ca="1">'Décembre 2019'!I33</f>
        <v>0</v>
      </c>
      <c r="J13" s="104"/>
      <c r="K13" s="126">
        <f t="shared" ca="1" si="0"/>
        <v>0</v>
      </c>
      <c r="L13" s="127" t="e">
        <f ca="1">AVERAGEIF('Décembre 2019'!B2:B32,"&gt;13")</f>
        <v>#DIV/0!</v>
      </c>
      <c r="M13" s="128">
        <f ca="1">(B13-'Année 2018'!B13)</f>
        <v>0</v>
      </c>
    </row>
    <row r="14" spans="1:13" ht="19.5" thickBot="1" x14ac:dyDescent="0.35">
      <c r="A14" s="131" t="s">
        <v>25</v>
      </c>
      <c r="B14" s="129">
        <f t="shared" ref="B14:I14" ca="1" si="1">B2+B3+B4+B5+B6+B7+B8+B9+B10+B11+B12+B13</f>
        <v>0</v>
      </c>
      <c r="C14" s="115">
        <f t="shared" ca="1" si="1"/>
        <v>0</v>
      </c>
      <c r="D14" s="115">
        <f t="shared" ca="1" si="1"/>
        <v>0</v>
      </c>
      <c r="E14" s="116">
        <f t="shared" ca="1" si="1"/>
        <v>0</v>
      </c>
      <c r="F14" s="117">
        <f t="shared" ca="1" si="1"/>
        <v>0</v>
      </c>
      <c r="G14" s="115">
        <f t="shared" ca="1" si="1"/>
        <v>0</v>
      </c>
      <c r="H14" s="115">
        <f t="shared" ca="1" si="1"/>
        <v>0</v>
      </c>
      <c r="I14" s="116">
        <f t="shared" ca="1" si="1"/>
        <v>0</v>
      </c>
      <c r="J14" s="103"/>
      <c r="K14" s="118">
        <f ca="1">K2+K3+K4+K5+K6+K7+K8+K9+K10+K11+K12+K13</f>
        <v>0</v>
      </c>
      <c r="L14" s="119" t="e">
        <f ca="1">AVERAGEIF(L2:L13,"&lt;&gt;#DIV/0!")</f>
        <v>#DIV/0!</v>
      </c>
      <c r="M14" s="120">
        <f ca="1">(B14-'Année 2018'!B14)</f>
        <v>-11621</v>
      </c>
    </row>
    <row r="15" spans="1:13" x14ac:dyDescent="0.25">
      <c r="A15" s="100"/>
    </row>
    <row r="31" spans="1:12" x14ac:dyDescent="0.25">
      <c r="A31" s="138" t="s">
        <v>49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</row>
  </sheetData>
  <mergeCells count="1">
    <mergeCell ref="A31:L31"/>
  </mergeCells>
  <conditionalFormatting sqref="L2:L13">
    <cfRule type="containsErrors" dxfId="2" priority="6">
      <formula>ISERROR(L2)</formula>
    </cfRule>
  </conditionalFormatting>
  <conditionalFormatting sqref="M2:M14">
    <cfRule type="cellIs" dxfId="1" priority="4" operator="lessThan">
      <formula>0</formula>
    </cfRule>
    <cfRule type="cellIs" dxfId="0" priority="5" operator="greaterThan">
      <formula>0</formula>
    </cfRule>
  </conditionalFormatting>
  <conditionalFormatting sqref="B2:B13">
    <cfRule type="iconSet" priority="2">
      <iconSet iconSet="3Flags">
        <cfvo type="percent" val="0"/>
        <cfvo type="percent" val="33"/>
        <cfvo type="percent" val="67"/>
      </iconSet>
    </cfRule>
    <cfRule type="dataBar" priority="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{E1890935-1FC3-43EB-83BC-08B003E0DB3E}</x14:id>
        </ext>
      </extLst>
    </cfRule>
  </conditionalFormatting>
  <conditionalFormatting sqref="F2:F13">
    <cfRule type="iconSet" priority="1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1890935-1FC3-43EB-83BC-08B003E0DB3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B2:B13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39</vt:i4>
      </vt:variant>
    </vt:vector>
  </HeadingPairs>
  <TitlesOfParts>
    <vt:vector size="39" baseType="lpstr">
      <vt:lpstr>Janvier 2017</vt:lpstr>
      <vt:lpstr>Février 2017</vt:lpstr>
      <vt:lpstr>Mars 2017</vt:lpstr>
      <vt:lpstr>Avril 2017</vt:lpstr>
      <vt:lpstr>Mai 2017</vt:lpstr>
      <vt:lpstr>Juin 2017</vt:lpstr>
      <vt:lpstr>Juillet 2017</vt:lpstr>
      <vt:lpstr>Aout 2017</vt:lpstr>
      <vt:lpstr>Septembre 2017</vt:lpstr>
      <vt:lpstr>Octobre 2017</vt:lpstr>
      <vt:lpstr>Novembre 2017</vt:lpstr>
      <vt:lpstr>Décembre 2017</vt:lpstr>
      <vt:lpstr>Année 2017</vt:lpstr>
      <vt:lpstr>Janvier 2018</vt:lpstr>
      <vt:lpstr>Février 2018</vt:lpstr>
      <vt:lpstr>Mars 2018</vt:lpstr>
      <vt:lpstr>Avril 2018</vt:lpstr>
      <vt:lpstr>Mai 2018</vt:lpstr>
      <vt:lpstr>Juin 2018</vt:lpstr>
      <vt:lpstr>Juillet 2018</vt:lpstr>
      <vt:lpstr>Aout 2018</vt:lpstr>
      <vt:lpstr>Septembre 2018</vt:lpstr>
      <vt:lpstr>Octobre 2018</vt:lpstr>
      <vt:lpstr>Novembre 2018</vt:lpstr>
      <vt:lpstr>Décembre 2018</vt:lpstr>
      <vt:lpstr>Année 2018</vt:lpstr>
      <vt:lpstr>Janvier 2019</vt:lpstr>
      <vt:lpstr>Février 2019</vt:lpstr>
      <vt:lpstr>Mars 2019</vt:lpstr>
      <vt:lpstr>Avril 2019</vt:lpstr>
      <vt:lpstr>Mai 2019</vt:lpstr>
      <vt:lpstr>Juin 2019</vt:lpstr>
      <vt:lpstr>Juillet 2019</vt:lpstr>
      <vt:lpstr>Aout 2019</vt:lpstr>
      <vt:lpstr>Septembre 2019</vt:lpstr>
      <vt:lpstr>Octobre 2019</vt:lpstr>
      <vt:lpstr>Novembre 2019</vt:lpstr>
      <vt:lpstr>Décembre 2019</vt:lpstr>
      <vt:lpstr>Année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2018-11-28T12:42:56Z</dcterms:modified>
</cp:coreProperties>
</file>