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/>
  <mc:AlternateContent xmlns:mc="http://schemas.openxmlformats.org/markup-compatibility/2006">
    <mc:Choice Requires="x15">
      <x15ac:absPath xmlns:x15ac="http://schemas.microsoft.com/office/spreadsheetml/2010/11/ac" url="C:\Users\Mat\Desktop\Cégep\Travaux cégep\Stock et entrepôt\"/>
    </mc:Choice>
  </mc:AlternateContent>
  <bookViews>
    <workbookView xWindow="0" yWindow="0" windowWidth="25200" windowHeight="11850"/>
  </bookViews>
  <sheets>
    <sheet name="Partie #1" sheetId="1" r:id="rId1"/>
    <sheet name="Partie #3" sheetId="2" r:id="rId2"/>
  </sheets>
  <definedNames>
    <definedName name="_xlchart.v1.0" hidden="1">'Partie #1'!$C$2:$C$21</definedName>
    <definedName name="_xlchart.v1.1" hidden="1">'Partie #1'!$G$2:$G$21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2" l="1"/>
  <c r="N32" i="2"/>
  <c r="N27" i="2"/>
  <c r="N28" i="2"/>
  <c r="N23" i="2"/>
  <c r="N24" i="2"/>
  <c r="N25" i="2"/>
  <c r="N26" i="2"/>
  <c r="N22" i="2"/>
  <c r="N30" i="2"/>
  <c r="L14" i="2"/>
  <c r="L15" i="2"/>
  <c r="L16" i="2"/>
  <c r="L13" i="2"/>
  <c r="N3" i="1"/>
  <c r="N4" i="1"/>
  <c r="N5" i="1"/>
  <c r="N6" i="1"/>
  <c r="I31" i="1" s="1"/>
  <c r="N7" i="1"/>
  <c r="N8" i="1"/>
  <c r="N9" i="1"/>
  <c r="N10" i="1"/>
  <c r="N11" i="1"/>
  <c r="N12" i="1"/>
  <c r="N13" i="1"/>
  <c r="I36" i="1" s="1"/>
  <c r="N14" i="1"/>
  <c r="N15" i="1"/>
  <c r="N16" i="1"/>
  <c r="N17" i="1"/>
  <c r="N18" i="1"/>
  <c r="N19" i="1"/>
  <c r="N20" i="1"/>
  <c r="N21" i="1"/>
  <c r="N2" i="1"/>
  <c r="I26" i="1" s="1"/>
  <c r="P10" i="1"/>
  <c r="L3" i="1"/>
  <c r="P3" i="1" s="1"/>
  <c r="L2" i="1"/>
  <c r="P2" i="1" s="1"/>
  <c r="L6" i="1"/>
  <c r="P6" i="1" s="1"/>
  <c r="D36" i="1"/>
  <c r="P5" i="1"/>
  <c r="E37" i="1"/>
  <c r="E38" i="1"/>
  <c r="E39" i="1"/>
  <c r="E36" i="1"/>
  <c r="D37" i="1"/>
  <c r="D38" i="1"/>
  <c r="D39" i="1"/>
  <c r="D40" i="1"/>
  <c r="G32" i="1"/>
  <c r="G33" i="1"/>
  <c r="G34" i="1"/>
  <c r="G35" i="1"/>
  <c r="G31" i="1"/>
  <c r="F32" i="1"/>
  <c r="F33" i="1"/>
  <c r="F34" i="1"/>
  <c r="F35" i="1"/>
  <c r="F31" i="1"/>
  <c r="E35" i="1"/>
  <c r="D32" i="1"/>
  <c r="D33" i="1"/>
  <c r="D34" i="1"/>
  <c r="G30" i="1"/>
  <c r="G27" i="1"/>
  <c r="G28" i="1"/>
  <c r="G29" i="1"/>
  <c r="G26" i="1"/>
  <c r="F27" i="1"/>
  <c r="F28" i="1"/>
  <c r="F29" i="1"/>
  <c r="F30" i="1"/>
  <c r="F26" i="1"/>
  <c r="E27" i="1"/>
  <c r="E28" i="1"/>
  <c r="E29" i="1"/>
  <c r="E30" i="1"/>
  <c r="E26" i="1"/>
  <c r="D30" i="1"/>
  <c r="L4" i="1"/>
  <c r="P4" i="1" s="1"/>
  <c r="G4" i="1"/>
  <c r="G3" i="1"/>
  <c r="G2" i="1"/>
  <c r="L17" i="1"/>
  <c r="L18" i="1"/>
  <c r="L19" i="1"/>
  <c r="L20" i="1"/>
  <c r="L21" i="1"/>
  <c r="L16" i="1"/>
  <c r="G17" i="1"/>
  <c r="G18" i="1"/>
  <c r="G19" i="1"/>
  <c r="G20" i="1"/>
  <c r="G21" i="1"/>
  <c r="L7" i="1"/>
  <c r="L5" i="1"/>
  <c r="L8" i="1"/>
  <c r="P8" i="1" s="1"/>
  <c r="L9" i="1"/>
  <c r="L10" i="1"/>
  <c r="L11" i="1"/>
  <c r="P11" i="1" s="1"/>
  <c r="L12" i="1"/>
  <c r="P12" i="1" s="1"/>
  <c r="L13" i="1"/>
  <c r="L14" i="1"/>
  <c r="L15" i="1"/>
  <c r="G16" i="1"/>
  <c r="G15" i="1"/>
  <c r="G14" i="1"/>
  <c r="G13" i="1"/>
  <c r="G12" i="1"/>
  <c r="G11" i="1"/>
  <c r="G10" i="1"/>
  <c r="G9" i="1"/>
  <c r="G8" i="1"/>
  <c r="G7" i="1"/>
  <c r="G6" i="1"/>
  <c r="G5" i="1"/>
  <c r="P7" i="1" l="1"/>
  <c r="P13" i="1"/>
  <c r="P9" i="1"/>
  <c r="D31" i="1"/>
  <c r="G22" i="1"/>
  <c r="H2" i="1" s="1"/>
  <c r="H4" i="1" l="1"/>
  <c r="H16" i="1"/>
  <c r="H9" i="1"/>
  <c r="H19" i="1"/>
  <c r="H12" i="1"/>
  <c r="H17" i="1"/>
  <c r="H10" i="1"/>
  <c r="H13" i="1"/>
  <c r="H20" i="1"/>
  <c r="H7" i="1"/>
  <c r="H8" i="1"/>
  <c r="H18" i="1"/>
  <c r="H11" i="1"/>
  <c r="H3" i="1"/>
  <c r="H21" i="1"/>
  <c r="H15" i="1"/>
  <c r="H6" i="1"/>
  <c r="H22" i="1"/>
  <c r="H5" i="1"/>
  <c r="H14" i="1"/>
  <c r="B9" i="1" l="1"/>
  <c r="B5" i="1"/>
  <c r="B7" i="1"/>
  <c r="B21" i="1"/>
  <c r="B14" i="1"/>
  <c r="B18" i="1"/>
  <c r="B2" i="1"/>
  <c r="B13" i="1"/>
  <c r="B10" i="1"/>
  <c r="B20" i="1"/>
  <c r="B19" i="1"/>
  <c r="B12" i="1"/>
  <c r="B8" i="1"/>
  <c r="B4" i="1"/>
  <c r="B3" i="1"/>
  <c r="B16" i="1"/>
  <c r="B15" i="1"/>
  <c r="B11" i="1"/>
  <c r="B17" i="1"/>
  <c r="B6" i="1"/>
  <c r="I4" i="1" l="1"/>
  <c r="I10" i="1"/>
  <c r="J19" i="1"/>
  <c r="G38" i="1" s="1"/>
  <c r="J15" i="1"/>
  <c r="F39" i="1" s="1"/>
  <c r="I11" i="1"/>
  <c r="I3" i="1"/>
  <c r="J3" i="1"/>
  <c r="D27" i="1" s="1"/>
  <c r="I9" i="1"/>
  <c r="J14" i="1"/>
  <c r="F38" i="1" s="1"/>
  <c r="I15" i="1"/>
  <c r="J4" i="1"/>
  <c r="D28" i="1" s="1"/>
  <c r="I14" i="1"/>
  <c r="I16" i="1"/>
  <c r="I19" i="1"/>
  <c r="J9" i="1"/>
  <c r="E33" i="1" s="1"/>
  <c r="I18" i="1"/>
  <c r="J21" i="1"/>
  <c r="G40" i="1" s="1"/>
  <c r="I7" i="1"/>
  <c r="I6" i="1"/>
  <c r="I12" i="1"/>
  <c r="I5" i="1"/>
  <c r="J6" i="1"/>
  <c r="D35" i="1" s="1"/>
  <c r="J12" i="1"/>
  <c r="F36" i="1" s="1"/>
  <c r="J18" i="1"/>
  <c r="G37" i="1" s="1"/>
  <c r="I17" i="1"/>
  <c r="J11" i="1"/>
  <c r="E40" i="1" s="1"/>
  <c r="J2" i="1"/>
  <c r="D26" i="1" s="1"/>
  <c r="J7" i="1"/>
  <c r="E31" i="1" s="1"/>
  <c r="J8" i="1"/>
  <c r="E32" i="1" s="1"/>
  <c r="I20" i="1"/>
  <c r="I13" i="1"/>
  <c r="I2" i="1"/>
  <c r="H26" i="1" s="1"/>
  <c r="J13" i="1"/>
  <c r="F37" i="1" s="1"/>
  <c r="I8" i="1"/>
  <c r="J17" i="1"/>
  <c r="G36" i="1" s="1"/>
  <c r="I21" i="1"/>
  <c r="J10" i="1"/>
  <c r="E34" i="1" s="1"/>
  <c r="J5" i="1"/>
  <c r="D29" i="1" s="1"/>
  <c r="J16" i="1"/>
  <c r="F40" i="1" s="1"/>
  <c r="J20" i="1"/>
  <c r="G39" i="1" s="1"/>
  <c r="K2" i="1" l="1"/>
  <c r="K3" i="1" s="1"/>
  <c r="O2" i="1"/>
  <c r="H36" i="1"/>
  <c r="O6" i="1"/>
  <c r="O7" i="1" s="1"/>
  <c r="O8" i="1" s="1"/>
  <c r="O9" i="1" s="1"/>
  <c r="O10" i="1" s="1"/>
  <c r="O11" i="1" s="1"/>
  <c r="O12" i="1" s="1"/>
  <c r="O13" i="1" s="1"/>
  <c r="H31" i="1"/>
  <c r="O3" i="1"/>
  <c r="O4" i="1"/>
  <c r="O5" i="1" s="1"/>
  <c r="K4" i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I22" i="1"/>
</calcChain>
</file>

<file path=xl/sharedStrings.xml><?xml version="1.0" encoding="utf-8"?>
<sst xmlns="http://schemas.openxmlformats.org/spreadsheetml/2006/main" count="122" uniqueCount="66">
  <si>
    <t>Valeur totale</t>
  </si>
  <si>
    <t>% de la valeur totale</t>
  </si>
  <si>
    <t>% de la valeur totale en ordre décroissant</t>
  </si>
  <si>
    <t>Code Inventaire en ordre</t>
  </si>
  <si>
    <t>% cumulé valeur totale ordre décroissant</t>
  </si>
  <si>
    <t>% cumulé des sortes d'articles</t>
  </si>
  <si>
    <t>Classe</t>
  </si>
  <si>
    <t>A</t>
  </si>
  <si>
    <t>B</t>
  </si>
  <si>
    <t>C</t>
  </si>
  <si>
    <t>Total</t>
  </si>
  <si>
    <t>Catégorie A</t>
  </si>
  <si>
    <t>Catégorie B</t>
  </si>
  <si>
    <t>Catégorie C</t>
  </si>
  <si>
    <t>Rang</t>
  </si>
  <si>
    <t>Article</t>
  </si>
  <si>
    <t>Prix de revient unitaire ($)</t>
  </si>
  <si>
    <t>Quantité utilisée par année</t>
  </si>
  <si>
    <t>BN64</t>
  </si>
  <si>
    <t>GS42</t>
  </si>
  <si>
    <t>CP92</t>
  </si>
  <si>
    <t>KJ77</t>
  </si>
  <si>
    <t>PL12</t>
  </si>
  <si>
    <t>VD65</t>
  </si>
  <si>
    <t>XW35</t>
  </si>
  <si>
    <t>BM04</t>
  </si>
  <si>
    <t>IL54</t>
  </si>
  <si>
    <t>AL38</t>
  </si>
  <si>
    <t>ND31</t>
  </si>
  <si>
    <t>PA49</t>
  </si>
  <si>
    <t>MA53</t>
  </si>
  <si>
    <t>MA91</t>
  </si>
  <si>
    <t>NH55</t>
  </si>
  <si>
    <t>VE82</t>
  </si>
  <si>
    <t>CA61</t>
  </si>
  <si>
    <t>RI48</t>
  </si>
  <si>
    <t>NY30</t>
  </si>
  <si>
    <t>WY72</t>
  </si>
  <si>
    <t>% val cummul</t>
  </si>
  <si>
    <t>% sorte cummul</t>
  </si>
  <si>
    <t>% valeur cummulée</t>
  </si>
  <si>
    <t>Articles</t>
  </si>
  <si>
    <t>État des résultats pour l'exercice terminé le 31 août 2016</t>
  </si>
  <si>
    <t>Ventes nettes</t>
  </si>
  <si>
    <t>Main-d'œuvre directe</t>
  </si>
  <si>
    <t>Stocks début</t>
  </si>
  <si>
    <t>Matériel Support</t>
  </si>
  <si>
    <t>Diodes</t>
  </si>
  <si>
    <t>Condensateurs</t>
  </si>
  <si>
    <t>Autres</t>
  </si>
  <si>
    <t>Stocks disponibles</t>
  </si>
  <si>
    <t>Stocks fin</t>
  </si>
  <si>
    <t>Coût matières premières</t>
  </si>
  <si>
    <t>Frais généraux de fabrication variables</t>
  </si>
  <si>
    <t>Frais de vente et d'administration variables</t>
  </si>
  <si>
    <t>Marge de contribution</t>
  </si>
  <si>
    <t>Frais généraux de fabrication fixes</t>
  </si>
  <si>
    <t>Frais de vente et d'administration fixes</t>
  </si>
  <si>
    <t>Profit net (avant impôt)</t>
  </si>
  <si>
    <t>Matières premières :</t>
  </si>
  <si>
    <t>Achats :</t>
  </si>
  <si>
    <t>État des résultats pour l'exercice terminé le 31 août 2017</t>
  </si>
  <si>
    <t>MGA=</t>
  </si>
  <si>
    <t>% d'acroissement des profits</t>
  </si>
  <si>
    <t>% de diminution des coûts reliés aux approvisionnements</t>
  </si>
  <si>
    <t>% réduction des prix d'achats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</si>
</sst>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$&quot;_);[Red]\(#,##0.00\ &quot;$&quot;\)"/>
    <numFmt numFmtId="44" formatCode="_ * #,##0.00_)\ &quot;$&quot;_ ;_ * \(#,##0.00\)\ &quot;$&quot;_ ;_ * &quot;-&quot;??_)\ &quot;$&quot;_ ;_ @_ "/>
    <numFmt numFmtId="164" formatCode="0.00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ck">
        <color theme="3"/>
      </left>
      <right/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theme="3"/>
      </left>
      <right style="thick">
        <color auto="1"/>
      </right>
      <top/>
      <bottom/>
      <diagonal/>
    </border>
    <border>
      <left style="thick">
        <color theme="3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indexed="64"/>
      </bottom>
      <diagonal/>
    </border>
    <border>
      <left style="thick">
        <color theme="3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/>
      <right style="thick">
        <color theme="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8" fontId="3" fillId="0" borderId="7" xfId="0" applyNumberFormat="1" applyFont="1" applyBorder="1"/>
    <xf numFmtId="10" fontId="3" fillId="0" borderId="7" xfId="2" applyNumberFormat="1" applyFont="1" applyBorder="1" applyAlignment="1">
      <alignment horizontal="center"/>
    </xf>
    <xf numFmtId="10" fontId="3" fillId="0" borderId="7" xfId="2" applyNumberFormat="1" applyFont="1" applyBorder="1"/>
    <xf numFmtId="164" fontId="3" fillId="0" borderId="7" xfId="2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164" fontId="3" fillId="0" borderId="13" xfId="2" applyNumberFormat="1" applyFont="1" applyBorder="1"/>
    <xf numFmtId="0" fontId="2" fillId="2" borderId="14" xfId="0" applyFont="1" applyFill="1" applyBorder="1" applyAlignment="1">
      <alignment horizontal="center" vertical="center" wrapText="1"/>
    </xf>
    <xf numFmtId="164" fontId="3" fillId="0" borderId="15" xfId="2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164" fontId="0" fillId="0" borderId="0" xfId="0" applyNumberFormat="1"/>
    <xf numFmtId="0" fontId="3" fillId="0" borderId="2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9" fontId="0" fillId="0" borderId="0" xfId="0" applyNumberFormat="1"/>
    <xf numFmtId="9" fontId="0" fillId="0" borderId="0" xfId="0" applyNumberFormat="1" applyAlignment="1">
      <alignment horizontal="center" vertical="center"/>
    </xf>
    <xf numFmtId="0" fontId="2" fillId="0" borderId="38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8" fontId="3" fillId="0" borderId="21" xfId="0" applyNumberFormat="1" applyFont="1" applyBorder="1"/>
    <xf numFmtId="10" fontId="3" fillId="0" borderId="31" xfId="2" applyNumberFormat="1" applyFont="1" applyBorder="1" applyAlignment="1">
      <alignment horizontal="center" vertical="center"/>
    </xf>
    <xf numFmtId="10" fontId="3" fillId="0" borderId="11" xfId="2" applyNumberFormat="1" applyFont="1" applyBorder="1" applyAlignment="1">
      <alignment horizontal="center"/>
    </xf>
    <xf numFmtId="9" fontId="4" fillId="0" borderId="23" xfId="2" applyFont="1" applyBorder="1" applyAlignment="1">
      <alignment horizontal="center" vertical="center"/>
    </xf>
    <xf numFmtId="9" fontId="5" fillId="0" borderId="23" xfId="2" applyFont="1" applyBorder="1" applyAlignment="1">
      <alignment horizontal="center" vertical="center"/>
    </xf>
    <xf numFmtId="9" fontId="6" fillId="0" borderId="23" xfId="2" applyFont="1" applyBorder="1" applyAlignment="1">
      <alignment horizontal="center" vertical="center"/>
    </xf>
    <xf numFmtId="8" fontId="3" fillId="0" borderId="34" xfId="0" applyNumberFormat="1" applyFont="1" applyBorder="1"/>
    <xf numFmtId="164" fontId="3" fillId="0" borderId="47" xfId="2" applyNumberFormat="1" applyFont="1" applyBorder="1"/>
    <xf numFmtId="164" fontId="3" fillId="0" borderId="48" xfId="2" applyNumberFormat="1" applyFont="1" applyBorder="1" applyAlignment="1">
      <alignment horizontal="center"/>
    </xf>
    <xf numFmtId="164" fontId="3" fillId="0" borderId="34" xfId="2" applyNumberFormat="1" applyFont="1" applyBorder="1" applyAlignment="1">
      <alignment horizontal="center"/>
    </xf>
    <xf numFmtId="10" fontId="3" fillId="0" borderId="34" xfId="2" applyNumberFormat="1" applyFont="1" applyBorder="1"/>
    <xf numFmtId="10" fontId="3" fillId="0" borderId="34" xfId="2" applyNumberFormat="1" applyFont="1" applyBorder="1" applyAlignment="1">
      <alignment horizontal="center"/>
    </xf>
    <xf numFmtId="9" fontId="6" fillId="0" borderId="35" xfId="2" applyFont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44" fontId="0" fillId="0" borderId="0" xfId="1" applyFont="1"/>
    <xf numFmtId="44" fontId="9" fillId="0" borderId="0" xfId="1" applyFont="1"/>
    <xf numFmtId="44" fontId="0" fillId="0" borderId="49" xfId="1" applyFont="1" applyBorder="1"/>
    <xf numFmtId="44" fontId="9" fillId="0" borderId="49" xfId="1" applyFont="1" applyBorder="1"/>
    <xf numFmtId="44" fontId="8" fillId="0" borderId="49" xfId="1" applyFont="1" applyBorder="1"/>
    <xf numFmtId="0" fontId="0" fillId="0" borderId="49" xfId="0" applyBorder="1"/>
    <xf numFmtId="49" fontId="0" fillId="0" borderId="49" xfId="0" applyNumberFormat="1" applyBorder="1" applyAlignment="1">
      <alignment vertical="center"/>
    </xf>
    <xf numFmtId="44" fontId="0" fillId="0" borderId="0" xfId="0" applyNumberFormat="1"/>
    <xf numFmtId="44" fontId="9" fillId="0" borderId="0" xfId="0" applyNumberFormat="1" applyFont="1"/>
    <xf numFmtId="164" fontId="7" fillId="0" borderId="37" xfId="2" applyNumberFormat="1" applyFont="1" applyBorder="1" applyAlignment="1">
      <alignment horizontal="center" vertical="center"/>
    </xf>
    <xf numFmtId="164" fontId="7" fillId="0" borderId="42" xfId="2" applyNumberFormat="1" applyFont="1" applyBorder="1" applyAlignment="1">
      <alignment horizontal="center" vertical="center"/>
    </xf>
    <xf numFmtId="164" fontId="7" fillId="0" borderId="43" xfId="2" applyNumberFormat="1" applyFont="1" applyBorder="1" applyAlignment="1">
      <alignment horizontal="center" vertical="center"/>
    </xf>
    <xf numFmtId="164" fontId="7" fillId="0" borderId="38" xfId="2" applyNumberFormat="1" applyFont="1" applyBorder="1" applyAlignment="1">
      <alignment horizontal="center" vertical="center"/>
    </xf>
    <xf numFmtId="164" fontId="7" fillId="0" borderId="40" xfId="2" applyNumberFormat="1" applyFont="1" applyBorder="1" applyAlignment="1">
      <alignment horizontal="center" vertical="center"/>
    </xf>
    <xf numFmtId="164" fontId="7" fillId="0" borderId="41" xfId="2" applyNumberFormat="1" applyFont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8" fontId="3" fillId="0" borderId="8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8" fontId="3" fillId="0" borderId="5" xfId="0" applyNumberFormat="1" applyFont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_xlchart.v1.1</cx:f>
      </cx:numDim>
    </cx:data>
  </cx:chartData>
  <cx:chart>
    <cx:title pos="t" align="ctr" overlay="0">
      <cx:tx>
        <cx:txData>
          <cx:v>Valeur total par article</cx:v>
        </cx:txData>
      </cx:tx>
      <cx:txPr>
        <a:bodyPr spcFirstLastPara="1" vertOverflow="ellipsis" wrap="square" lIns="0" tIns="0" rIns="0" bIns="0" anchor="ctr" anchorCtr="1"/>
        <a:lstStyle/>
        <a:p>
          <a:pPr algn="ctr">
            <a:defRPr/>
          </a:pPr>
          <a:r>
            <a:rPr lang="fr-FR"/>
            <a:t>Valeur total par article</a:t>
          </a:r>
        </a:p>
      </cx:txPr>
    </cx:title>
    <cx:plotArea>
      <cx:plotAreaRegion>
        <cx:series layoutId="clusteredColumn" uniqueId="{4E6F493A-D8D2-4902-A409-0B07C3C7218C}">
          <cx:dataId val="0"/>
          <cx:layoutPr>
            <cx:aggregation/>
          </cx:layoutPr>
          <cx:axisId val="1"/>
        </cx:series>
        <cx:series layoutId="paretoLine" ownerIdx="0" uniqueId="{EE0BCF68-2C90-4CF0-912A-1762A603C323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  <cx:clrMapOvr bg1="lt1" tx1="dk1" bg2="lt2" tx2="dk2" accent1="accent1" accent2="accent2" accent3="accent3" accent4="accent4" accent5="accent5" accent6="accent6" hlink="hlink" folHlink="folHlink"/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126999</xdr:colOff>
      <xdr:row>0</xdr:row>
      <xdr:rowOff>808567</xdr:rowOff>
    </xdr:from>
    <xdr:to>
      <xdr:col>26</xdr:col>
      <xdr:colOff>709083</xdr:colOff>
      <xdr:row>21</xdr:row>
      <xdr:rowOff>21167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Graphiqu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763499" y="808567"/>
              <a:ext cx="7440084" cy="4260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tabSelected="1" zoomScale="90" zoomScaleNormal="90" workbookViewId="0">
      <selection activeCell="M7" sqref="M7"/>
    </sheetView>
  </sheetViews>
  <sheetFormatPr baseColWidth="10" defaultRowHeight="15" x14ac:dyDescent="0.25"/>
  <cols>
    <col min="1" max="1" width="3" bestFit="1" customWidth="1"/>
    <col min="3" max="3" width="12.28515625" bestFit="1" customWidth="1"/>
    <col min="7" max="7" width="15.42578125" bestFit="1" customWidth="1"/>
    <col min="9" max="9" width="14.5703125" bestFit="1" customWidth="1"/>
    <col min="11" max="11" width="13.42578125" bestFit="1" customWidth="1"/>
    <col min="14" max="14" width="3.5703125" hidden="1" customWidth="1"/>
    <col min="15" max="15" width="13.140625" bestFit="1" customWidth="1"/>
    <col min="16" max="16" width="14.7109375" bestFit="1" customWidth="1"/>
  </cols>
  <sheetData>
    <row r="1" spans="1:17" ht="64.5" thickTop="1" thickBot="1" x14ac:dyDescent="0.3">
      <c r="B1" s="1" t="s">
        <v>14</v>
      </c>
      <c r="C1" s="1" t="s">
        <v>15</v>
      </c>
      <c r="D1" s="2" t="s">
        <v>17</v>
      </c>
      <c r="E1" s="86" t="s">
        <v>16</v>
      </c>
      <c r="F1" s="87"/>
      <c r="G1" s="2" t="s">
        <v>0</v>
      </c>
      <c r="H1" s="11" t="s">
        <v>1</v>
      </c>
      <c r="I1" s="13" t="s">
        <v>2</v>
      </c>
      <c r="J1" s="3" t="s">
        <v>3</v>
      </c>
      <c r="K1" s="3" t="s">
        <v>4</v>
      </c>
      <c r="L1" s="3" t="s">
        <v>5</v>
      </c>
      <c r="M1" s="3" t="s">
        <v>6</v>
      </c>
      <c r="O1" s="9" t="s">
        <v>38</v>
      </c>
      <c r="P1" s="9" t="s">
        <v>39</v>
      </c>
    </row>
    <row r="2" spans="1:17" ht="16.5" thickBot="1" x14ac:dyDescent="0.3">
      <c r="A2" s="10">
        <v>1</v>
      </c>
      <c r="B2" s="19">
        <f t="shared" ref="B2:B16" si="0">RANK(H2,$H$2:$H$21,0)</f>
        <v>14</v>
      </c>
      <c r="C2" s="4" t="s">
        <v>18</v>
      </c>
      <c r="D2" s="4">
        <v>24</v>
      </c>
      <c r="E2" s="83">
        <v>145</v>
      </c>
      <c r="F2" s="84"/>
      <c r="G2" s="5">
        <f>D2*E2</f>
        <v>3480</v>
      </c>
      <c r="H2" s="12">
        <f t="shared" ref="H2:H16" si="1">G2/$G$22</f>
        <v>1.2233030800170278E-2</v>
      </c>
      <c r="I2" s="14">
        <f t="shared" ref="I2:I16" si="2">VLOOKUP(A2,$B$2:$H$21,7,FALSE)</f>
        <v>0.29246786280866871</v>
      </c>
      <c r="J2" s="8" t="str">
        <f t="shared" ref="J2:J16" si="3">VLOOKUP(A2,$B$2:$H$21,2,FALSE)</f>
        <v>VE82</v>
      </c>
      <c r="K2" s="7">
        <f>I2</f>
        <v>0.29246786280866871</v>
      </c>
      <c r="L2" s="6">
        <f t="shared" ref="L2:L16" si="4">A2/$A$21</f>
        <v>0.05</v>
      </c>
      <c r="M2" s="43" t="s">
        <v>7</v>
      </c>
      <c r="N2" s="37">
        <f>$A$2/$A$21</f>
        <v>0.05</v>
      </c>
      <c r="O2" s="28">
        <f>I2</f>
        <v>0.29246786280866871</v>
      </c>
      <c r="P2" s="28">
        <f>L2</f>
        <v>0.05</v>
      </c>
      <c r="Q2" t="s">
        <v>7</v>
      </c>
    </row>
    <row r="3" spans="1:17" ht="16.5" thickBot="1" x14ac:dyDescent="0.3">
      <c r="A3" s="10">
        <v>2</v>
      </c>
      <c r="B3" s="19">
        <f t="shared" si="0"/>
        <v>15</v>
      </c>
      <c r="C3" s="4" t="s">
        <v>19</v>
      </c>
      <c r="D3" s="4">
        <v>215</v>
      </c>
      <c r="E3" s="83">
        <v>13</v>
      </c>
      <c r="F3" s="84"/>
      <c r="G3" s="5">
        <f>D3*E3</f>
        <v>2795</v>
      </c>
      <c r="H3" s="12">
        <f t="shared" si="1"/>
        <v>9.825092266228715E-3</v>
      </c>
      <c r="I3" s="14">
        <f t="shared" si="2"/>
        <v>0.19370371529097213</v>
      </c>
      <c r="J3" s="8" t="str">
        <f t="shared" si="3"/>
        <v>XW35</v>
      </c>
      <c r="K3" s="7">
        <f>K2+I3</f>
        <v>0.48617157809964084</v>
      </c>
      <c r="L3" s="6">
        <f t="shared" si="4"/>
        <v>0.1</v>
      </c>
      <c r="M3" s="43" t="s">
        <v>7</v>
      </c>
      <c r="N3" s="37">
        <f t="shared" ref="N3:N21" si="5">$A$2/$A$21</f>
        <v>0.05</v>
      </c>
      <c r="O3" s="28">
        <f>I3+O2</f>
        <v>0.48617157809964084</v>
      </c>
      <c r="P3" s="28">
        <f>L3</f>
        <v>0.1</v>
      </c>
      <c r="Q3" t="s">
        <v>7</v>
      </c>
    </row>
    <row r="4" spans="1:17" ht="16.5" thickBot="1" x14ac:dyDescent="0.3">
      <c r="A4" s="10">
        <v>3</v>
      </c>
      <c r="B4" s="19">
        <f t="shared" si="0"/>
        <v>3</v>
      </c>
      <c r="C4" s="4" t="s">
        <v>20</v>
      </c>
      <c r="D4" s="4">
        <v>350</v>
      </c>
      <c r="E4" s="83">
        <v>112.25</v>
      </c>
      <c r="F4" s="84"/>
      <c r="G4" s="5">
        <f>D4*E4</f>
        <v>39287.5</v>
      </c>
      <c r="H4" s="12">
        <f t="shared" si="1"/>
        <v>0.13810494182807179</v>
      </c>
      <c r="I4" s="14">
        <f t="shared" si="2"/>
        <v>0.13810494182807179</v>
      </c>
      <c r="J4" s="8" t="str">
        <f t="shared" si="3"/>
        <v>CP92</v>
      </c>
      <c r="K4" s="7">
        <f>K3+I4</f>
        <v>0.6242765199277126</v>
      </c>
      <c r="L4" s="6">
        <f t="shared" si="4"/>
        <v>0.15</v>
      </c>
      <c r="M4" s="43" t="s">
        <v>7</v>
      </c>
      <c r="N4" s="37">
        <f t="shared" si="5"/>
        <v>0.05</v>
      </c>
      <c r="O4" s="28">
        <f>I4+O3</f>
        <v>0.6242765199277126</v>
      </c>
      <c r="P4" s="28">
        <f>L4</f>
        <v>0.15</v>
      </c>
      <c r="Q4" t="s">
        <v>7</v>
      </c>
    </row>
    <row r="5" spans="1:17" ht="16.5" thickBot="1" x14ac:dyDescent="0.3">
      <c r="A5" s="10">
        <v>4</v>
      </c>
      <c r="B5" s="19">
        <f t="shared" si="0"/>
        <v>9</v>
      </c>
      <c r="C5" s="4" t="s">
        <v>21</v>
      </c>
      <c r="D5" s="4">
        <v>150</v>
      </c>
      <c r="E5" s="83">
        <v>49.5</v>
      </c>
      <c r="F5" s="84"/>
      <c r="G5" s="5">
        <f t="shared" ref="G5:G16" si="6">D5*E5</f>
        <v>7425</v>
      </c>
      <c r="H5" s="12">
        <f t="shared" si="1"/>
        <v>2.6100647612432273E-2</v>
      </c>
      <c r="I5" s="14">
        <f t="shared" si="2"/>
        <v>7.076175574926083E-2</v>
      </c>
      <c r="J5" s="8" t="str">
        <f t="shared" si="3"/>
        <v>PA49</v>
      </c>
      <c r="K5" s="7">
        <f>K4+I5</f>
        <v>0.6950382756769734</v>
      </c>
      <c r="L5" s="6">
        <f t="shared" si="4"/>
        <v>0.2</v>
      </c>
      <c r="M5" s="43" t="s">
        <v>7</v>
      </c>
      <c r="N5" s="37">
        <f t="shared" si="5"/>
        <v>0.05</v>
      </c>
      <c r="O5" s="28">
        <f>I5+O4</f>
        <v>0.6950382756769734</v>
      </c>
      <c r="P5" s="28">
        <f>L5</f>
        <v>0.2</v>
      </c>
      <c r="Q5" t="s">
        <v>7</v>
      </c>
    </row>
    <row r="6" spans="1:17" ht="16.5" thickBot="1" x14ac:dyDescent="0.3">
      <c r="A6" s="10">
        <v>5</v>
      </c>
      <c r="B6" s="19">
        <f t="shared" si="0"/>
        <v>8</v>
      </c>
      <c r="C6" s="4" t="s">
        <v>22</v>
      </c>
      <c r="D6" s="4">
        <v>270</v>
      </c>
      <c r="E6" s="83">
        <v>31.25</v>
      </c>
      <c r="F6" s="84"/>
      <c r="G6" s="5">
        <f t="shared" si="6"/>
        <v>8437.5</v>
      </c>
      <c r="H6" s="12">
        <f t="shared" si="1"/>
        <v>2.9659826832309402E-2</v>
      </c>
      <c r="I6" s="14">
        <f t="shared" si="2"/>
        <v>6.5945878681377704E-2</v>
      </c>
      <c r="J6" s="8" t="str">
        <f t="shared" si="3"/>
        <v>MA91</v>
      </c>
      <c r="K6" s="7">
        <f>K5+I6</f>
        <v>0.76098415435835109</v>
      </c>
      <c r="L6" s="6">
        <f t="shared" si="4"/>
        <v>0.25</v>
      </c>
      <c r="M6" s="44" t="s">
        <v>8</v>
      </c>
      <c r="N6" s="37">
        <f t="shared" si="5"/>
        <v>0.05</v>
      </c>
      <c r="O6" s="28">
        <f>I6</f>
        <v>6.5945878681377704E-2</v>
      </c>
      <c r="P6" s="28">
        <f>L6-$L$5</f>
        <v>4.9999999999999989E-2</v>
      </c>
      <c r="Q6" t="s">
        <v>8</v>
      </c>
    </row>
    <row r="7" spans="1:17" ht="16.5" thickBot="1" x14ac:dyDescent="0.3">
      <c r="A7" s="10">
        <v>6</v>
      </c>
      <c r="B7" s="19">
        <f t="shared" si="0"/>
        <v>18</v>
      </c>
      <c r="C7" s="4" t="s">
        <v>23</v>
      </c>
      <c r="D7" s="4">
        <v>15</v>
      </c>
      <c r="E7" s="83">
        <v>72</v>
      </c>
      <c r="F7" s="84"/>
      <c r="G7" s="5">
        <f t="shared" si="6"/>
        <v>1080</v>
      </c>
      <c r="H7" s="12">
        <f t="shared" si="1"/>
        <v>3.7964578345356034E-3</v>
      </c>
      <c r="I7" s="14">
        <f t="shared" si="2"/>
        <v>4.851591893437647E-2</v>
      </c>
      <c r="J7" s="8" t="str">
        <f t="shared" si="3"/>
        <v>NY30</v>
      </c>
      <c r="K7" s="7">
        <f t="shared" ref="K7:K15" si="7">K6+I7</f>
        <v>0.80950007329272755</v>
      </c>
      <c r="L7" s="6">
        <f t="shared" si="4"/>
        <v>0.3</v>
      </c>
      <c r="M7" s="44" t="s">
        <v>8</v>
      </c>
      <c r="N7" s="37">
        <f t="shared" si="5"/>
        <v>0.05</v>
      </c>
      <c r="O7" s="28">
        <f t="shared" ref="O7:O13" si="8">O6+I7</f>
        <v>0.11446179761575417</v>
      </c>
      <c r="P7" s="28">
        <f t="shared" ref="P7:P13" si="9">L7-$L$5</f>
        <v>9.9999999999999978E-2</v>
      </c>
      <c r="Q7" t="s">
        <v>8</v>
      </c>
    </row>
    <row r="8" spans="1:17" ht="16.5" thickBot="1" x14ac:dyDescent="0.3">
      <c r="A8" s="10">
        <v>7</v>
      </c>
      <c r="B8" s="19">
        <f t="shared" si="0"/>
        <v>2</v>
      </c>
      <c r="C8" s="4" t="s">
        <v>24</v>
      </c>
      <c r="D8" s="4">
        <v>8200</v>
      </c>
      <c r="E8" s="83">
        <v>6.72</v>
      </c>
      <c r="F8" s="84"/>
      <c r="G8" s="5">
        <f t="shared" si="6"/>
        <v>55104</v>
      </c>
      <c r="H8" s="12">
        <f t="shared" si="1"/>
        <v>0.19370371529097213</v>
      </c>
      <c r="I8" s="14">
        <f t="shared" si="2"/>
        <v>3.2295201312449527E-2</v>
      </c>
      <c r="J8" s="8" t="str">
        <f t="shared" si="3"/>
        <v>WY72</v>
      </c>
      <c r="K8" s="7">
        <f>K7+I8</f>
        <v>0.84179527460517711</v>
      </c>
      <c r="L8" s="6">
        <f t="shared" si="4"/>
        <v>0.35</v>
      </c>
      <c r="M8" s="44" t="s">
        <v>8</v>
      </c>
      <c r="N8" s="37">
        <f t="shared" si="5"/>
        <v>0.05</v>
      </c>
      <c r="O8" s="28">
        <f t="shared" si="8"/>
        <v>0.14675699892820371</v>
      </c>
      <c r="P8" s="28">
        <f t="shared" si="9"/>
        <v>0.14999999999999997</v>
      </c>
      <c r="Q8" t="s">
        <v>8</v>
      </c>
    </row>
    <row r="9" spans="1:17" ht="16.5" thickBot="1" x14ac:dyDescent="0.3">
      <c r="A9" s="10">
        <v>8</v>
      </c>
      <c r="B9" s="19">
        <f t="shared" si="0"/>
        <v>10</v>
      </c>
      <c r="C9" s="4" t="s">
        <v>25</v>
      </c>
      <c r="D9" s="4">
        <v>220</v>
      </c>
      <c r="E9" s="83">
        <v>22.4</v>
      </c>
      <c r="F9" s="84"/>
      <c r="G9" s="5">
        <f t="shared" si="6"/>
        <v>4928</v>
      </c>
      <c r="H9" s="12">
        <f t="shared" si="1"/>
        <v>1.7323096489436533E-2</v>
      </c>
      <c r="I9" s="14">
        <f t="shared" si="2"/>
        <v>2.9659826832309402E-2</v>
      </c>
      <c r="J9" s="8" t="str">
        <f t="shared" si="3"/>
        <v>PL12</v>
      </c>
      <c r="K9" s="7">
        <f>K8+I9</f>
        <v>0.8714551014374865</v>
      </c>
      <c r="L9" s="6">
        <f t="shared" si="4"/>
        <v>0.4</v>
      </c>
      <c r="M9" s="44" t="s">
        <v>8</v>
      </c>
      <c r="N9" s="37">
        <f t="shared" si="5"/>
        <v>0.05</v>
      </c>
      <c r="O9" s="28">
        <f t="shared" si="8"/>
        <v>0.1764168257605131</v>
      </c>
      <c r="P9" s="28">
        <f t="shared" si="9"/>
        <v>0.2</v>
      </c>
      <c r="Q9" t="s">
        <v>8</v>
      </c>
    </row>
    <row r="10" spans="1:17" ht="16.5" thickBot="1" x14ac:dyDescent="0.3">
      <c r="A10" s="10">
        <v>9</v>
      </c>
      <c r="B10" s="19">
        <f t="shared" si="0"/>
        <v>17</v>
      </c>
      <c r="C10" s="4" t="s">
        <v>26</v>
      </c>
      <c r="D10" s="4">
        <v>28</v>
      </c>
      <c r="E10" s="83">
        <v>39</v>
      </c>
      <c r="F10" s="84"/>
      <c r="G10" s="5">
        <f t="shared" si="6"/>
        <v>1092</v>
      </c>
      <c r="H10" s="12">
        <f t="shared" si="1"/>
        <v>3.8386406993637769E-3</v>
      </c>
      <c r="I10" s="14">
        <f t="shared" si="2"/>
        <v>2.6100647612432273E-2</v>
      </c>
      <c r="J10" s="8" t="str">
        <f t="shared" si="3"/>
        <v>KJ77</v>
      </c>
      <c r="K10" s="7">
        <f>K9+I10</f>
        <v>0.89755574904991875</v>
      </c>
      <c r="L10" s="6">
        <f t="shared" si="4"/>
        <v>0.45</v>
      </c>
      <c r="M10" s="44" t="s">
        <v>8</v>
      </c>
      <c r="N10" s="37">
        <f t="shared" si="5"/>
        <v>0.05</v>
      </c>
      <c r="O10" s="28">
        <f t="shared" si="8"/>
        <v>0.20251747337294537</v>
      </c>
      <c r="P10" s="28">
        <f t="shared" si="9"/>
        <v>0.25</v>
      </c>
      <c r="Q10" t="s">
        <v>8</v>
      </c>
    </row>
    <row r="11" spans="1:17" ht="16.5" thickBot="1" x14ac:dyDescent="0.3">
      <c r="A11" s="10">
        <v>10</v>
      </c>
      <c r="B11" s="19">
        <f t="shared" si="0"/>
        <v>11</v>
      </c>
      <c r="C11" s="4" t="s">
        <v>27</v>
      </c>
      <c r="D11" s="4">
        <v>15</v>
      </c>
      <c r="E11" s="83">
        <v>295</v>
      </c>
      <c r="F11" s="84"/>
      <c r="G11" s="5">
        <f t="shared" si="6"/>
        <v>4425</v>
      </c>
      <c r="H11" s="12">
        <f t="shared" si="1"/>
        <v>1.555493140538893E-2</v>
      </c>
      <c r="I11" s="14">
        <f t="shared" si="2"/>
        <v>1.7323096489436533E-2</v>
      </c>
      <c r="J11" s="8" t="str">
        <f t="shared" si="3"/>
        <v>BM04</v>
      </c>
      <c r="K11" s="7">
        <f t="shared" si="7"/>
        <v>0.91487884553935528</v>
      </c>
      <c r="L11" s="6">
        <f t="shared" si="4"/>
        <v>0.5</v>
      </c>
      <c r="M11" s="45" t="s">
        <v>9</v>
      </c>
      <c r="N11" s="37">
        <f t="shared" si="5"/>
        <v>0.05</v>
      </c>
      <c r="O11" s="28">
        <f t="shared" si="8"/>
        <v>0.2198405698623819</v>
      </c>
      <c r="P11" s="28">
        <f t="shared" si="9"/>
        <v>0.3</v>
      </c>
      <c r="Q11" t="s">
        <v>9</v>
      </c>
    </row>
    <row r="12" spans="1:17" ht="16.5" thickBot="1" x14ac:dyDescent="0.3">
      <c r="A12" s="10">
        <v>11</v>
      </c>
      <c r="B12" s="19">
        <f t="shared" si="0"/>
        <v>20</v>
      </c>
      <c r="C12" s="4" t="s">
        <v>28</v>
      </c>
      <c r="D12" s="4">
        <v>128</v>
      </c>
      <c r="E12" s="83">
        <v>0.55000000000000004</v>
      </c>
      <c r="F12" s="84"/>
      <c r="G12" s="5">
        <f t="shared" si="6"/>
        <v>70.400000000000006</v>
      </c>
      <c r="H12" s="12">
        <f t="shared" si="1"/>
        <v>2.4747280699195047E-4</v>
      </c>
      <c r="I12" s="14">
        <f t="shared" si="2"/>
        <v>1.555493140538893E-2</v>
      </c>
      <c r="J12" s="8" t="str">
        <f t="shared" si="3"/>
        <v>AL38</v>
      </c>
      <c r="K12" s="7">
        <f t="shared" si="7"/>
        <v>0.93043377694474416</v>
      </c>
      <c r="L12" s="6">
        <f t="shared" si="4"/>
        <v>0.55000000000000004</v>
      </c>
      <c r="M12" s="45" t="s">
        <v>9</v>
      </c>
      <c r="N12" s="37">
        <f t="shared" si="5"/>
        <v>0.05</v>
      </c>
      <c r="O12" s="28">
        <f t="shared" si="8"/>
        <v>0.23539550126777084</v>
      </c>
      <c r="P12" s="28">
        <f t="shared" si="9"/>
        <v>0.35000000000000003</v>
      </c>
      <c r="Q12" t="s">
        <v>9</v>
      </c>
    </row>
    <row r="13" spans="1:17" ht="16.5" thickBot="1" x14ac:dyDescent="0.3">
      <c r="A13" s="10">
        <v>12</v>
      </c>
      <c r="B13" s="19">
        <f t="shared" si="0"/>
        <v>4</v>
      </c>
      <c r="C13" s="4" t="s">
        <v>29</v>
      </c>
      <c r="D13" s="4">
        <v>16500</v>
      </c>
      <c r="E13" s="83">
        <v>1.22</v>
      </c>
      <c r="F13" s="84"/>
      <c r="G13" s="5">
        <f t="shared" si="6"/>
        <v>20130</v>
      </c>
      <c r="H13" s="12">
        <f t="shared" si="1"/>
        <v>7.076175574926083E-2</v>
      </c>
      <c r="I13" s="14">
        <f t="shared" si="2"/>
        <v>1.5541749260130126E-2</v>
      </c>
      <c r="J13" s="8" t="str">
        <f t="shared" si="3"/>
        <v>RI48</v>
      </c>
      <c r="K13" s="7">
        <f t="shared" si="7"/>
        <v>0.94597552620487424</v>
      </c>
      <c r="L13" s="6">
        <f t="shared" si="4"/>
        <v>0.6</v>
      </c>
      <c r="M13" s="45" t="s">
        <v>9</v>
      </c>
      <c r="N13" s="37">
        <f t="shared" si="5"/>
        <v>0.05</v>
      </c>
      <c r="O13" s="28">
        <f t="shared" si="8"/>
        <v>0.25093725052790095</v>
      </c>
      <c r="P13" s="28">
        <f t="shared" si="9"/>
        <v>0.39999999999999997</v>
      </c>
      <c r="Q13" t="s">
        <v>9</v>
      </c>
    </row>
    <row r="14" spans="1:17" ht="16.5" thickBot="1" x14ac:dyDescent="0.3">
      <c r="A14" s="10">
        <v>13</v>
      </c>
      <c r="B14" s="19">
        <f t="shared" si="0"/>
        <v>16</v>
      </c>
      <c r="C14" s="4" t="s">
        <v>30</v>
      </c>
      <c r="D14" s="4">
        <v>6</v>
      </c>
      <c r="E14" s="83">
        <v>420</v>
      </c>
      <c r="F14" s="84"/>
      <c r="G14" s="5">
        <f t="shared" si="6"/>
        <v>2520</v>
      </c>
      <c r="H14" s="12">
        <f t="shared" si="1"/>
        <v>8.8584016139164074E-3</v>
      </c>
      <c r="I14" s="14">
        <f t="shared" si="2"/>
        <v>1.4128623288386318E-2</v>
      </c>
      <c r="J14" s="8" t="str">
        <f t="shared" si="3"/>
        <v>NH55</v>
      </c>
      <c r="K14" s="7">
        <f t="shared" si="7"/>
        <v>0.96010414949326051</v>
      </c>
      <c r="L14" s="6">
        <f t="shared" si="4"/>
        <v>0.65</v>
      </c>
      <c r="M14" s="45" t="s">
        <v>9</v>
      </c>
      <c r="N14" s="37">
        <f t="shared" si="5"/>
        <v>0.05</v>
      </c>
      <c r="Q14" t="s">
        <v>9</v>
      </c>
    </row>
    <row r="15" spans="1:17" ht="16.5" thickBot="1" x14ac:dyDescent="0.3">
      <c r="A15" s="10">
        <v>14</v>
      </c>
      <c r="B15" s="19">
        <f t="shared" si="0"/>
        <v>5</v>
      </c>
      <c r="C15" s="4" t="s">
        <v>31</v>
      </c>
      <c r="D15" s="4">
        <v>28</v>
      </c>
      <c r="E15" s="83">
        <v>670</v>
      </c>
      <c r="F15" s="84"/>
      <c r="G15" s="5">
        <f t="shared" si="6"/>
        <v>18760</v>
      </c>
      <c r="H15" s="12">
        <f t="shared" si="1"/>
        <v>6.5945878681377704E-2</v>
      </c>
      <c r="I15" s="14">
        <f t="shared" si="2"/>
        <v>1.2233030800170278E-2</v>
      </c>
      <c r="J15" s="8" t="str">
        <f t="shared" si="3"/>
        <v>BN64</v>
      </c>
      <c r="K15" s="7">
        <f t="shared" si="7"/>
        <v>0.97233718029343075</v>
      </c>
      <c r="L15" s="6">
        <f t="shared" si="4"/>
        <v>0.7</v>
      </c>
      <c r="M15" s="45" t="s">
        <v>9</v>
      </c>
      <c r="N15" s="37">
        <f t="shared" si="5"/>
        <v>0.05</v>
      </c>
      <c r="Q15" t="s">
        <v>9</v>
      </c>
    </row>
    <row r="16" spans="1:17" ht="16.5" thickBot="1" x14ac:dyDescent="0.3">
      <c r="A16" s="10">
        <v>15</v>
      </c>
      <c r="B16" s="19">
        <f t="shared" si="0"/>
        <v>13</v>
      </c>
      <c r="C16" s="4" t="s">
        <v>32</v>
      </c>
      <c r="D16" s="4">
        <v>345</v>
      </c>
      <c r="E16" s="83">
        <v>11.65</v>
      </c>
      <c r="F16" s="84"/>
      <c r="G16" s="5">
        <f t="shared" si="6"/>
        <v>4019.25</v>
      </c>
      <c r="H16" s="12">
        <f t="shared" si="1"/>
        <v>1.4128623288386318E-2</v>
      </c>
      <c r="I16" s="14">
        <f t="shared" si="2"/>
        <v>9.825092266228715E-3</v>
      </c>
      <c r="J16" s="8" t="str">
        <f t="shared" si="3"/>
        <v>GS42</v>
      </c>
      <c r="K16" s="7">
        <f>K15+I16</f>
        <v>0.98216227255965949</v>
      </c>
      <c r="L16" s="6">
        <f t="shared" si="4"/>
        <v>0.75</v>
      </c>
      <c r="M16" s="45" t="s">
        <v>9</v>
      </c>
      <c r="N16" s="37">
        <f t="shared" si="5"/>
        <v>0.05</v>
      </c>
      <c r="Q16" t="s">
        <v>9</v>
      </c>
    </row>
    <row r="17" spans="1:17" ht="16.5" thickBot="1" x14ac:dyDescent="0.3">
      <c r="A17" s="10">
        <v>16</v>
      </c>
      <c r="B17" s="19">
        <f t="shared" ref="B17:B21" si="10">RANK(H17,$H$2:$H$21,0)</f>
        <v>1</v>
      </c>
      <c r="C17" s="4" t="s">
        <v>33</v>
      </c>
      <c r="D17" s="4">
        <v>80</v>
      </c>
      <c r="E17" s="83">
        <v>1040</v>
      </c>
      <c r="F17" s="85"/>
      <c r="G17" s="5">
        <f t="shared" ref="G17:G21" si="11">D17*E17</f>
        <v>83200</v>
      </c>
      <c r="H17" s="12">
        <f t="shared" ref="H17:H20" si="12">G17/$G$22</f>
        <v>0.29246786280866871</v>
      </c>
      <c r="I17" s="14">
        <f t="shared" ref="I17:I21" si="13">VLOOKUP(A17,$B$2:$H$21,7,FALSE)</f>
        <v>8.8584016139164074E-3</v>
      </c>
      <c r="J17" s="8" t="str">
        <f t="shared" ref="J17:J21" si="14">VLOOKUP(A17,$B$2:$H$21,2,FALSE)</f>
        <v>MA53</v>
      </c>
      <c r="K17" s="7">
        <f t="shared" ref="K17:K21" si="15">K16+I17</f>
        <v>0.99102067417357587</v>
      </c>
      <c r="L17" s="6">
        <f t="shared" ref="L17:L21" si="16">A17/$A$21</f>
        <v>0.8</v>
      </c>
      <c r="M17" s="45" t="s">
        <v>9</v>
      </c>
      <c r="N17" s="37">
        <f t="shared" si="5"/>
        <v>0.05</v>
      </c>
      <c r="Q17" t="s">
        <v>9</v>
      </c>
    </row>
    <row r="18" spans="1:17" ht="16.5" thickBot="1" x14ac:dyDescent="0.3">
      <c r="A18" s="10">
        <v>17</v>
      </c>
      <c r="B18" s="19">
        <f t="shared" si="10"/>
        <v>19</v>
      </c>
      <c r="C18" s="4" t="s">
        <v>34</v>
      </c>
      <c r="D18" s="4">
        <v>4</v>
      </c>
      <c r="E18" s="83">
        <v>78</v>
      </c>
      <c r="F18" s="85"/>
      <c r="G18" s="5">
        <f t="shared" si="11"/>
        <v>312</v>
      </c>
      <c r="H18" s="12">
        <f t="shared" si="12"/>
        <v>1.0967544855325076E-3</v>
      </c>
      <c r="I18" s="14">
        <f t="shared" si="13"/>
        <v>3.8386406993637769E-3</v>
      </c>
      <c r="J18" s="8" t="str">
        <f t="shared" si="14"/>
        <v>IL54</v>
      </c>
      <c r="K18" s="7">
        <f t="shared" si="15"/>
        <v>0.99485931487293966</v>
      </c>
      <c r="L18" s="6">
        <f t="shared" si="16"/>
        <v>0.85</v>
      </c>
      <c r="M18" s="45" t="s">
        <v>9</v>
      </c>
      <c r="N18" s="37">
        <f t="shared" si="5"/>
        <v>0.05</v>
      </c>
      <c r="Q18" t="s">
        <v>9</v>
      </c>
    </row>
    <row r="19" spans="1:17" ht="16.5" thickBot="1" x14ac:dyDescent="0.3">
      <c r="A19" s="10">
        <v>18</v>
      </c>
      <c r="B19" s="19">
        <f t="shared" si="10"/>
        <v>12</v>
      </c>
      <c r="C19" s="21" t="s">
        <v>35</v>
      </c>
      <c r="D19" s="4">
        <v>675</v>
      </c>
      <c r="E19" s="83">
        <v>6.55</v>
      </c>
      <c r="F19" s="85"/>
      <c r="G19" s="5">
        <f t="shared" si="11"/>
        <v>4421.25</v>
      </c>
      <c r="H19" s="12">
        <f t="shared" si="12"/>
        <v>1.5541749260130126E-2</v>
      </c>
      <c r="I19" s="14">
        <f t="shared" si="13"/>
        <v>3.7964578345356034E-3</v>
      </c>
      <c r="J19" s="8" t="str">
        <f t="shared" si="14"/>
        <v>VD65</v>
      </c>
      <c r="K19" s="7">
        <f t="shared" si="15"/>
        <v>0.9986557727074753</v>
      </c>
      <c r="L19" s="6">
        <f t="shared" si="16"/>
        <v>0.9</v>
      </c>
      <c r="M19" s="45" t="s">
        <v>9</v>
      </c>
      <c r="N19" s="37">
        <f t="shared" si="5"/>
        <v>0.05</v>
      </c>
      <c r="Q19" t="s">
        <v>9</v>
      </c>
    </row>
    <row r="20" spans="1:17" ht="16.5" thickBot="1" x14ac:dyDescent="0.3">
      <c r="A20" s="10">
        <v>19</v>
      </c>
      <c r="B20" s="19">
        <f t="shared" si="10"/>
        <v>6</v>
      </c>
      <c r="C20" s="20" t="s">
        <v>36</v>
      </c>
      <c r="D20" s="4">
        <v>304</v>
      </c>
      <c r="E20" s="83">
        <v>45.4</v>
      </c>
      <c r="F20" s="85"/>
      <c r="G20" s="5">
        <f t="shared" si="11"/>
        <v>13801.6</v>
      </c>
      <c r="H20" s="12">
        <f t="shared" si="12"/>
        <v>4.851591893437647E-2</v>
      </c>
      <c r="I20" s="14">
        <f t="shared" si="13"/>
        <v>1.0967544855325076E-3</v>
      </c>
      <c r="J20" s="8" t="str">
        <f t="shared" si="14"/>
        <v>CA61</v>
      </c>
      <c r="K20" s="7">
        <f t="shared" si="15"/>
        <v>0.99975252719300778</v>
      </c>
      <c r="L20" s="6">
        <f t="shared" si="16"/>
        <v>0.95</v>
      </c>
      <c r="M20" s="45" t="s">
        <v>9</v>
      </c>
      <c r="N20" s="37">
        <f t="shared" si="5"/>
        <v>0.05</v>
      </c>
      <c r="Q20" t="s">
        <v>9</v>
      </c>
    </row>
    <row r="21" spans="1:17" ht="16.5" thickBot="1" x14ac:dyDescent="0.3">
      <c r="A21" s="10">
        <v>20</v>
      </c>
      <c r="B21" s="19">
        <f t="shared" si="10"/>
        <v>7</v>
      </c>
      <c r="C21" s="22" t="s">
        <v>37</v>
      </c>
      <c r="D21" s="4">
        <v>99</v>
      </c>
      <c r="E21" s="83">
        <v>92.8</v>
      </c>
      <c r="F21" s="84"/>
      <c r="G21" s="46">
        <f t="shared" si="11"/>
        <v>9187.1999999999989</v>
      </c>
      <c r="H21" s="47">
        <f>G21/$G$22</f>
        <v>3.2295201312449527E-2</v>
      </c>
      <c r="I21" s="48">
        <f t="shared" si="13"/>
        <v>2.4747280699195047E-4</v>
      </c>
      <c r="J21" s="49" t="str">
        <f t="shared" si="14"/>
        <v>ND31</v>
      </c>
      <c r="K21" s="50">
        <f t="shared" si="15"/>
        <v>0.99999999999999978</v>
      </c>
      <c r="L21" s="51">
        <f t="shared" si="16"/>
        <v>1</v>
      </c>
      <c r="M21" s="52" t="s">
        <v>9</v>
      </c>
      <c r="N21" s="37">
        <f t="shared" si="5"/>
        <v>0.05</v>
      </c>
      <c r="Q21" t="s">
        <v>9</v>
      </c>
    </row>
    <row r="22" spans="1:17" ht="17.25" thickTop="1" thickBot="1" x14ac:dyDescent="0.3">
      <c r="B22" s="77" t="s">
        <v>10</v>
      </c>
      <c r="C22" s="78"/>
      <c r="D22" s="78"/>
      <c r="E22" s="78"/>
      <c r="F22" s="79"/>
      <c r="G22" s="40">
        <f>SUM(G2:G21)</f>
        <v>284475.7</v>
      </c>
      <c r="H22" s="41">
        <f>G22/$G$22</f>
        <v>1</v>
      </c>
      <c r="I22" s="42">
        <f>SUM(I2:I21)</f>
        <v>0.99999999999999978</v>
      </c>
      <c r="J22" s="80"/>
      <c r="K22" s="81"/>
      <c r="L22" s="81"/>
      <c r="M22" s="82"/>
    </row>
    <row r="24" spans="1:17" ht="15.75" thickBot="1" x14ac:dyDescent="0.3"/>
    <row r="25" spans="1:17" ht="30.75" customHeight="1" thickBot="1" x14ac:dyDescent="0.3">
      <c r="C25" s="71" t="s">
        <v>41</v>
      </c>
      <c r="D25" s="72"/>
      <c r="E25" s="72"/>
      <c r="F25" s="72"/>
      <c r="G25" s="73"/>
      <c r="H25" s="38" t="s">
        <v>40</v>
      </c>
      <c r="I25" s="39" t="s">
        <v>39</v>
      </c>
    </row>
    <row r="26" spans="1:17" ht="15.75" x14ac:dyDescent="0.25">
      <c r="C26" s="74" t="s">
        <v>11</v>
      </c>
      <c r="D26" s="18" t="str">
        <f>IF($M2="A",$J2,"")</f>
        <v>VE82</v>
      </c>
      <c r="E26" s="18" t="str">
        <f>IF($M7="A",$J7,"")</f>
        <v/>
      </c>
      <c r="F26" s="33" t="str">
        <f>IF($M12="A",$J12,"")</f>
        <v/>
      </c>
      <c r="G26" s="34" t="str">
        <f>IF($M17="A",$J17,"")</f>
        <v/>
      </c>
      <c r="H26" s="68">
        <f>SUMIF($M$2:$M$21,"A",$I$2:$I$21)</f>
        <v>0.6950382756769734</v>
      </c>
      <c r="I26" s="65">
        <f>SUMIF($M$2:$M$21,"A",$N$2:$N$21)</f>
        <v>0.2</v>
      </c>
    </row>
    <row r="27" spans="1:17" ht="15.75" x14ac:dyDescent="0.25">
      <c r="C27" s="75"/>
      <c r="D27" s="16" t="str">
        <f t="shared" ref="D27:D30" si="17">IF($M3="A",$J3,"")</f>
        <v>XW35</v>
      </c>
      <c r="E27" s="16" t="str">
        <f t="shared" ref="E27:E30" si="18">IF($M8="A",$J8,"")</f>
        <v/>
      </c>
      <c r="F27" s="24" t="str">
        <f t="shared" ref="F27:F30" si="19">IF($M13="A",$J13,"")</f>
        <v/>
      </c>
      <c r="G27" s="29" t="str">
        <f t="shared" ref="G27:G29" si="20">IF($M18="A",$J18,"")</f>
        <v/>
      </c>
      <c r="H27" s="69"/>
      <c r="I27" s="66"/>
    </row>
    <row r="28" spans="1:17" ht="15.75" x14ac:dyDescent="0.25">
      <c r="C28" s="75"/>
      <c r="D28" s="16" t="str">
        <f t="shared" si="17"/>
        <v>CP92</v>
      </c>
      <c r="E28" s="16" t="str">
        <f t="shared" si="18"/>
        <v/>
      </c>
      <c r="F28" s="24" t="str">
        <f t="shared" si="19"/>
        <v/>
      </c>
      <c r="G28" s="29" t="str">
        <f t="shared" si="20"/>
        <v/>
      </c>
      <c r="H28" s="69"/>
      <c r="I28" s="66"/>
    </row>
    <row r="29" spans="1:17" ht="15.75" x14ac:dyDescent="0.25">
      <c r="C29" s="75"/>
      <c r="D29" s="16" t="str">
        <f t="shared" si="17"/>
        <v>PA49</v>
      </c>
      <c r="E29" s="16" t="str">
        <f t="shared" si="18"/>
        <v/>
      </c>
      <c r="F29" s="24" t="str">
        <f t="shared" si="19"/>
        <v/>
      </c>
      <c r="G29" s="29" t="str">
        <f t="shared" si="20"/>
        <v/>
      </c>
      <c r="H29" s="69"/>
      <c r="I29" s="66"/>
    </row>
    <row r="30" spans="1:17" ht="16.5" thickBot="1" x14ac:dyDescent="0.3">
      <c r="C30" s="76"/>
      <c r="D30" s="23" t="str">
        <f t="shared" si="17"/>
        <v/>
      </c>
      <c r="E30" s="23" t="str">
        <f t="shared" si="18"/>
        <v/>
      </c>
      <c r="F30" s="35" t="str">
        <f t="shared" si="19"/>
        <v/>
      </c>
      <c r="G30" s="31" t="str">
        <f>IF($M21="A",$J21,"")</f>
        <v/>
      </c>
      <c r="H30" s="70"/>
      <c r="I30" s="67"/>
    </row>
    <row r="31" spans="1:17" ht="15.75" customHeight="1" x14ac:dyDescent="0.25">
      <c r="C31" s="74" t="s">
        <v>12</v>
      </c>
      <c r="D31" s="25" t="str">
        <f>IF($M2="B",$J2,"")</f>
        <v/>
      </c>
      <c r="E31" s="25" t="str">
        <f>IF($M7="B",$J7,"")</f>
        <v>NY30</v>
      </c>
      <c r="F31" s="25" t="str">
        <f>IF($M12="B",$J12,"")</f>
        <v/>
      </c>
      <c r="G31" s="30" t="str">
        <f>IF($M17="B",$J17,"")</f>
        <v/>
      </c>
      <c r="H31" s="68">
        <f>SUMIF($M$2:$M$21,"B",$I$2:$I$21)</f>
        <v>0.20251747337294537</v>
      </c>
      <c r="I31" s="65">
        <f>SUMIF($M$2:$M$21,"B",$N$2:$N$21)</f>
        <v>0.25</v>
      </c>
    </row>
    <row r="32" spans="1:17" ht="15.75" customHeight="1" x14ac:dyDescent="0.25">
      <c r="C32" s="75"/>
      <c r="D32" s="16" t="str">
        <f t="shared" ref="D32:D35" si="21">IF($M3="B",$J3,"")</f>
        <v/>
      </c>
      <c r="E32" s="15" t="str">
        <f t="shared" ref="E32:E35" si="22">IF($M8="B",$J8,"")</f>
        <v>WY72</v>
      </c>
      <c r="F32" s="15" t="str">
        <f t="shared" ref="F32:F35" si="23">IF($M13="B",$J13,"")</f>
        <v/>
      </c>
      <c r="G32" s="29" t="str">
        <f t="shared" ref="G32:G35" si="24">IF($M18="B",$J18,"")</f>
        <v/>
      </c>
      <c r="H32" s="69"/>
      <c r="I32" s="66"/>
    </row>
    <row r="33" spans="3:18" ht="15.75" customHeight="1" x14ac:dyDescent="0.25">
      <c r="C33" s="75"/>
      <c r="D33" s="16" t="str">
        <f t="shared" si="21"/>
        <v/>
      </c>
      <c r="E33" s="15" t="str">
        <f t="shared" si="22"/>
        <v>PL12</v>
      </c>
      <c r="F33" s="15" t="str">
        <f t="shared" si="23"/>
        <v/>
      </c>
      <c r="G33" s="29" t="str">
        <f t="shared" si="24"/>
        <v/>
      </c>
      <c r="H33" s="69"/>
      <c r="I33" s="66"/>
    </row>
    <row r="34" spans="3:18" ht="15.75" customHeight="1" x14ac:dyDescent="0.25">
      <c r="C34" s="75"/>
      <c r="D34" s="16" t="str">
        <f t="shared" si="21"/>
        <v/>
      </c>
      <c r="E34" s="15" t="str">
        <f t="shared" si="22"/>
        <v>KJ77</v>
      </c>
      <c r="F34" s="15" t="str">
        <f t="shared" si="23"/>
        <v/>
      </c>
      <c r="G34" s="29" t="str">
        <f t="shared" si="24"/>
        <v/>
      </c>
      <c r="H34" s="69"/>
      <c r="I34" s="66"/>
    </row>
    <row r="35" spans="3:18" ht="16.5" customHeight="1" thickBot="1" x14ac:dyDescent="0.3">
      <c r="C35" s="76"/>
      <c r="D35" s="26" t="str">
        <f t="shared" si="21"/>
        <v>MA91</v>
      </c>
      <c r="E35" s="27" t="str">
        <f t="shared" si="22"/>
        <v/>
      </c>
      <c r="F35" s="27" t="str">
        <f t="shared" si="23"/>
        <v/>
      </c>
      <c r="G35" s="31" t="str">
        <f t="shared" si="24"/>
        <v/>
      </c>
      <c r="H35" s="70"/>
      <c r="I35" s="67"/>
    </row>
    <row r="36" spans="3:18" ht="15.75" customHeight="1" x14ac:dyDescent="0.25">
      <c r="C36" s="75" t="s">
        <v>13</v>
      </c>
      <c r="D36" s="17" t="str">
        <f>IF($M2="C",$J2,"")</f>
        <v/>
      </c>
      <c r="E36" s="17" t="str">
        <f>IF($M7="C",$J7,"")</f>
        <v/>
      </c>
      <c r="F36" s="17" t="str">
        <f>IF($M12="C",$J12,"")</f>
        <v>AL38</v>
      </c>
      <c r="G36" s="32" t="str">
        <f>IF($M17="C",$J17,"")</f>
        <v>MA53</v>
      </c>
      <c r="H36" s="68">
        <f>SUMIF($M$2:$M$21,"C",$I$2:$I$21)</f>
        <v>0.10244425095008114</v>
      </c>
      <c r="I36" s="65">
        <f>SUMIF($M$2:$M$21,"C",$N$2:$N$21)</f>
        <v>0.54999999999999993</v>
      </c>
    </row>
    <row r="37" spans="3:18" ht="15.75" customHeight="1" x14ac:dyDescent="0.25">
      <c r="C37" s="75"/>
      <c r="D37" s="17" t="str">
        <f t="shared" ref="D37:D40" si="25">IF($M3="C",$J3,"")</f>
        <v/>
      </c>
      <c r="E37" s="17" t="str">
        <f t="shared" ref="E37:E40" si="26">IF($M8="C",$J8,"")</f>
        <v/>
      </c>
      <c r="F37" s="17" t="str">
        <f t="shared" ref="F37:F40" si="27">IF($M13="C",$J13,"")</f>
        <v>RI48</v>
      </c>
      <c r="G37" s="32" t="str">
        <f t="shared" ref="G37:G40" si="28">IF($M18="C",$J18,"")</f>
        <v>IL54</v>
      </c>
      <c r="H37" s="69"/>
      <c r="I37" s="66"/>
    </row>
    <row r="38" spans="3:18" ht="15.75" customHeight="1" x14ac:dyDescent="0.25">
      <c r="C38" s="75"/>
      <c r="D38" s="17" t="str">
        <f t="shared" si="25"/>
        <v/>
      </c>
      <c r="E38" s="17" t="str">
        <f t="shared" si="26"/>
        <v/>
      </c>
      <c r="F38" s="17" t="str">
        <f t="shared" si="27"/>
        <v>NH55</v>
      </c>
      <c r="G38" s="32" t="str">
        <f t="shared" si="28"/>
        <v>VD65</v>
      </c>
      <c r="H38" s="69"/>
      <c r="I38" s="66"/>
    </row>
    <row r="39" spans="3:18" ht="15.75" customHeight="1" x14ac:dyDescent="0.25">
      <c r="C39" s="75"/>
      <c r="D39" s="17" t="str">
        <f t="shared" si="25"/>
        <v/>
      </c>
      <c r="E39" s="17" t="str">
        <f t="shared" si="26"/>
        <v/>
      </c>
      <c r="F39" s="17" t="str">
        <f t="shared" si="27"/>
        <v>BN64</v>
      </c>
      <c r="G39" s="32" t="str">
        <f t="shared" si="28"/>
        <v>CA61</v>
      </c>
      <c r="H39" s="69"/>
      <c r="I39" s="66"/>
    </row>
    <row r="40" spans="3:18" ht="16.5" customHeight="1" thickBot="1" x14ac:dyDescent="0.3">
      <c r="C40" s="76"/>
      <c r="D40" s="17" t="str">
        <f t="shared" si="25"/>
        <v/>
      </c>
      <c r="E40" s="17" t="str">
        <f t="shared" si="26"/>
        <v>BM04</v>
      </c>
      <c r="F40" s="17" t="str">
        <f t="shared" si="27"/>
        <v>GS42</v>
      </c>
      <c r="G40" s="32" t="str">
        <f t="shared" si="28"/>
        <v>ND31</v>
      </c>
      <c r="H40" s="70"/>
      <c r="I40" s="67"/>
    </row>
    <row r="44" spans="3:18" x14ac:dyDescent="0.25"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</row>
    <row r="45" spans="3:18" x14ac:dyDescent="0.25"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</row>
    <row r="47" spans="3:18" x14ac:dyDescent="0.25"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</row>
    <row r="48" spans="3:18" x14ac:dyDescent="0.25"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</row>
    <row r="50" spans="4:18" x14ac:dyDescent="0.25"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</row>
    <row r="51" spans="4:18" x14ac:dyDescent="0.25">
      <c r="D51" s="90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</row>
  </sheetData>
  <mergeCells count="33">
    <mergeCell ref="E12:F12"/>
    <mergeCell ref="E1:F1"/>
    <mergeCell ref="E2:F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3:F13"/>
    <mergeCell ref="E14:F14"/>
    <mergeCell ref="E15:F15"/>
    <mergeCell ref="E16:F16"/>
    <mergeCell ref="E21:F21"/>
    <mergeCell ref="E17:F17"/>
    <mergeCell ref="E18:F18"/>
    <mergeCell ref="E19:F19"/>
    <mergeCell ref="E20:F20"/>
    <mergeCell ref="B22:F22"/>
    <mergeCell ref="J22:M22"/>
    <mergeCell ref="H26:H30"/>
    <mergeCell ref="I26:I30"/>
    <mergeCell ref="H31:H35"/>
    <mergeCell ref="C25:G25"/>
    <mergeCell ref="C26:C30"/>
    <mergeCell ref="C31:C35"/>
    <mergeCell ref="C36:C40"/>
    <mergeCell ref="I31:I35"/>
    <mergeCell ref="H36:H40"/>
    <mergeCell ref="I36:I4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41"/>
  <sheetViews>
    <sheetView view="pageBreakPreview" zoomScale="60" zoomScaleNormal="100" workbookViewId="0">
      <selection activeCell="D42" sqref="D42"/>
    </sheetView>
  </sheetViews>
  <sheetFormatPr baseColWidth="10" defaultRowHeight="15" x14ac:dyDescent="0.25"/>
  <cols>
    <col min="5" max="5" width="14.42578125" bestFit="1" customWidth="1"/>
    <col min="7" max="7" width="14.42578125" style="61" bestFit="1" customWidth="1"/>
    <col min="12" max="12" width="13" bestFit="1" customWidth="1"/>
    <col min="14" max="14" width="14.42578125" bestFit="1" customWidth="1"/>
  </cols>
  <sheetData>
    <row r="3" spans="1:16" x14ac:dyDescent="0.25">
      <c r="B3" s="9"/>
      <c r="C3" s="53" t="s">
        <v>42</v>
      </c>
      <c r="D3" s="53"/>
      <c r="E3" s="53"/>
      <c r="F3" s="53"/>
      <c r="G3" s="62"/>
      <c r="H3" s="53"/>
      <c r="J3" s="53" t="s">
        <v>61</v>
      </c>
      <c r="L3" s="53"/>
      <c r="M3" s="53"/>
      <c r="N3" s="53"/>
      <c r="O3" s="53"/>
      <c r="P3" s="53"/>
    </row>
    <row r="5" spans="1:16" x14ac:dyDescent="0.25">
      <c r="A5" s="54" t="s">
        <v>43</v>
      </c>
      <c r="B5" s="54"/>
      <c r="C5" s="54"/>
      <c r="D5" s="54"/>
      <c r="E5" s="56"/>
      <c r="F5" s="56"/>
      <c r="G5" s="58">
        <v>3500000</v>
      </c>
      <c r="H5" s="54" t="s">
        <v>43</v>
      </c>
      <c r="N5" s="63">
        <f>G5+(G5*1.5%)</f>
        <v>3552500</v>
      </c>
    </row>
    <row r="6" spans="1:16" x14ac:dyDescent="0.25">
      <c r="A6" s="55"/>
      <c r="B6" s="55"/>
      <c r="C6" s="55"/>
      <c r="D6" s="55"/>
      <c r="E6" s="56"/>
      <c r="F6" s="56"/>
      <c r="G6" s="58"/>
      <c r="H6" s="55"/>
    </row>
    <row r="7" spans="1:16" x14ac:dyDescent="0.25">
      <c r="A7" s="54" t="s">
        <v>44</v>
      </c>
      <c r="B7" s="54"/>
      <c r="C7" s="54"/>
      <c r="D7" s="54"/>
      <c r="E7" s="56"/>
      <c r="F7" s="56"/>
      <c r="G7" s="58">
        <v>1492000</v>
      </c>
      <c r="H7" s="54" t="s">
        <v>44</v>
      </c>
    </row>
    <row r="8" spans="1:16" x14ac:dyDescent="0.25">
      <c r="A8" s="55"/>
      <c r="B8" s="55"/>
      <c r="C8" s="55"/>
      <c r="D8" s="55"/>
      <c r="E8" s="56"/>
      <c r="F8" s="56"/>
      <c r="G8" s="58"/>
      <c r="H8" s="55"/>
    </row>
    <row r="9" spans="1:16" x14ac:dyDescent="0.25">
      <c r="A9" s="54" t="s">
        <v>59</v>
      </c>
      <c r="B9" s="54"/>
      <c r="C9" s="54"/>
      <c r="D9" s="54"/>
      <c r="E9" s="56"/>
      <c r="F9" s="56"/>
      <c r="G9" s="58"/>
      <c r="H9" s="54" t="s">
        <v>59</v>
      </c>
    </row>
    <row r="10" spans="1:16" x14ac:dyDescent="0.25">
      <c r="A10" s="55" t="s">
        <v>45</v>
      </c>
      <c r="B10" s="55"/>
      <c r="C10" s="55"/>
      <c r="D10" s="55"/>
      <c r="E10" s="56">
        <v>35000</v>
      </c>
      <c r="F10" s="56"/>
      <c r="G10" s="58"/>
      <c r="H10" s="55" t="s">
        <v>45</v>
      </c>
    </row>
    <row r="11" spans="1:16" x14ac:dyDescent="0.25">
      <c r="A11" s="55"/>
      <c r="B11" s="55"/>
      <c r="C11" s="55"/>
      <c r="D11" s="55"/>
      <c r="E11" s="56"/>
      <c r="F11" s="56"/>
      <c r="G11" s="58"/>
      <c r="H11" s="55"/>
    </row>
    <row r="12" spans="1:16" x14ac:dyDescent="0.25">
      <c r="A12" s="55" t="s">
        <v>60</v>
      </c>
      <c r="B12" s="55"/>
      <c r="C12" s="55"/>
      <c r="D12" s="55"/>
      <c r="E12" s="56"/>
      <c r="F12" s="56"/>
      <c r="G12" s="58"/>
      <c r="H12" s="55" t="s">
        <v>60</v>
      </c>
    </row>
    <row r="13" spans="1:16" x14ac:dyDescent="0.25">
      <c r="A13" s="55" t="s">
        <v>46</v>
      </c>
      <c r="B13" s="55"/>
      <c r="C13" s="55"/>
      <c r="D13" s="55"/>
      <c r="E13" s="56">
        <v>95000</v>
      </c>
      <c r="F13" s="56"/>
      <c r="G13" s="58"/>
      <c r="H13" s="55" t="s">
        <v>46</v>
      </c>
      <c r="L13" s="63">
        <f>E13-(E13*5%)</f>
        <v>90250</v>
      </c>
    </row>
    <row r="14" spans="1:16" x14ac:dyDescent="0.25">
      <c r="A14" s="55" t="s">
        <v>47</v>
      </c>
      <c r="B14" s="55"/>
      <c r="C14" s="55"/>
      <c r="D14" s="55"/>
      <c r="E14" s="56">
        <v>600000</v>
      </c>
      <c r="F14" s="56"/>
      <c r="G14" s="58"/>
      <c r="H14" s="55" t="s">
        <v>47</v>
      </c>
      <c r="L14" s="63">
        <f t="shared" ref="L14:L16" si="0">E14-(E14*5%)</f>
        <v>570000</v>
      </c>
    </row>
    <row r="15" spans="1:16" x14ac:dyDescent="0.25">
      <c r="A15" s="55" t="s">
        <v>48</v>
      </c>
      <c r="B15" s="55"/>
      <c r="C15" s="55"/>
      <c r="D15" s="55"/>
      <c r="E15" s="56">
        <v>540000</v>
      </c>
      <c r="F15" s="56"/>
      <c r="G15" s="58"/>
      <c r="H15" s="55" t="s">
        <v>48</v>
      </c>
      <c r="L15" s="63">
        <f t="shared" si="0"/>
        <v>513000</v>
      </c>
    </row>
    <row r="16" spans="1:16" ht="17.25" x14ac:dyDescent="0.4">
      <c r="A16" s="55" t="s">
        <v>49</v>
      </c>
      <c r="B16" s="55"/>
      <c r="C16" s="55"/>
      <c r="D16" s="55"/>
      <c r="E16" s="57">
        <v>125000</v>
      </c>
      <c r="F16" s="56"/>
      <c r="G16" s="58"/>
      <c r="H16" s="55" t="s">
        <v>49</v>
      </c>
      <c r="L16" s="64">
        <f t="shared" si="0"/>
        <v>118750</v>
      </c>
    </row>
    <row r="17" spans="1:14" x14ac:dyDescent="0.25">
      <c r="A17" s="55"/>
      <c r="B17" s="55"/>
      <c r="C17" s="55"/>
      <c r="D17" s="55"/>
      <c r="E17" s="56"/>
      <c r="F17" s="56"/>
      <c r="G17" s="58"/>
      <c r="H17" s="55"/>
    </row>
    <row r="18" spans="1:14" x14ac:dyDescent="0.25">
      <c r="A18" s="55" t="s">
        <v>50</v>
      </c>
      <c r="B18" s="55"/>
      <c r="C18" s="55"/>
      <c r="D18" s="55"/>
      <c r="E18" s="56">
        <v>1395000</v>
      </c>
      <c r="F18" s="56"/>
      <c r="G18" s="58"/>
      <c r="H18" s="55" t="s">
        <v>50</v>
      </c>
    </row>
    <row r="19" spans="1:14" x14ac:dyDescent="0.25">
      <c r="A19" s="55"/>
      <c r="B19" s="55"/>
      <c r="C19" s="55"/>
      <c r="D19" s="55"/>
      <c r="E19" s="56"/>
      <c r="F19" s="56"/>
      <c r="G19" s="58"/>
      <c r="H19" s="55"/>
    </row>
    <row r="20" spans="1:14" ht="17.25" x14ac:dyDescent="0.4">
      <c r="A20" s="55" t="s">
        <v>51</v>
      </c>
      <c r="B20" s="55"/>
      <c r="C20" s="55"/>
      <c r="D20" s="55"/>
      <c r="E20" s="57">
        <v>50000</v>
      </c>
      <c r="F20" s="56"/>
      <c r="G20" s="58"/>
      <c r="H20" s="55" t="s">
        <v>51</v>
      </c>
    </row>
    <row r="21" spans="1:14" x14ac:dyDescent="0.25">
      <c r="A21" s="55"/>
      <c r="B21" s="55"/>
      <c r="C21" s="55"/>
      <c r="D21" s="55"/>
      <c r="E21" s="56"/>
      <c r="F21" s="56"/>
      <c r="G21" s="58"/>
      <c r="H21" s="55"/>
    </row>
    <row r="22" spans="1:14" x14ac:dyDescent="0.25">
      <c r="A22" s="55" t="s">
        <v>52</v>
      </c>
      <c r="B22" s="55"/>
      <c r="C22" s="55"/>
      <c r="D22" s="55"/>
      <c r="E22" s="56"/>
      <c r="F22" s="56"/>
      <c r="G22" s="58">
        <v>1345000</v>
      </c>
      <c r="H22" s="55" t="s">
        <v>52</v>
      </c>
      <c r="N22" s="63">
        <f>G22+(G22*2%)</f>
        <v>1371900</v>
      </c>
    </row>
    <row r="23" spans="1:14" x14ac:dyDescent="0.25">
      <c r="E23" s="56"/>
      <c r="F23" s="56"/>
      <c r="G23" s="58"/>
      <c r="N23" s="63">
        <f t="shared" ref="N23:N28" si="1">G23+(G23*2%)</f>
        <v>0</v>
      </c>
    </row>
    <row r="24" spans="1:14" x14ac:dyDescent="0.25">
      <c r="A24" t="s">
        <v>53</v>
      </c>
      <c r="E24" s="56"/>
      <c r="F24" s="56"/>
      <c r="G24" s="58">
        <v>165000</v>
      </c>
      <c r="H24" t="s">
        <v>53</v>
      </c>
      <c r="N24" s="63">
        <f t="shared" si="1"/>
        <v>168300</v>
      </c>
    </row>
    <row r="25" spans="1:14" x14ac:dyDescent="0.25">
      <c r="E25" s="56"/>
      <c r="F25" s="56"/>
      <c r="G25" s="58"/>
      <c r="N25" s="63">
        <f t="shared" si="1"/>
        <v>0</v>
      </c>
    </row>
    <row r="26" spans="1:14" ht="17.25" x14ac:dyDescent="0.4">
      <c r="A26" s="55" t="s">
        <v>54</v>
      </c>
      <c r="E26" s="56"/>
      <c r="F26" s="56"/>
      <c r="G26" s="59">
        <v>125000</v>
      </c>
      <c r="H26" s="55" t="s">
        <v>54</v>
      </c>
      <c r="N26" s="63">
        <f t="shared" si="1"/>
        <v>127500</v>
      </c>
    </row>
    <row r="27" spans="1:14" x14ac:dyDescent="0.25">
      <c r="E27" s="56"/>
      <c r="F27" s="56"/>
      <c r="G27" s="58"/>
      <c r="N27" s="63">
        <f>G27+(G27*2%)</f>
        <v>0</v>
      </c>
    </row>
    <row r="28" spans="1:14" x14ac:dyDescent="0.25">
      <c r="A28" t="s">
        <v>55</v>
      </c>
      <c r="E28" s="56"/>
      <c r="F28" s="56"/>
      <c r="G28" s="58">
        <v>373000</v>
      </c>
      <c r="H28" t="s">
        <v>55</v>
      </c>
      <c r="N28" s="63">
        <f t="shared" si="1"/>
        <v>380460</v>
      </c>
    </row>
    <row r="29" spans="1:14" x14ac:dyDescent="0.25">
      <c r="E29" s="56"/>
      <c r="F29" s="56"/>
      <c r="G29" s="58"/>
    </row>
    <row r="30" spans="1:14" x14ac:dyDescent="0.25">
      <c r="A30" t="s">
        <v>56</v>
      </c>
      <c r="E30" s="56"/>
      <c r="F30" s="56"/>
      <c r="G30" s="58">
        <v>70000</v>
      </c>
      <c r="H30" t="s">
        <v>56</v>
      </c>
      <c r="N30" s="63">
        <f>G30-(G30*1%)</f>
        <v>69300</v>
      </c>
    </row>
    <row r="31" spans="1:14" x14ac:dyDescent="0.25">
      <c r="E31" s="56"/>
      <c r="F31" s="56"/>
      <c r="G31" s="58"/>
    </row>
    <row r="32" spans="1:14" ht="17.25" x14ac:dyDescent="0.4">
      <c r="A32" t="s">
        <v>57</v>
      </c>
      <c r="E32" s="56"/>
      <c r="F32" s="56"/>
      <c r="G32" s="59">
        <v>128000</v>
      </c>
      <c r="H32" t="s">
        <v>57</v>
      </c>
      <c r="N32" s="63">
        <f>G32+(G32*2%)</f>
        <v>130560</v>
      </c>
    </row>
    <row r="33" spans="1:8" x14ac:dyDescent="0.25">
      <c r="E33" s="56"/>
      <c r="F33" s="56"/>
      <c r="G33" s="58"/>
    </row>
    <row r="34" spans="1:8" ht="17.25" x14ac:dyDescent="0.4">
      <c r="A34" t="s">
        <v>58</v>
      </c>
      <c r="E34" s="56"/>
      <c r="F34" s="56"/>
      <c r="G34" s="60">
        <v>175000</v>
      </c>
      <c r="H34" t="s">
        <v>58</v>
      </c>
    </row>
    <row r="38" spans="1:8" ht="15.75" thickBot="1" x14ac:dyDescent="0.3">
      <c r="A38" t="s">
        <v>62</v>
      </c>
      <c r="B38" s="88" t="s">
        <v>63</v>
      </c>
      <c r="C38" s="88"/>
      <c r="D38" s="88"/>
      <c r="E38" s="88"/>
      <c r="F38" s="88"/>
    </row>
    <row r="39" spans="1:8" x14ac:dyDescent="0.25">
      <c r="B39" s="89" t="s">
        <v>64</v>
      </c>
      <c r="C39" s="89"/>
      <c r="D39" s="89"/>
      <c r="E39" s="89"/>
      <c r="F39" s="89"/>
    </row>
    <row r="41" spans="1:8" x14ac:dyDescent="0.25">
      <c r="A41" t="s">
        <v>65</v>
      </c>
      <c r="D41" s="36">
        <v>0.05</v>
      </c>
    </row>
  </sheetData>
  <mergeCells count="2">
    <mergeCell ref="B38:F38"/>
    <mergeCell ref="B39:F3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Partie #1</vt:lpstr>
      <vt:lpstr>Partie #3</vt:lpstr>
    </vt:vector>
  </TitlesOfParts>
  <Company>CEGEP de Trois-Rivières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Larivière</dc:creator>
  <cp:lastModifiedBy>Mathieu Larivière</cp:lastModifiedBy>
  <dcterms:created xsi:type="dcterms:W3CDTF">2017-01-26T17:58:21Z</dcterms:created>
  <dcterms:modified xsi:type="dcterms:W3CDTF">2017-01-31T15:37:58Z</dcterms:modified>
</cp:coreProperties>
</file>