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rochery\Desktop\"/>
    </mc:Choice>
  </mc:AlternateContent>
  <bookViews>
    <workbookView xWindow="0" yWindow="0" windowWidth="13755" windowHeight="7965"/>
  </bookViews>
  <sheets>
    <sheet name="LOT 04" sheetId="14" r:id="rId1"/>
    <sheet name="Feuil1" sheetId="15" r:id="rId2"/>
  </sheets>
  <definedNames>
    <definedName name="_xlnm.Print_Area" localSheetId="0">'LOT 04'!$B$2:$K$52</definedName>
  </definedNames>
  <calcPr calcId="171027" fullPrecision="0"/>
</workbook>
</file>

<file path=xl/calcChain.xml><?xml version="1.0" encoding="utf-8"?>
<calcChain xmlns="http://schemas.openxmlformats.org/spreadsheetml/2006/main">
  <c r="X33" i="14" l="1"/>
  <c r="X34" i="14"/>
  <c r="X35" i="14"/>
  <c r="X36" i="14"/>
  <c r="X37" i="14"/>
  <c r="X38" i="14"/>
  <c r="X39" i="14"/>
  <c r="X40" i="14"/>
  <c r="X41" i="14"/>
  <c r="X42" i="14"/>
  <c r="X29" i="14"/>
  <c r="X30" i="14"/>
  <c r="X31" i="14"/>
  <c r="X32" i="14"/>
  <c r="X28" i="14"/>
  <c r="U9" i="14"/>
  <c r="V8" i="14"/>
  <c r="N17" i="14" l="1"/>
  <c r="U33" i="14"/>
  <c r="J9" i="14"/>
  <c r="U10" i="14" s="1"/>
  <c r="V10" i="14" s="1"/>
  <c r="S32" i="14"/>
  <c r="T31" i="14"/>
  <c r="T34" i="14"/>
  <c r="T35" i="14"/>
  <c r="T36" i="14"/>
  <c r="T37" i="14"/>
  <c r="T38" i="14"/>
  <c r="T39" i="14"/>
  <c r="T40" i="14"/>
  <c r="T41" i="14"/>
  <c r="T42" i="14"/>
  <c r="G30" i="14"/>
  <c r="AC30" i="14"/>
  <c r="AC31" i="14"/>
  <c r="AC32" i="14"/>
  <c r="AC33" i="14"/>
  <c r="AC34" i="14"/>
  <c r="AC35" i="14"/>
  <c r="AC36" i="14"/>
  <c r="AC37" i="14"/>
  <c r="AC38" i="14"/>
  <c r="AC39" i="14"/>
  <c r="AC40" i="14"/>
  <c r="AC41" i="14"/>
  <c r="AC42" i="14"/>
  <c r="AC29" i="14"/>
  <c r="AA30" i="14"/>
  <c r="AA31" i="14"/>
  <c r="AA32" i="14"/>
  <c r="AA33" i="14"/>
  <c r="AA34" i="14"/>
  <c r="AA35" i="14"/>
  <c r="AA36" i="14"/>
  <c r="AA37" i="14"/>
  <c r="AA38" i="14"/>
  <c r="AA39" i="14"/>
  <c r="AA40" i="14"/>
  <c r="AA41" i="14"/>
  <c r="AA42" i="14"/>
  <c r="AA29" i="14"/>
  <c r="V29" i="14"/>
  <c r="V30" i="14"/>
  <c r="V32" i="14"/>
  <c r="V34" i="14"/>
  <c r="V35" i="14"/>
  <c r="V36" i="14"/>
  <c r="V37" i="14"/>
  <c r="V38" i="14"/>
  <c r="V39" i="14"/>
  <c r="V40" i="14"/>
  <c r="V41" i="14"/>
  <c r="V42" i="14"/>
  <c r="V31" i="14"/>
  <c r="H33" i="14"/>
  <c r="I33" i="14" s="1"/>
  <c r="H34" i="14"/>
  <c r="I34" i="14" s="1"/>
  <c r="H35" i="14"/>
  <c r="I35" i="14" s="1"/>
  <c r="H36" i="14"/>
  <c r="I36" i="14" s="1"/>
  <c r="H37" i="14"/>
  <c r="I37" i="14" s="1"/>
  <c r="H38" i="14"/>
  <c r="I38" i="14" s="1"/>
  <c r="H39" i="14"/>
  <c r="I39" i="14" s="1"/>
  <c r="H40" i="14"/>
  <c r="I40" i="14" s="1"/>
  <c r="H41" i="14"/>
  <c r="H42" i="14"/>
  <c r="H28" i="14"/>
  <c r="T30" i="14"/>
  <c r="G33" i="14"/>
  <c r="G34" i="14"/>
  <c r="G35" i="14"/>
  <c r="G36" i="14"/>
  <c r="G37" i="14"/>
  <c r="G38" i="14"/>
  <c r="G39" i="14"/>
  <c r="G40" i="14"/>
  <c r="G29" i="14"/>
  <c r="J29" i="14"/>
  <c r="K29" i="14"/>
  <c r="V28" i="14"/>
  <c r="G28" i="14"/>
  <c r="AA28" i="14"/>
  <c r="AC28" i="14"/>
  <c r="K28" i="14" s="1"/>
  <c r="V33" i="14" l="1"/>
  <c r="T32" i="14"/>
  <c r="N16" i="14"/>
  <c r="E16" i="14" s="1"/>
  <c r="E20" i="14" s="1"/>
  <c r="S33" i="14"/>
  <c r="G31" i="14"/>
  <c r="H30" i="14"/>
  <c r="I30" i="14" s="1"/>
  <c r="X43" i="14"/>
  <c r="J28" i="14"/>
  <c r="N18" i="14"/>
  <c r="N19" i="14"/>
  <c r="AA43" i="14"/>
  <c r="AC43" i="14"/>
  <c r="U8" i="14"/>
  <c r="U7" i="14"/>
  <c r="V7" i="14" s="1"/>
  <c r="V9" i="14" s="1"/>
  <c r="H32" i="14" l="1"/>
  <c r="I32" i="14" s="1"/>
  <c r="V11" i="14"/>
  <c r="J16" i="14"/>
  <c r="K16" i="14" s="1"/>
  <c r="U11" i="14"/>
  <c r="G32" i="14"/>
  <c r="T33" i="14"/>
  <c r="H31" i="14"/>
  <c r="I31" i="14" s="1"/>
  <c r="C15" i="14"/>
  <c r="T29" i="14"/>
  <c r="T28" i="14"/>
  <c r="I28" i="14" s="1"/>
  <c r="N15" i="14" l="1"/>
  <c r="E15" i="14" s="1"/>
  <c r="D15" i="14" s="1"/>
  <c r="H29" i="14"/>
  <c r="T43" i="14"/>
  <c r="V43" i="14"/>
  <c r="J15" i="14" l="1"/>
  <c r="K15" i="14" s="1"/>
  <c r="C16" i="14"/>
  <c r="C20" i="14" s="1"/>
  <c r="I29" i="14"/>
  <c r="C26" i="14"/>
  <c r="C27" i="14"/>
  <c r="D16" i="14" l="1"/>
  <c r="D20" i="14" s="1"/>
  <c r="J24" i="14"/>
  <c r="C34" i="14" l="1"/>
  <c r="C33" i="14"/>
  <c r="C50" i="14"/>
  <c r="E30" i="14"/>
  <c r="D30" i="14"/>
  <c r="C29" i="14"/>
  <c r="C30" i="14" s="1"/>
  <c r="K43" i="14"/>
  <c r="C23" i="14"/>
  <c r="C22" i="14"/>
  <c r="C21" i="14"/>
  <c r="K24" i="14"/>
  <c r="J10" i="14"/>
  <c r="C17" i="14" l="1"/>
  <c r="J43" i="14"/>
  <c r="D34" i="14"/>
  <c r="E34" i="14" s="1"/>
  <c r="D49" i="14"/>
  <c r="E49" i="14" s="1"/>
  <c r="C35" i="14"/>
  <c r="H43" i="14" l="1"/>
  <c r="D17" i="14"/>
  <c r="D47" i="14"/>
  <c r="D33" i="14"/>
  <c r="C19" i="14"/>
  <c r="C39" i="14"/>
  <c r="D35" i="14" l="1"/>
  <c r="E33" i="14"/>
  <c r="E35" i="14" s="1"/>
  <c r="D50" i="14"/>
  <c r="E47" i="14"/>
  <c r="E50" i="14" s="1"/>
  <c r="E17" i="14"/>
  <c r="E19" i="14" l="1"/>
  <c r="D19" i="14"/>
  <c r="E39" i="14"/>
  <c r="D39" i="14"/>
  <c r="C24" i="14" l="1"/>
  <c r="C37" i="14" s="1"/>
  <c r="E24" i="14"/>
  <c r="E37" i="14" s="1"/>
  <c r="D24" i="14"/>
  <c r="D37" i="14" s="1"/>
  <c r="D38" i="14" l="1"/>
  <c r="D40" i="14" s="1"/>
  <c r="C38" i="14"/>
  <c r="C40" i="14" s="1"/>
  <c r="E38" i="14"/>
  <c r="E40" i="14" s="1"/>
  <c r="D41" i="14" l="1"/>
  <c r="D43" i="14" s="1"/>
  <c r="C41" i="14"/>
  <c r="C43" i="14" s="1"/>
  <c r="E41" i="14"/>
  <c r="E43" i="14" s="1"/>
  <c r="I43" i="14"/>
</calcChain>
</file>

<file path=xl/comments1.xml><?xml version="1.0" encoding="utf-8"?>
<comments xmlns="http://schemas.openxmlformats.org/spreadsheetml/2006/main">
  <authors>
    <author>jrochery</author>
  </authors>
  <commentList>
    <comment ref="C2" authorId="0" shapeId="0">
      <text>
        <r>
          <rPr>
            <i/>
            <sz val="9"/>
            <color indexed="81"/>
            <rFont val="Arial"/>
            <family val="2"/>
          </rPr>
          <t>A mettre à jour</t>
        </r>
      </text>
    </comment>
    <comment ref="C3" authorId="0" shapeId="0">
      <text>
        <r>
          <rPr>
            <i/>
            <sz val="10"/>
            <color indexed="81"/>
            <rFont val="Arial"/>
            <family val="2"/>
          </rPr>
          <t>A mettre à jour</t>
        </r>
      </text>
    </comment>
    <comment ref="N15" authorId="0" shapeId="0">
      <text>
        <r>
          <rPr>
            <b/>
            <i/>
            <sz val="9"/>
            <color indexed="81"/>
            <rFont val="Arial"/>
            <family val="2"/>
          </rPr>
          <t>= Cellule n° (2) dernier CP</t>
        </r>
      </text>
    </comment>
    <comment ref="N16" authorId="0" shapeId="0">
      <text>
        <r>
          <rPr>
            <b/>
            <i/>
            <sz val="9"/>
            <color indexed="81"/>
            <rFont val="Arial"/>
            <family val="2"/>
          </rPr>
          <t>= Cellule n° (4) dernier CP</t>
        </r>
      </text>
    </comment>
    <comment ref="N17" authorId="0" shapeId="0">
      <text>
        <r>
          <rPr>
            <b/>
            <i/>
            <sz val="9"/>
            <color indexed="81"/>
            <rFont val="Arial"/>
            <family val="2"/>
          </rPr>
          <t>= Cellule n° (4b) dernier CP</t>
        </r>
      </text>
    </comment>
    <comment ref="N18" authorId="0" shapeId="0">
      <text>
        <r>
          <rPr>
            <b/>
            <i/>
            <sz val="9"/>
            <color indexed="81"/>
            <rFont val="Arial"/>
            <family val="2"/>
          </rPr>
          <t>= Cellule n° (7) dernier CP</t>
        </r>
      </text>
    </comment>
    <comment ref="N19" authorId="0" shapeId="0">
      <text>
        <r>
          <rPr>
            <b/>
            <i/>
            <sz val="9"/>
            <color indexed="81"/>
            <rFont val="Arial"/>
            <family val="2"/>
          </rPr>
          <t>= Cellule n° (9) dernier CP</t>
        </r>
      </text>
    </comment>
  </commentList>
</comments>
</file>

<file path=xl/sharedStrings.xml><?xml version="1.0" encoding="utf-8"?>
<sst xmlns="http://schemas.openxmlformats.org/spreadsheetml/2006/main" count="120" uniqueCount="102">
  <si>
    <t xml:space="preserve">Opération : </t>
  </si>
  <si>
    <t xml:space="preserve">RETENUE CIE provisoire </t>
  </si>
  <si>
    <t>RETENUE CIE définitif</t>
  </si>
  <si>
    <t>TOTAL RETENUES PRINCIPALES HT</t>
  </si>
  <si>
    <t xml:space="preserve">Réserves BC </t>
  </si>
  <si>
    <t>Dont délégation de paiement</t>
  </si>
  <si>
    <t>TOTAL HT TITULAIRE</t>
  </si>
  <si>
    <t>TOTAL TVA</t>
  </si>
  <si>
    <t>TOTAL SITUATION TTC</t>
  </si>
  <si>
    <t>TOTAUX</t>
  </si>
  <si>
    <t>TRAVAUX EXECUTES A LA FIN DU MOIS</t>
  </si>
  <si>
    <t>Cumul actuel</t>
  </si>
  <si>
    <t>Cumul antérieur</t>
  </si>
  <si>
    <t>Travaux du mois</t>
  </si>
  <si>
    <t>TOTAL RETENUES SUPPLEMENTAIRES HT</t>
  </si>
  <si>
    <t>N°</t>
  </si>
  <si>
    <t>Montant HT</t>
  </si>
  <si>
    <t>Montant TTC</t>
  </si>
  <si>
    <t>CERTIFICAT DE PAIEMENT N°</t>
  </si>
  <si>
    <t xml:space="preserve">MOIS DE : </t>
  </si>
  <si>
    <t xml:space="preserve">Entreprise : </t>
  </si>
  <si>
    <t>Date</t>
  </si>
  <si>
    <t>TVA AUTOLIQUIDATION 
SOUS-TRAITANT(S)</t>
  </si>
  <si>
    <t>01</t>
  </si>
  <si>
    <t>S/TRAITANT Y (HT)</t>
  </si>
  <si>
    <t>Adresse</t>
  </si>
  <si>
    <t>Maitrise d'ouvrage:</t>
  </si>
  <si>
    <t>Caution bancaire (TTC)</t>
  </si>
  <si>
    <t>CIE: Compte Inter Entreprise</t>
  </si>
  <si>
    <t>RETENUE PRORATA</t>
  </si>
  <si>
    <t>NET A PAYER AU TITULAIRE</t>
  </si>
  <si>
    <t>DECOMPTE SOUS TRAITANT</t>
  </si>
  <si>
    <t>Montant marché</t>
  </si>
  <si>
    <t>Payé à ce jour</t>
  </si>
  <si>
    <t>Restant à payer</t>
  </si>
  <si>
    <t>Sous traitant Paiement direct:</t>
  </si>
  <si>
    <t>Sous traitant Paiement par entreprises</t>
  </si>
  <si>
    <t>AVANCEMENT des travaux en %</t>
  </si>
  <si>
    <t>RETENUE DE GARANTIE 5%</t>
  </si>
  <si>
    <t>N° DE LOT</t>
  </si>
  <si>
    <t>NATURE DU LOT</t>
  </si>
  <si>
    <t>MONTANT DU MARCHE (HT)</t>
  </si>
  <si>
    <t>AVENANTS (HT)</t>
  </si>
  <si>
    <t>NET A PAYER SOUS TRAITANT</t>
  </si>
  <si>
    <t>N°CP</t>
  </si>
  <si>
    <t>03</t>
  </si>
  <si>
    <t>02</t>
  </si>
  <si>
    <t>Total Avenants</t>
  </si>
  <si>
    <t>TVA TITULAIRE 20%</t>
  </si>
  <si>
    <t>TAUX DE TVA:</t>
  </si>
  <si>
    <t>04</t>
  </si>
  <si>
    <t>Titulaire</t>
  </si>
  <si>
    <t>N° CP</t>
  </si>
  <si>
    <t>S/TRAIT 1</t>
  </si>
  <si>
    <t>S/TRAIT 2</t>
  </si>
  <si>
    <t>Sous traitant 01</t>
  </si>
  <si>
    <t>Sous traitant 02</t>
  </si>
  <si>
    <t>Montant cumulé sous traitant 01 :</t>
  </si>
  <si>
    <t>Montant cumulé sous traitant 02 :</t>
  </si>
  <si>
    <t>N° Céllule</t>
  </si>
  <si>
    <t>(1)</t>
  </si>
  <si>
    <t>(2)</t>
  </si>
  <si>
    <t>(3)</t>
  </si>
  <si>
    <t>(4)</t>
  </si>
  <si>
    <t>(6)</t>
  </si>
  <si>
    <t>(7)</t>
  </si>
  <si>
    <t>(8)</t>
  </si>
  <si>
    <t>(9)</t>
  </si>
  <si>
    <t>Travaux marché</t>
  </si>
  <si>
    <t>S/TRAITANT X (HT)</t>
  </si>
  <si>
    <t>Situation du jour</t>
  </si>
  <si>
    <t>05</t>
  </si>
  <si>
    <t>06</t>
  </si>
  <si>
    <t>Retenues diverses (absences réunion non justifiés)</t>
  </si>
  <si>
    <t>Pénalités de retard</t>
  </si>
  <si>
    <t>Avenants :</t>
  </si>
  <si>
    <t>TOTAL MARCHE + AVENANTS HT</t>
  </si>
  <si>
    <t>MARCHE + AVENANTS (HT)</t>
  </si>
  <si>
    <t>Travaux Réalisé</t>
  </si>
  <si>
    <t>07</t>
  </si>
  <si>
    <t>Situation Travaux Marché du mois</t>
  </si>
  <si>
    <t>08</t>
  </si>
  <si>
    <t>09</t>
  </si>
  <si>
    <t>10</t>
  </si>
  <si>
    <t>11</t>
  </si>
  <si>
    <t>12</t>
  </si>
  <si>
    <t>13</t>
  </si>
  <si>
    <t>Marché</t>
  </si>
  <si>
    <t>Retenue de garantie Marche (5%) :</t>
  </si>
  <si>
    <t>HT</t>
  </si>
  <si>
    <t>TTC</t>
  </si>
  <si>
    <t>Caution Banquaire:</t>
  </si>
  <si>
    <t>Deltat de retenue:</t>
  </si>
  <si>
    <t>Situation Avenants</t>
  </si>
  <si>
    <t>Avenant N°2</t>
  </si>
  <si>
    <t>Avenant N°1</t>
  </si>
  <si>
    <t>(3b)</t>
  </si>
  <si>
    <t>(4b)</t>
  </si>
  <si>
    <t>Situation Avenant N° 1 du mois</t>
  </si>
  <si>
    <t>Situation Avenant N° 2 du mois</t>
  </si>
  <si>
    <t>Retenue de Garantie Avenant:</t>
  </si>
  <si>
    <t>Delta Retenue / Caution banquaire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</si>
</sst>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&quot;€&quot;"/>
    <numFmt numFmtId="165" formatCode="#,##0.00&quot; %&quot;"/>
    <numFmt numFmtId="166" formatCode="[$-40C]mmmm\-yy;@"/>
    <numFmt numFmtId="167" formatCode="#,##0.0&quot; %&quot;"/>
    <numFmt numFmtId="168" formatCode="#,##0.00&quot; HT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FuturaTLig"/>
      <family val="2"/>
    </font>
    <font>
      <sz val="8"/>
      <color theme="1"/>
      <name val="FuturaTLig"/>
      <family val="2"/>
    </font>
    <font>
      <i/>
      <sz val="8"/>
      <color theme="1"/>
      <name val="FuturaTLig"/>
      <family val="2"/>
    </font>
    <font>
      <sz val="10"/>
      <color theme="1"/>
      <name val="FuturaTLig"/>
      <family val="2"/>
    </font>
    <font>
      <sz val="16"/>
      <color theme="1"/>
      <name val="FuturaTLig"/>
      <family val="2"/>
    </font>
    <font>
      <sz val="11"/>
      <color theme="1"/>
      <name val="FuturaTDem"/>
      <family val="2"/>
    </font>
    <font>
      <sz val="9"/>
      <color theme="1"/>
      <name val="FuturaTDem"/>
      <family val="2"/>
    </font>
    <font>
      <sz val="8"/>
      <color theme="1"/>
      <name val="FuturaTDem"/>
      <family val="2"/>
    </font>
    <font>
      <sz val="10"/>
      <color theme="1"/>
      <name val="FuturaTDem"/>
      <family val="2"/>
    </font>
    <font>
      <sz val="14"/>
      <color theme="1"/>
      <name val="FuturaTDem"/>
      <family val="2"/>
    </font>
    <font>
      <i/>
      <sz val="9"/>
      <color indexed="81"/>
      <name val="Arial"/>
      <family val="2"/>
    </font>
    <font>
      <i/>
      <sz val="10"/>
      <color indexed="81"/>
      <name val="Arial"/>
      <family val="2"/>
    </font>
    <font>
      <b/>
      <i/>
      <sz val="9"/>
      <color indexed="8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FuturaTLig"/>
      <family val="2"/>
    </font>
    <font>
      <sz val="12"/>
      <color theme="1"/>
      <name val="FuturaTDem"/>
      <family val="2"/>
    </font>
    <font>
      <sz val="8"/>
      <color theme="0" tint="-4.9989318521683403E-2"/>
      <name val="FuturaTLig"/>
      <family val="2"/>
    </font>
    <font>
      <sz val="11"/>
      <color rgb="FF363636"/>
      <name val="Segoe UI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gray0625"/>
    </fill>
    <fill>
      <patternFill patternType="gray0625">
        <bgColor theme="4" tint="0.79998168889431442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1" fillId="0" borderId="0" xfId="0" applyFont="1"/>
    <xf numFmtId="0" fontId="2" fillId="0" borderId="2" xfId="0" applyFont="1" applyBorder="1" applyAlignment="1">
      <alignment horizontal="right"/>
    </xf>
    <xf numFmtId="164" fontId="2" fillId="0" borderId="2" xfId="0" applyNumberFormat="1" applyFont="1" applyBorder="1" applyAlignment="1">
      <alignment horizontal="center"/>
    </xf>
    <xf numFmtId="0" fontId="2" fillId="0" borderId="0" xfId="0" applyFont="1"/>
    <xf numFmtId="0" fontId="2" fillId="0" borderId="3" xfId="0" applyFont="1" applyBorder="1" applyAlignment="1">
      <alignment horizontal="right"/>
    </xf>
    <xf numFmtId="14" fontId="2" fillId="0" borderId="3" xfId="0" applyNumberFormat="1" applyFont="1" applyBorder="1" applyAlignment="1">
      <alignment horizontal="center"/>
    </xf>
    <xf numFmtId="0" fontId="2" fillId="0" borderId="0" xfId="0" applyFont="1" applyAlignment="1">
      <alignment horizontal="right"/>
    </xf>
    <xf numFmtId="0" fontId="2" fillId="0" borderId="4" xfId="0" applyFont="1" applyBorder="1"/>
    <xf numFmtId="0" fontId="2" fillId="0" borderId="0" xfId="0" applyFont="1" applyBorder="1"/>
    <xf numFmtId="4" fontId="2" fillId="0" borderId="6" xfId="0" applyNumberFormat="1" applyFont="1" applyBorder="1"/>
    <xf numFmtId="4" fontId="2" fillId="0" borderId="7" xfId="0" applyNumberFormat="1" applyFont="1" applyBorder="1"/>
    <xf numFmtId="4" fontId="2" fillId="0" borderId="8" xfId="0" applyNumberFormat="1" applyFont="1" applyBorder="1"/>
    <xf numFmtId="49" fontId="2" fillId="0" borderId="6" xfId="0" applyNumberFormat="1" applyFont="1" applyBorder="1" applyAlignment="1">
      <alignment horizontal="center"/>
    </xf>
    <xf numFmtId="4" fontId="2" fillId="2" borderId="9" xfId="0" applyNumberFormat="1" applyFont="1" applyFill="1" applyBorder="1"/>
    <xf numFmtId="4" fontId="2" fillId="2" borderId="10" xfId="0" applyNumberFormat="1" applyFont="1" applyFill="1" applyBorder="1"/>
    <xf numFmtId="4" fontId="2" fillId="2" borderId="11" xfId="0" applyNumberFormat="1" applyFont="1" applyFill="1" applyBorder="1"/>
    <xf numFmtId="4" fontId="2" fillId="0" borderId="1" xfId="0" applyNumberFormat="1" applyFont="1" applyFill="1" applyBorder="1"/>
    <xf numFmtId="0" fontId="3" fillId="0" borderId="4" xfId="0" applyFont="1" applyBorder="1"/>
    <xf numFmtId="165" fontId="2" fillId="0" borderId="12" xfId="0" applyNumberFormat="1" applyFont="1" applyBorder="1"/>
    <xf numFmtId="165" fontId="2" fillId="0" borderId="13" xfId="0" applyNumberFormat="1" applyFont="1" applyBorder="1"/>
    <xf numFmtId="165" fontId="2" fillId="0" borderId="14" xfId="0" applyNumberFormat="1" applyFont="1" applyBorder="1"/>
    <xf numFmtId="0" fontId="4" fillId="0" borderId="0" xfId="0" applyFont="1"/>
    <xf numFmtId="0" fontId="2" fillId="0" borderId="1" xfId="0" applyFont="1" applyBorder="1"/>
    <xf numFmtId="4" fontId="2" fillId="0" borderId="12" xfId="0" applyNumberFormat="1" applyFont="1" applyBorder="1"/>
    <xf numFmtId="4" fontId="2" fillId="0" borderId="13" xfId="0" applyNumberFormat="1" applyFont="1" applyBorder="1"/>
    <xf numFmtId="4" fontId="2" fillId="0" borderId="14" xfId="0" applyNumberFormat="1" applyFont="1" applyBorder="1"/>
    <xf numFmtId="4" fontId="2" fillId="0" borderId="12" xfId="0" applyNumberFormat="1" applyFont="1" applyBorder="1" applyAlignment="1">
      <alignment horizontal="right"/>
    </xf>
    <xf numFmtId="4" fontId="2" fillId="0" borderId="13" xfId="0" applyNumberFormat="1" applyFont="1" applyBorder="1" applyAlignment="1">
      <alignment horizontal="right"/>
    </xf>
    <xf numFmtId="4" fontId="2" fillId="0" borderId="14" xfId="0" applyNumberFormat="1" applyFont="1" applyBorder="1" applyAlignment="1">
      <alignment horizontal="right"/>
    </xf>
    <xf numFmtId="4" fontId="2" fillId="0" borderId="6" xfId="0" applyNumberFormat="1" applyFont="1" applyBorder="1" applyAlignment="1">
      <alignment horizontal="right"/>
    </xf>
    <xf numFmtId="4" fontId="2" fillId="0" borderId="7" xfId="0" applyNumberFormat="1" applyFont="1" applyBorder="1" applyAlignment="1">
      <alignment horizontal="right"/>
    </xf>
    <xf numFmtId="4" fontId="2" fillId="0" borderId="8" xfId="0" applyNumberFormat="1" applyFont="1" applyBorder="1" applyAlignment="1">
      <alignment horizontal="right"/>
    </xf>
    <xf numFmtId="0" fontId="2" fillId="0" borderId="0" xfId="0" applyFont="1" applyBorder="1" applyAlignment="1"/>
    <xf numFmtId="0" fontId="3" fillId="0" borderId="0" xfId="0" applyFont="1" applyBorder="1"/>
    <xf numFmtId="4" fontId="2" fillId="2" borderId="15" xfId="0" applyNumberFormat="1" applyFont="1" applyFill="1" applyBorder="1"/>
    <xf numFmtId="4" fontId="2" fillId="2" borderId="16" xfId="0" applyNumberFormat="1" applyFont="1" applyFill="1" applyBorder="1"/>
    <xf numFmtId="4" fontId="2" fillId="0" borderId="6" xfId="0" applyNumberFormat="1" applyFont="1" applyBorder="1" applyAlignment="1">
      <alignment horizontal="center"/>
    </xf>
    <xf numFmtId="4" fontId="2" fillId="0" borderId="7" xfId="0" applyNumberFormat="1" applyFont="1" applyBorder="1" applyAlignment="1">
      <alignment horizontal="center"/>
    </xf>
    <xf numFmtId="4" fontId="2" fillId="0" borderId="8" xfId="0" applyNumberFormat="1" applyFont="1" applyBorder="1" applyAlignment="1">
      <alignment horizontal="center"/>
    </xf>
    <xf numFmtId="0" fontId="1" fillId="0" borderId="0" xfId="0" applyFont="1" applyAlignment="1"/>
    <xf numFmtId="0" fontId="5" fillId="0" borderId="0" xfId="0" applyFont="1" applyAlignment="1"/>
    <xf numFmtId="0" fontId="2" fillId="2" borderId="5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right"/>
    </xf>
    <xf numFmtId="0" fontId="6" fillId="0" borderId="0" xfId="0" applyFont="1" applyAlignment="1"/>
    <xf numFmtId="0" fontId="6" fillId="0" borderId="0" xfId="0" applyFont="1"/>
    <xf numFmtId="49" fontId="6" fillId="0" borderId="0" xfId="0" applyNumberFormat="1" applyFont="1" applyAlignment="1">
      <alignment horizontal="left" vertical="center"/>
    </xf>
    <xf numFmtId="0" fontId="8" fillId="2" borderId="6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164" fontId="9" fillId="2" borderId="11" xfId="0" applyNumberFormat="1" applyFont="1" applyFill="1" applyBorder="1"/>
    <xf numFmtId="164" fontId="9" fillId="2" borderId="17" xfId="0" applyNumberFormat="1" applyFont="1" applyFill="1" applyBorder="1"/>
    <xf numFmtId="0" fontId="8" fillId="2" borderId="9" xfId="0" applyFont="1" applyFill="1" applyBorder="1" applyAlignment="1">
      <alignment horizontal="center"/>
    </xf>
    <xf numFmtId="164" fontId="8" fillId="2" borderId="10" xfId="0" applyNumberFormat="1" applyFont="1" applyFill="1" applyBorder="1" applyAlignment="1">
      <alignment horizontal="center"/>
    </xf>
    <xf numFmtId="164" fontId="8" fillId="2" borderId="11" xfId="0" applyNumberFormat="1" applyFont="1" applyFill="1" applyBorder="1" applyAlignment="1">
      <alignment horizontal="center"/>
    </xf>
    <xf numFmtId="4" fontId="8" fillId="2" borderId="9" xfId="0" applyNumberFormat="1" applyFont="1" applyFill="1" applyBorder="1"/>
    <xf numFmtId="0" fontId="9" fillId="2" borderId="1" xfId="0" applyFont="1" applyFill="1" applyBorder="1" applyAlignment="1">
      <alignment horizontal="right"/>
    </xf>
    <xf numFmtId="0" fontId="8" fillId="2" borderId="6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/>
    <xf numFmtId="4" fontId="8" fillId="2" borderId="12" xfId="0" applyNumberFormat="1" applyFont="1" applyFill="1" applyBorder="1" applyAlignment="1">
      <alignment vertical="center" wrapText="1"/>
    </xf>
    <xf numFmtId="4" fontId="8" fillId="2" borderId="13" xfId="0" applyNumberFormat="1" applyFont="1" applyFill="1" applyBorder="1" applyAlignment="1">
      <alignment vertical="center" wrapText="1"/>
    </xf>
    <xf numFmtId="4" fontId="8" fillId="2" borderId="14" xfId="0" applyNumberFormat="1" applyFont="1" applyFill="1" applyBorder="1" applyAlignment="1">
      <alignment vertical="center" wrapText="1"/>
    </xf>
    <xf numFmtId="0" fontId="2" fillId="0" borderId="0" xfId="0" applyFont="1" applyBorder="1" applyAlignment="1">
      <alignment horizontal="center"/>
    </xf>
    <xf numFmtId="49" fontId="10" fillId="0" borderId="0" xfId="0" applyNumberFormat="1" applyFont="1" applyAlignment="1">
      <alignment horizontal="center" vertical="center"/>
    </xf>
    <xf numFmtId="49" fontId="10" fillId="0" borderId="0" xfId="0" applyNumberFormat="1" applyFont="1" applyAlignment="1">
      <alignment horizontal="left" vertical="center"/>
    </xf>
    <xf numFmtId="49" fontId="2" fillId="2" borderId="9" xfId="0" applyNumberFormat="1" applyFont="1" applyFill="1" applyBorder="1" applyAlignment="1">
      <alignment horizontal="center"/>
    </xf>
    <xf numFmtId="164" fontId="2" fillId="2" borderId="11" xfId="0" applyNumberFormat="1" applyFont="1" applyFill="1" applyBorder="1"/>
    <xf numFmtId="167" fontId="9" fillId="0" borderId="0" xfId="0" applyNumberFormat="1" applyFont="1" applyAlignment="1"/>
    <xf numFmtId="0" fontId="3" fillId="0" borderId="1" xfId="0" applyFont="1" applyFill="1" applyBorder="1" applyAlignment="1">
      <alignment horizontal="left"/>
    </xf>
    <xf numFmtId="4" fontId="2" fillId="0" borderId="15" xfId="0" applyNumberFormat="1" applyFont="1" applyBorder="1" applyAlignment="1">
      <alignment horizontal="right"/>
    </xf>
    <xf numFmtId="4" fontId="2" fillId="0" borderId="16" xfId="0" applyNumberFormat="1" applyFont="1" applyFill="1" applyBorder="1"/>
    <xf numFmtId="4" fontId="2" fillId="0" borderId="17" xfId="0" applyNumberFormat="1" applyFont="1" applyFill="1" applyBorder="1"/>
    <xf numFmtId="4" fontId="2" fillId="0" borderId="8" xfId="0" applyNumberFormat="1" applyFont="1" applyFill="1" applyBorder="1"/>
    <xf numFmtId="0" fontId="6" fillId="0" borderId="0" xfId="0" applyFont="1" applyAlignment="1">
      <alignment horizontal="left"/>
    </xf>
    <xf numFmtId="0" fontId="8" fillId="2" borderId="0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/>
    </xf>
    <xf numFmtId="164" fontId="8" fillId="2" borderId="20" xfId="0" applyNumberFormat="1" applyFont="1" applyFill="1" applyBorder="1" applyAlignment="1">
      <alignment horizontal="center"/>
    </xf>
    <xf numFmtId="0" fontId="8" fillId="2" borderId="18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164" fontId="8" fillId="2" borderId="9" xfId="0" applyNumberFormat="1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/>
    <xf numFmtId="0" fontId="9" fillId="0" borderId="0" xfId="0" applyFont="1" applyAlignment="1">
      <alignment horizontal="right"/>
    </xf>
    <xf numFmtId="166" fontId="10" fillId="0" borderId="0" xfId="0" applyNumberFormat="1" applyFont="1" applyAlignment="1">
      <alignment vertical="center"/>
    </xf>
    <xf numFmtId="49" fontId="14" fillId="0" borderId="0" xfId="0" applyNumberFormat="1" applyFont="1" applyAlignment="1">
      <alignment horizontal="center" vertical="center"/>
    </xf>
    <xf numFmtId="49" fontId="15" fillId="0" borderId="0" xfId="0" applyNumberFormat="1" applyFont="1" applyAlignment="1">
      <alignment horizontal="center" vertical="center"/>
    </xf>
    <xf numFmtId="0" fontId="3" fillId="0" borderId="5" xfId="0" applyFont="1" applyBorder="1"/>
    <xf numFmtId="4" fontId="3" fillId="0" borderId="9" xfId="0" applyNumberFormat="1" applyFont="1" applyBorder="1"/>
    <xf numFmtId="4" fontId="3" fillId="0" borderId="10" xfId="0" applyNumberFormat="1" applyFont="1" applyBorder="1"/>
    <xf numFmtId="4" fontId="3" fillId="0" borderId="11" xfId="0" applyNumberFormat="1" applyFont="1" applyBorder="1"/>
    <xf numFmtId="0" fontId="9" fillId="2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left"/>
    </xf>
    <xf numFmtId="4" fontId="2" fillId="0" borderId="0" xfId="0" applyNumberFormat="1" applyFont="1" applyBorder="1" applyAlignment="1">
      <alignment horizontal="center"/>
    </xf>
    <xf numFmtId="164" fontId="1" fillId="0" borderId="0" xfId="0" applyNumberFormat="1" applyFont="1"/>
    <xf numFmtId="164" fontId="8" fillId="2" borderId="24" xfId="0" applyNumberFormat="1" applyFont="1" applyFill="1" applyBorder="1" applyAlignment="1">
      <alignment horizontal="center"/>
    </xf>
    <xf numFmtId="0" fontId="8" fillId="2" borderId="23" xfId="0" applyFont="1" applyFill="1" applyBorder="1" applyAlignment="1">
      <alignment horizontal="center" vertical="center"/>
    </xf>
    <xf numFmtId="164" fontId="8" fillId="2" borderId="27" xfId="0" applyNumberFormat="1" applyFont="1" applyFill="1" applyBorder="1" applyAlignment="1">
      <alignment horizontal="center"/>
    </xf>
    <xf numFmtId="4" fontId="1" fillId="0" borderId="0" xfId="0" applyNumberFormat="1" applyFont="1"/>
    <xf numFmtId="0" fontId="8" fillId="2" borderId="28" xfId="0" applyFont="1" applyFill="1" applyBorder="1" applyAlignment="1">
      <alignment horizontal="center" vertical="center"/>
    </xf>
    <xf numFmtId="4" fontId="2" fillId="3" borderId="18" xfId="0" applyNumberFormat="1" applyFont="1" applyFill="1" applyBorder="1"/>
    <xf numFmtId="4" fontId="2" fillId="4" borderId="19" xfId="0" applyNumberFormat="1" applyFont="1" applyFill="1" applyBorder="1"/>
    <xf numFmtId="0" fontId="8" fillId="2" borderId="25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49" fontId="17" fillId="5" borderId="0" xfId="0" applyNumberFormat="1" applyFont="1" applyFill="1" applyBorder="1"/>
    <xf numFmtId="164" fontId="2" fillId="0" borderId="8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Border="1" applyAlignment="1">
      <alignment vertical="center"/>
    </xf>
    <xf numFmtId="4" fontId="2" fillId="3" borderId="18" xfId="0" applyNumberFormat="1" applyFont="1" applyFill="1" applyBorder="1" applyAlignment="1">
      <alignment horizontal="center" vertical="center"/>
    </xf>
    <xf numFmtId="4" fontId="2" fillId="4" borderId="19" xfId="0" applyNumberFormat="1" applyFont="1" applyFill="1" applyBorder="1" applyAlignment="1">
      <alignment horizontal="center" vertical="center"/>
    </xf>
    <xf numFmtId="4" fontId="17" fillId="6" borderId="18" xfId="0" applyNumberFormat="1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14" fontId="9" fillId="0" borderId="0" xfId="0" applyNumberFormat="1" applyFont="1" applyAlignment="1">
      <alignment horizontal="left"/>
    </xf>
    <xf numFmtId="0" fontId="8" fillId="0" borderId="0" xfId="0" applyFont="1" applyAlignment="1">
      <alignment horizontal="right"/>
    </xf>
    <xf numFmtId="0" fontId="8" fillId="2" borderId="4" xfId="0" applyFont="1" applyFill="1" applyBorder="1" applyAlignment="1">
      <alignment horizontal="center"/>
    </xf>
    <xf numFmtId="166" fontId="6" fillId="0" borderId="0" xfId="0" applyNumberFormat="1" applyFont="1" applyAlignment="1">
      <alignment horizontal="left" wrapText="1"/>
    </xf>
    <xf numFmtId="0" fontId="10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164" fontId="9" fillId="0" borderId="0" xfId="0" applyNumberFormat="1" applyFont="1" applyAlignment="1">
      <alignment horizontal="right" vertical="center"/>
    </xf>
    <xf numFmtId="49" fontId="16" fillId="0" borderId="0" xfId="0" applyNumberFormat="1" applyFont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18" fillId="0" borderId="0" xfId="0" applyFont="1"/>
    <xf numFmtId="0" fontId="1" fillId="0" borderId="1" xfId="0" applyFont="1" applyBorder="1"/>
    <xf numFmtId="164" fontId="1" fillId="0" borderId="1" xfId="0" applyNumberFormat="1" applyFont="1" applyBorder="1"/>
    <xf numFmtId="0" fontId="1" fillId="0" borderId="4" xfId="0" applyFont="1" applyBorder="1"/>
    <xf numFmtId="164" fontId="1" fillId="0" borderId="4" xfId="0" applyNumberFormat="1" applyFont="1" applyBorder="1"/>
    <xf numFmtId="0" fontId="1" fillId="0" borderId="5" xfId="0" applyFont="1" applyBorder="1"/>
    <xf numFmtId="164" fontId="1" fillId="0" borderId="5" xfId="0" applyNumberFormat="1" applyFont="1" applyBorder="1"/>
    <xf numFmtId="0" fontId="1" fillId="0" borderId="2" xfId="0" applyFont="1" applyBorder="1"/>
    <xf numFmtId="164" fontId="1" fillId="0" borderId="2" xfId="0" applyNumberFormat="1" applyFont="1" applyBorder="1"/>
    <xf numFmtId="0" fontId="1" fillId="0" borderId="3" xfId="0" applyFont="1" applyBorder="1"/>
    <xf numFmtId="164" fontId="1" fillId="0" borderId="3" xfId="0" applyNumberFormat="1" applyFont="1" applyBorder="1"/>
    <xf numFmtId="49" fontId="2" fillId="7" borderId="1" xfId="0" applyNumberFormat="1" applyFont="1" applyFill="1" applyBorder="1" applyAlignment="1">
      <alignment horizontal="right"/>
    </xf>
    <xf numFmtId="168" fontId="2" fillId="7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2:AC67"/>
  <sheetViews>
    <sheetView tabSelected="1" topLeftCell="A7" zoomScale="110" zoomScaleNormal="110" workbookViewId="0">
      <selection activeCell="P29" sqref="P29"/>
    </sheetView>
  </sheetViews>
  <sheetFormatPr baseColWidth="10" defaultRowHeight="15" x14ac:dyDescent="0.25"/>
  <cols>
    <col min="1" max="1" width="11.42578125" style="1"/>
    <col min="2" max="2" width="26.42578125" style="1" customWidth="1"/>
    <col min="3" max="5" width="12.7109375" style="1" customWidth="1"/>
    <col min="6" max="6" width="1.28515625" style="1" customWidth="1"/>
    <col min="7" max="7" width="5" style="1" customWidth="1"/>
    <col min="8" max="11" width="10.7109375" style="1" customWidth="1"/>
    <col min="12" max="12" width="4.42578125" style="1" customWidth="1"/>
    <col min="13" max="13" width="25.5703125" style="1" bestFit="1" customWidth="1"/>
    <col min="14" max="14" width="12.85546875" style="1" bestFit="1" customWidth="1"/>
    <col min="15" max="15" width="13.140625" style="1" bestFit="1" customWidth="1"/>
    <col min="16" max="18" width="11.42578125" style="1"/>
    <col min="19" max="19" width="12.85546875" style="1" bestFit="1" customWidth="1"/>
    <col min="20" max="20" width="11.42578125" style="1"/>
    <col min="21" max="21" width="12" style="1" bestFit="1" customWidth="1"/>
    <col min="22" max="22" width="12.28515625" style="1" bestFit="1" customWidth="1"/>
    <col min="23" max="16384" width="11.42578125" style="1"/>
  </cols>
  <sheetData>
    <row r="2" spans="2:23" ht="18" x14ac:dyDescent="0.25">
      <c r="B2" s="44" t="s">
        <v>18</v>
      </c>
      <c r="C2" s="64"/>
      <c r="D2" s="74"/>
      <c r="E2" s="40"/>
      <c r="F2" s="40"/>
      <c r="G2" s="46" t="s">
        <v>26</v>
      </c>
      <c r="H2" s="44"/>
      <c r="I2" s="44"/>
      <c r="J2" s="45"/>
    </row>
    <row r="3" spans="2:23" ht="18" customHeight="1" x14ac:dyDescent="0.25">
      <c r="B3" s="44" t="s">
        <v>19</v>
      </c>
      <c r="C3" s="92"/>
      <c r="D3" s="92"/>
      <c r="E3" s="40"/>
      <c r="F3" s="40"/>
      <c r="G3" s="127"/>
      <c r="H3" s="127"/>
      <c r="I3" s="127"/>
      <c r="J3" s="127"/>
    </row>
    <row r="4" spans="2:23" ht="20.25" x14ac:dyDescent="0.3">
      <c r="B4" s="45" t="s">
        <v>0</v>
      </c>
      <c r="C4" s="128"/>
      <c r="D4" s="128"/>
      <c r="E4" s="128"/>
      <c r="F4" s="41"/>
      <c r="G4" s="127"/>
      <c r="H4" s="127"/>
      <c r="I4" s="127"/>
      <c r="J4" s="127"/>
    </row>
    <row r="5" spans="2:23" x14ac:dyDescent="0.25">
      <c r="B5" s="1" t="s">
        <v>25</v>
      </c>
      <c r="C5" s="129"/>
      <c r="D5" s="129"/>
    </row>
    <row r="6" spans="2:23" ht="18" x14ac:dyDescent="0.25">
      <c r="G6" s="130" t="s">
        <v>39</v>
      </c>
      <c r="H6" s="130"/>
      <c r="I6" s="130"/>
      <c r="J6" s="64"/>
      <c r="U6" s="1" t="s">
        <v>89</v>
      </c>
      <c r="V6" s="1" t="s">
        <v>90</v>
      </c>
    </row>
    <row r="7" spans="2:23" ht="18" x14ac:dyDescent="0.25">
      <c r="B7" s="45" t="s">
        <v>20</v>
      </c>
      <c r="C7" s="65"/>
      <c r="G7" s="130" t="s">
        <v>40</v>
      </c>
      <c r="H7" s="130"/>
      <c r="I7" s="130"/>
      <c r="J7" s="132"/>
      <c r="K7" s="132"/>
      <c r="R7" s="143" t="s">
        <v>88</v>
      </c>
      <c r="S7" s="143"/>
      <c r="T7" s="143"/>
      <c r="U7" s="144">
        <f>(J8*1.05)-J8</f>
        <v>7800</v>
      </c>
      <c r="V7" s="144">
        <f>((U7*$K$11)/100)+U7</f>
        <v>9360</v>
      </c>
    </row>
    <row r="8" spans="2:23" x14ac:dyDescent="0.25">
      <c r="G8" s="125" t="s">
        <v>41</v>
      </c>
      <c r="H8" s="125"/>
      <c r="I8" s="125"/>
      <c r="J8" s="131">
        <v>156000</v>
      </c>
      <c r="K8" s="131"/>
      <c r="R8" s="145" t="s">
        <v>91</v>
      </c>
      <c r="S8" s="145"/>
      <c r="T8" s="145"/>
      <c r="U8" s="146">
        <f>(V8*100)/(100+$K$11)</f>
        <v>7800</v>
      </c>
      <c r="V8" s="146">
        <f>C9</f>
        <v>9360</v>
      </c>
      <c r="W8" s="102"/>
    </row>
    <row r="9" spans="2:23" x14ac:dyDescent="0.25">
      <c r="B9" s="2" t="s">
        <v>27</v>
      </c>
      <c r="C9" s="3">
        <v>9360</v>
      </c>
      <c r="D9" s="4"/>
      <c r="E9" s="4"/>
      <c r="F9" s="4"/>
      <c r="G9" s="125" t="s">
        <v>42</v>
      </c>
      <c r="H9" s="125"/>
      <c r="I9" s="125"/>
      <c r="J9" s="131">
        <f>U25+W25</f>
        <v>17649</v>
      </c>
      <c r="K9" s="131"/>
      <c r="R9" s="141" t="s">
        <v>101</v>
      </c>
      <c r="S9" s="141"/>
      <c r="T9" s="141"/>
      <c r="U9" s="142">
        <f>((J8*1.05)-J8)-((C9*100)/(100+$K$11))</f>
        <v>0</v>
      </c>
      <c r="V9" s="142">
        <f>V8-V7</f>
        <v>0</v>
      </c>
    </row>
    <row r="10" spans="2:23" x14ac:dyDescent="0.25">
      <c r="B10" s="5" t="s">
        <v>21</v>
      </c>
      <c r="C10" s="6">
        <v>42248</v>
      </c>
      <c r="D10" s="4"/>
      <c r="E10" s="4"/>
      <c r="F10" s="4"/>
      <c r="G10" s="125" t="s">
        <v>77</v>
      </c>
      <c r="H10" s="125"/>
      <c r="I10" s="125"/>
      <c r="J10" s="131">
        <f>J8+J9</f>
        <v>173649</v>
      </c>
      <c r="K10" s="131"/>
      <c r="R10" s="147" t="s">
        <v>100</v>
      </c>
      <c r="S10" s="147"/>
      <c r="T10" s="147"/>
      <c r="U10" s="148">
        <f>(J9*1.05)-J9</f>
        <v>882.45</v>
      </c>
      <c r="V10" s="148">
        <f>((U10*$K$11)/100)+U10</f>
        <v>1058.94</v>
      </c>
    </row>
    <row r="11" spans="2:23" x14ac:dyDescent="0.25">
      <c r="B11" s="4"/>
      <c r="C11" s="4"/>
      <c r="D11" s="4"/>
      <c r="E11" s="4"/>
      <c r="F11" s="4"/>
      <c r="G11" s="125" t="s">
        <v>49</v>
      </c>
      <c r="H11" s="125"/>
      <c r="I11" s="125"/>
      <c r="K11" s="68">
        <v>20</v>
      </c>
      <c r="R11" s="149" t="s">
        <v>92</v>
      </c>
      <c r="S11" s="149"/>
      <c r="T11" s="149"/>
      <c r="U11" s="150">
        <f>(U7-U8)+U10</f>
        <v>882.45</v>
      </c>
      <c r="V11" s="150">
        <f>(V7-V8)+V10</f>
        <v>1058.94</v>
      </c>
    </row>
    <row r="12" spans="2:23" ht="6" customHeight="1" x14ac:dyDescent="0.25">
      <c r="B12" s="4"/>
      <c r="C12" s="4"/>
      <c r="D12" s="4"/>
      <c r="E12" s="4"/>
      <c r="F12" s="4"/>
      <c r="G12" s="4"/>
      <c r="H12" s="4"/>
      <c r="I12" s="4"/>
      <c r="J12" s="7"/>
    </row>
    <row r="13" spans="2:23" x14ac:dyDescent="0.25">
      <c r="B13" s="8"/>
      <c r="C13" s="126" t="s">
        <v>10</v>
      </c>
      <c r="D13" s="126"/>
      <c r="E13" s="126"/>
      <c r="F13" s="4"/>
      <c r="I13" s="126" t="s">
        <v>93</v>
      </c>
      <c r="J13" s="126"/>
      <c r="K13" s="126"/>
    </row>
    <row r="14" spans="2:23" x14ac:dyDescent="0.25">
      <c r="B14" s="63"/>
      <c r="C14" s="56" t="s">
        <v>11</v>
      </c>
      <c r="D14" s="57" t="s">
        <v>12</v>
      </c>
      <c r="E14" s="58" t="s">
        <v>13</v>
      </c>
      <c r="F14" s="4"/>
      <c r="I14" s="47" t="s">
        <v>15</v>
      </c>
      <c r="J14" s="48" t="s">
        <v>16</v>
      </c>
      <c r="K14" s="48" t="s">
        <v>17</v>
      </c>
    </row>
    <row r="15" spans="2:23" x14ac:dyDescent="0.25">
      <c r="B15" s="9" t="s">
        <v>68</v>
      </c>
      <c r="C15" s="10">
        <f>MAX(S28:S42)</f>
        <v>150409.79999999999</v>
      </c>
      <c r="D15" s="73">
        <f>C15-E15</f>
        <v>150409.79999999999</v>
      </c>
      <c r="E15" s="73">
        <f>N15</f>
        <v>0</v>
      </c>
      <c r="F15" s="4"/>
      <c r="I15" s="13" t="s">
        <v>23</v>
      </c>
      <c r="J15" s="101">
        <f>V43</f>
        <v>3629.76</v>
      </c>
      <c r="K15" s="12">
        <f>((J15*$K$11)/100)+J15</f>
        <v>4355.71</v>
      </c>
      <c r="M15" s="151" t="s">
        <v>80</v>
      </c>
      <c r="N15" s="152">
        <f>LOOKUP(9^9,T28:T40)</f>
        <v>0</v>
      </c>
    </row>
    <row r="16" spans="2:23" x14ac:dyDescent="0.25">
      <c r="B16" s="9" t="s">
        <v>75</v>
      </c>
      <c r="C16" s="10">
        <f>V43+X43</f>
        <v>5982.98</v>
      </c>
      <c r="D16" s="73">
        <f>C16-E16</f>
        <v>5982.98</v>
      </c>
      <c r="E16" s="12">
        <f>N16+N17</f>
        <v>0</v>
      </c>
      <c r="F16" s="4"/>
      <c r="I16" s="13" t="s">
        <v>46</v>
      </c>
      <c r="J16" s="101">
        <f>X43</f>
        <v>2353.2199999999998</v>
      </c>
      <c r="K16" s="12">
        <f>((J16*$K$11)/100)+J16</f>
        <v>2823.86</v>
      </c>
      <c r="M16" s="151" t="s">
        <v>98</v>
      </c>
      <c r="N16" s="152">
        <f>LOOKUP(9^9,V28:V42)</f>
        <v>0</v>
      </c>
    </row>
    <row r="17" spans="2:29" x14ac:dyDescent="0.25">
      <c r="B17" s="100" t="s">
        <v>76</v>
      </c>
      <c r="C17" s="54">
        <f>C15+C16</f>
        <v>156392.78</v>
      </c>
      <c r="D17" s="54">
        <f>D15+D16</f>
        <v>156392.78</v>
      </c>
      <c r="E17" s="54">
        <f>E15+E16</f>
        <v>0</v>
      </c>
      <c r="F17" s="4"/>
      <c r="I17" s="13"/>
      <c r="J17" s="101"/>
      <c r="K17" s="12"/>
      <c r="M17" s="151" t="s">
        <v>99</v>
      </c>
      <c r="N17" s="152">
        <f>LOOKUP(9^9,X28:X40)</f>
        <v>0</v>
      </c>
    </row>
    <row r="18" spans="2:29" x14ac:dyDescent="0.25">
      <c r="B18" s="43"/>
      <c r="C18" s="17"/>
      <c r="D18" s="17"/>
      <c r="E18" s="17"/>
      <c r="F18" s="4"/>
      <c r="I18" s="13"/>
      <c r="J18" s="101"/>
      <c r="K18" s="12"/>
      <c r="M18" s="151" t="s">
        <v>57</v>
      </c>
      <c r="N18" s="152">
        <f>LOOKUP(9^9,AA28:AA42)</f>
        <v>0</v>
      </c>
    </row>
    <row r="19" spans="2:29" x14ac:dyDescent="0.25">
      <c r="B19" s="18" t="s">
        <v>37</v>
      </c>
      <c r="C19" s="19">
        <f>((C17)*100)/J10</f>
        <v>90.06</v>
      </c>
      <c r="D19" s="20">
        <f>((D17)*100)/J10</f>
        <v>90.06</v>
      </c>
      <c r="E19" s="21">
        <f>((E17)*100)/J10</f>
        <v>0</v>
      </c>
      <c r="F19" s="4"/>
      <c r="I19" s="13"/>
      <c r="J19" s="101"/>
      <c r="K19" s="12"/>
      <c r="M19" s="151" t="s">
        <v>58</v>
      </c>
      <c r="N19" s="152">
        <f>LOOKUP(9^9,AC28:AC42)</f>
        <v>0</v>
      </c>
    </row>
    <row r="20" spans="2:29" x14ac:dyDescent="0.25">
      <c r="B20" s="9" t="s">
        <v>38</v>
      </c>
      <c r="C20" s="10">
        <f t="shared" ref="C20:D20" si="0">IF($C$9=0,((C16*1.05)/100),((C16*1.05)-C16)-((($J$8*1.05)-$J$8)-(($C$9*100)/(100+$K$11))))</f>
        <v>299.14999999999998</v>
      </c>
      <c r="D20" s="10">
        <f t="shared" si="0"/>
        <v>299.14999999999998</v>
      </c>
      <c r="E20" s="10">
        <f>IF($C$9=0,((E16*1.05)/100),((E16*1.05)-E16)-((($J$8*1.05)-$J$8)-(($C$9*100)/(100+$K$11))))</f>
        <v>0</v>
      </c>
      <c r="F20" s="4"/>
      <c r="I20" s="13"/>
      <c r="J20" s="101"/>
      <c r="K20" s="12"/>
    </row>
    <row r="21" spans="2:29" x14ac:dyDescent="0.25">
      <c r="B21" s="9" t="s">
        <v>1</v>
      </c>
      <c r="C21" s="10">
        <f>D21+E21</f>
        <v>0</v>
      </c>
      <c r="D21" s="11">
        <v>0</v>
      </c>
      <c r="E21" s="12">
        <v>0</v>
      </c>
      <c r="F21" s="4"/>
      <c r="I21" s="13"/>
      <c r="J21" s="101"/>
      <c r="K21" s="12"/>
    </row>
    <row r="22" spans="2:29" x14ac:dyDescent="0.25">
      <c r="B22" s="9" t="s">
        <v>2</v>
      </c>
      <c r="C22" s="10">
        <f>D22+E22</f>
        <v>0</v>
      </c>
      <c r="D22" s="11">
        <v>0</v>
      </c>
      <c r="E22" s="12">
        <v>0</v>
      </c>
      <c r="F22" s="4"/>
      <c r="I22" s="13"/>
      <c r="J22" s="101"/>
      <c r="K22" s="12"/>
      <c r="S22" s="102"/>
    </row>
    <row r="23" spans="2:29" x14ac:dyDescent="0.25">
      <c r="B23" s="9" t="s">
        <v>29</v>
      </c>
      <c r="C23" s="10">
        <f>D23+E23</f>
        <v>0</v>
      </c>
      <c r="D23" s="11">
        <v>0</v>
      </c>
      <c r="E23" s="12">
        <v>0</v>
      </c>
      <c r="F23" s="4"/>
      <c r="I23" s="13"/>
      <c r="J23" s="101"/>
      <c r="K23" s="12"/>
    </row>
    <row r="24" spans="2:29" x14ac:dyDescent="0.25">
      <c r="B24" s="100" t="s">
        <v>3</v>
      </c>
      <c r="C24" s="14">
        <f>SUM(C20:C23)</f>
        <v>299.14999999999998</v>
      </c>
      <c r="D24" s="15">
        <f>SUM(D20:D23)</f>
        <v>299.14999999999998</v>
      </c>
      <c r="E24" s="16">
        <f>SUM(E20:E23)</f>
        <v>0</v>
      </c>
      <c r="F24" s="4"/>
      <c r="I24" s="66" t="s">
        <v>47</v>
      </c>
      <c r="J24" s="67">
        <f>SUM(J15:J23)</f>
        <v>5982.98</v>
      </c>
      <c r="K24" s="67">
        <f>SUM(K15:K23)</f>
        <v>7179.57</v>
      </c>
      <c r="M24" s="22" t="s">
        <v>28</v>
      </c>
      <c r="S24" s="94" t="s">
        <v>60</v>
      </c>
      <c r="T24" s="94" t="s">
        <v>61</v>
      </c>
      <c r="U24" s="94" t="s">
        <v>62</v>
      </c>
      <c r="V24" s="94" t="s">
        <v>63</v>
      </c>
      <c r="W24" s="94" t="s">
        <v>96</v>
      </c>
      <c r="X24" s="94" t="s">
        <v>97</v>
      </c>
    </row>
    <row r="25" spans="2:29" x14ac:dyDescent="0.25">
      <c r="B25" s="23"/>
      <c r="C25" s="23"/>
      <c r="D25" s="23"/>
      <c r="E25" s="23"/>
      <c r="F25" s="4"/>
      <c r="G25" s="4"/>
      <c r="H25" s="4"/>
      <c r="I25" s="4"/>
      <c r="J25" s="4"/>
      <c r="R25" s="93" t="s">
        <v>59</v>
      </c>
      <c r="S25" s="110" t="s">
        <v>51</v>
      </c>
      <c r="T25" s="111"/>
      <c r="U25" s="133">
        <v>10734.9</v>
      </c>
      <c r="V25" s="134"/>
      <c r="W25" s="135">
        <v>6914.1</v>
      </c>
      <c r="X25" s="134"/>
      <c r="Z25" s="94" t="s">
        <v>64</v>
      </c>
      <c r="AA25" s="94" t="s">
        <v>65</v>
      </c>
      <c r="AB25" s="94" t="s">
        <v>66</v>
      </c>
      <c r="AC25" s="94" t="s">
        <v>67</v>
      </c>
    </row>
    <row r="26" spans="2:29" x14ac:dyDescent="0.25">
      <c r="B26" s="8" t="s">
        <v>74</v>
      </c>
      <c r="C26" s="24">
        <f>D26+E26</f>
        <v>5680</v>
      </c>
      <c r="D26" s="25">
        <v>5680</v>
      </c>
      <c r="E26" s="26">
        <v>0</v>
      </c>
      <c r="F26" s="4"/>
      <c r="G26" s="76" t="s">
        <v>52</v>
      </c>
      <c r="H26" s="122" t="s">
        <v>51</v>
      </c>
      <c r="I26" s="123"/>
      <c r="J26" s="82" t="s">
        <v>53</v>
      </c>
      <c r="K26" s="76" t="s">
        <v>54</v>
      </c>
      <c r="R26" s="59"/>
      <c r="S26" s="138" t="s">
        <v>87</v>
      </c>
      <c r="T26" s="139"/>
      <c r="U26" s="138" t="s">
        <v>95</v>
      </c>
      <c r="V26" s="139"/>
      <c r="W26" s="138" t="s">
        <v>94</v>
      </c>
      <c r="X26" s="139"/>
      <c r="Z26" s="136" t="s">
        <v>55</v>
      </c>
      <c r="AA26" s="137"/>
      <c r="AB26" s="107" t="s">
        <v>56</v>
      </c>
      <c r="AC26" s="104"/>
    </row>
    <row r="27" spans="2:29" ht="15" customHeight="1" x14ac:dyDescent="0.25">
      <c r="B27" s="9" t="s">
        <v>73</v>
      </c>
      <c r="C27" s="10">
        <f>D27+E27</f>
        <v>375</v>
      </c>
      <c r="D27" s="11">
        <v>225</v>
      </c>
      <c r="E27" s="12">
        <v>150</v>
      </c>
      <c r="F27" s="4"/>
      <c r="G27" s="78"/>
      <c r="H27" s="79" t="s">
        <v>16</v>
      </c>
      <c r="I27" s="80" t="s">
        <v>17</v>
      </c>
      <c r="J27" s="81" t="s">
        <v>16</v>
      </c>
      <c r="K27" s="77" t="s">
        <v>16</v>
      </c>
      <c r="R27" s="75" t="s">
        <v>44</v>
      </c>
      <c r="S27" s="85" t="s">
        <v>78</v>
      </c>
      <c r="T27" s="86" t="s">
        <v>70</v>
      </c>
      <c r="U27" s="85" t="s">
        <v>78</v>
      </c>
      <c r="V27" s="87" t="s">
        <v>70</v>
      </c>
      <c r="W27" s="85" t="s">
        <v>78</v>
      </c>
      <c r="X27" s="87" t="s">
        <v>70</v>
      </c>
      <c r="Z27" s="85" t="s">
        <v>78</v>
      </c>
      <c r="AA27" s="86" t="s">
        <v>70</v>
      </c>
      <c r="AB27" s="85" t="s">
        <v>78</v>
      </c>
      <c r="AC27" s="86" t="s">
        <v>70</v>
      </c>
    </row>
    <row r="28" spans="2:29" ht="15" customHeight="1" x14ac:dyDescent="0.25">
      <c r="B28" s="9"/>
      <c r="C28" s="10">
        <v>0</v>
      </c>
      <c r="D28" s="11">
        <v>0</v>
      </c>
      <c r="E28" s="12">
        <v>0</v>
      </c>
      <c r="F28" s="4"/>
      <c r="G28" s="113" t="str">
        <f>IF(S29&gt;0,R28,"")</f>
        <v>01</v>
      </c>
      <c r="H28" s="113">
        <f>IF(S29&lt;&gt;0,SUM(S28,U28,W28),"")</f>
        <v>21702.31</v>
      </c>
      <c r="I28" s="114">
        <f>IF(H28="","",(((T28+V28+X28+AA28+AC28)*$K$11)/100)+T28+V28+X28)</f>
        <v>26042.77</v>
      </c>
      <c r="J28" s="113" t="str">
        <f>IF(Z28=0,"",AA28)</f>
        <v/>
      </c>
      <c r="K28" s="113" t="str">
        <f>IF(AB28=0,"",AC28)</f>
        <v/>
      </c>
      <c r="R28" s="118" t="s">
        <v>23</v>
      </c>
      <c r="S28" s="119">
        <v>21702.31</v>
      </c>
      <c r="T28" s="120">
        <f>S28</f>
        <v>21702.31</v>
      </c>
      <c r="U28" s="119">
        <v>0</v>
      </c>
      <c r="V28" s="120">
        <f>U28</f>
        <v>0</v>
      </c>
      <c r="W28" s="119">
        <v>0</v>
      </c>
      <c r="X28" s="120">
        <f>W28</f>
        <v>0</v>
      </c>
      <c r="Z28" s="108">
        <v>0</v>
      </c>
      <c r="AA28" s="109">
        <f>Z28</f>
        <v>0</v>
      </c>
      <c r="AB28" s="108">
        <v>0</v>
      </c>
      <c r="AC28" s="109">
        <f>AB28</f>
        <v>0</v>
      </c>
    </row>
    <row r="29" spans="2:29" x14ac:dyDescent="0.25">
      <c r="B29" s="9" t="s">
        <v>4</v>
      </c>
      <c r="C29" s="10">
        <f t="shared" ref="C29" si="1">D29+E29</f>
        <v>4500</v>
      </c>
      <c r="D29" s="11">
        <v>4500</v>
      </c>
      <c r="E29" s="12">
        <v>0</v>
      </c>
      <c r="F29" s="4"/>
      <c r="G29" s="113" t="str">
        <f>IF(S30=0,"",R29)</f>
        <v>02</v>
      </c>
      <c r="H29" s="113">
        <f>IF(S30&lt;&gt;0,SUM(T29,V29,X29),"")</f>
        <v>60519.96</v>
      </c>
      <c r="I29" s="114">
        <f>IF(H29="","",(((T29+V29+X29+AA29+AC29)*$K$11)/100)+T29+V29+X29)</f>
        <v>72623.95</v>
      </c>
      <c r="J29" s="113" t="str">
        <f>IF(Z30&lt;&gt;0,Z29,"")</f>
        <v/>
      </c>
      <c r="K29" s="113" t="str">
        <f>IF(AB30&lt;&gt;0,AB29,"")</f>
        <v/>
      </c>
      <c r="M29" s="102"/>
      <c r="R29" s="118" t="s">
        <v>46</v>
      </c>
      <c r="S29" s="119">
        <v>82222.27</v>
      </c>
      <c r="T29" s="120">
        <f>IF(S29="",(""),(S29-S28))</f>
        <v>60519.96</v>
      </c>
      <c r="U29" s="119">
        <v>0</v>
      </c>
      <c r="V29" s="120">
        <f t="shared" ref="V29:V30" si="2">IF(U29="",(0),(U29-U28))</f>
        <v>0</v>
      </c>
      <c r="W29" s="119">
        <v>0</v>
      </c>
      <c r="X29" s="120">
        <f>IF(W29="",(0),(W29-W28))</f>
        <v>0</v>
      </c>
      <c r="Z29" s="108">
        <v>0</v>
      </c>
      <c r="AA29" s="109">
        <f>IF(Z29="",(0),(Z29-Z28))</f>
        <v>0</v>
      </c>
      <c r="AB29" s="108">
        <v>0</v>
      </c>
      <c r="AC29" s="109">
        <f>IF(AB29="",(0),(AB29-AB28))</f>
        <v>0</v>
      </c>
    </row>
    <row r="30" spans="2:29" x14ac:dyDescent="0.25">
      <c r="B30" s="100" t="s">
        <v>14</v>
      </c>
      <c r="C30" s="14">
        <f>SUM(C26:C29)</f>
        <v>10555</v>
      </c>
      <c r="D30" s="15">
        <f>SUM(D26:D29)</f>
        <v>10405</v>
      </c>
      <c r="E30" s="16">
        <f>SUM(E26:E29)</f>
        <v>150</v>
      </c>
      <c r="F30" s="4"/>
      <c r="G30" s="113" t="str">
        <f t="shared" ref="G30:G40" si="3">IF(S31=0,"",R30)</f>
        <v>03</v>
      </c>
      <c r="H30" s="113">
        <f>IF(S31&lt;&gt;0,SUM(T30,V30,X30),"")</f>
        <v>49756.71</v>
      </c>
      <c r="I30" s="114">
        <f>IF(H30="","",(((T30+V30+X30+AA30+AC30)*$K$11)/100)+T30+V30+X30)</f>
        <v>59708.05</v>
      </c>
      <c r="J30" s="115"/>
      <c r="K30" s="116"/>
      <c r="O30" s="102"/>
      <c r="R30" s="118" t="s">
        <v>45</v>
      </c>
      <c r="S30" s="119">
        <v>131978.98000000001</v>
      </c>
      <c r="T30" s="120">
        <f>IF(S30="","",(S30-S29))</f>
        <v>49756.71</v>
      </c>
      <c r="U30" s="119"/>
      <c r="V30" s="120">
        <f t="shared" si="2"/>
        <v>0</v>
      </c>
      <c r="W30" s="119">
        <v>0</v>
      </c>
      <c r="X30" s="120">
        <f>IF(W30="",(0),(W30-W29))</f>
        <v>0</v>
      </c>
      <c r="Z30" s="108"/>
      <c r="AA30" s="109">
        <f t="shared" ref="AA30:AA42" si="4">IF(Z30="",(0),(Z30-Z29))</f>
        <v>0</v>
      </c>
      <c r="AB30" s="108"/>
      <c r="AC30" s="109">
        <f t="shared" ref="AC30:AC42" si="5">IF(AB30="",(0),(AB30-AB29))</f>
        <v>0</v>
      </c>
    </row>
    <row r="31" spans="2:29" ht="15" customHeight="1" x14ac:dyDescent="0.3">
      <c r="B31" s="23"/>
      <c r="C31" s="23"/>
      <c r="D31" s="23"/>
      <c r="E31" s="23"/>
      <c r="F31" s="4"/>
      <c r="G31" s="113" t="str">
        <f t="shared" si="3"/>
        <v>04</v>
      </c>
      <c r="H31" s="113">
        <f>IF(S32&lt;&gt;0,SUM(T31,V31,X31),"")</f>
        <v>3629.76</v>
      </c>
      <c r="I31" s="114">
        <f>IF(H31="","",(((T31+V31+X31+AA31+AC31)*$K$11)/100)+T31+V31+X31)</f>
        <v>4355.71</v>
      </c>
      <c r="J31" s="81"/>
      <c r="K31" s="117"/>
      <c r="M31" s="140"/>
      <c r="N31" s="102"/>
      <c r="R31" s="118" t="s">
        <v>50</v>
      </c>
      <c r="S31" s="119">
        <v>131978.98000000001</v>
      </c>
      <c r="T31" s="120">
        <f t="shared" ref="T31:T42" si="6">IF(S31="","",(S31-S30))</f>
        <v>0</v>
      </c>
      <c r="U31" s="119">
        <v>3629.76</v>
      </c>
      <c r="V31" s="120">
        <f>IF(U31="",(0),(U31-U30))</f>
        <v>3629.76</v>
      </c>
      <c r="W31" s="119">
        <v>0</v>
      </c>
      <c r="X31" s="120">
        <f>IF(W31="",(0),(W31-W30))</f>
        <v>0</v>
      </c>
      <c r="Z31" s="108"/>
      <c r="AA31" s="109">
        <f t="shared" si="4"/>
        <v>0</v>
      </c>
      <c r="AB31" s="108"/>
      <c r="AC31" s="109">
        <f t="shared" si="5"/>
        <v>0</v>
      </c>
    </row>
    <row r="32" spans="2:29" x14ac:dyDescent="0.25">
      <c r="B32" s="18" t="s">
        <v>5</v>
      </c>
      <c r="C32" s="27"/>
      <c r="D32" s="28"/>
      <c r="E32" s="29"/>
      <c r="F32" s="4"/>
      <c r="G32" s="113" t="str">
        <f t="shared" si="3"/>
        <v>05</v>
      </c>
      <c r="H32" s="113">
        <f>IF(S33&lt;&gt;0,SUM(T32,V32,X32),"")</f>
        <v>18430.82</v>
      </c>
      <c r="I32" s="114">
        <f>IF(H32="","",(((T32+V32+X32+AA32+AC32)*$K$11)/100)+T32+V32+X32)</f>
        <v>22116.98</v>
      </c>
      <c r="J32" s="81"/>
      <c r="K32" s="117"/>
      <c r="N32" s="102"/>
      <c r="R32" s="118" t="s">
        <v>71</v>
      </c>
      <c r="S32" s="119">
        <f>S31+18430.82</f>
        <v>150409.79999999999</v>
      </c>
      <c r="T32" s="120">
        <f t="shared" si="6"/>
        <v>18430.82</v>
      </c>
      <c r="U32" s="119">
        <v>3629.76</v>
      </c>
      <c r="V32" s="120">
        <f t="shared" ref="V32:V42" si="7">IF(U32="",(0),(U32-U31))</f>
        <v>0</v>
      </c>
      <c r="W32" s="119">
        <v>0</v>
      </c>
      <c r="X32" s="120">
        <f>IF(W32="",(0),(W32-W31))</f>
        <v>0</v>
      </c>
      <c r="Z32" s="108"/>
      <c r="AA32" s="109">
        <f t="shared" si="4"/>
        <v>0</v>
      </c>
      <c r="AB32" s="108"/>
      <c r="AC32" s="109">
        <f t="shared" si="5"/>
        <v>0</v>
      </c>
    </row>
    <row r="33" spans="2:29" x14ac:dyDescent="0.25">
      <c r="B33" s="9" t="s">
        <v>69</v>
      </c>
      <c r="C33" s="30">
        <f>N18</f>
        <v>0</v>
      </c>
      <c r="D33" s="31">
        <f>J43</f>
        <v>0</v>
      </c>
      <c r="E33" s="32">
        <f>C33-D33</f>
        <v>0</v>
      </c>
      <c r="F33" s="4"/>
      <c r="G33" s="113" t="str">
        <f t="shared" si="3"/>
        <v/>
      </c>
      <c r="H33" s="113" t="str">
        <f>IF(S34&lt;&gt;0,SUM(T33,V33,X33),"")</f>
        <v/>
      </c>
      <c r="I33" s="114" t="str">
        <f>IF(H33="","",(((T33+V33+X33+AA33+AC33)*$K$11)/100)+T33+V33+X33)</f>
        <v/>
      </c>
      <c r="J33" s="81"/>
      <c r="K33" s="117"/>
      <c r="N33" s="102"/>
      <c r="R33" s="118" t="s">
        <v>72</v>
      </c>
      <c r="S33" s="119">
        <f>S32</f>
        <v>150409.79999999999</v>
      </c>
      <c r="T33" s="120">
        <f t="shared" si="6"/>
        <v>0</v>
      </c>
      <c r="U33" s="119">
        <f>U32</f>
        <v>3629.76</v>
      </c>
      <c r="V33" s="120">
        <f t="shared" si="7"/>
        <v>0</v>
      </c>
      <c r="W33" s="119">
        <v>2353.2199999999998</v>
      </c>
      <c r="X33" s="120">
        <f>IF(W33="",(0),(W33-W32))</f>
        <v>2353.2199999999998</v>
      </c>
      <c r="Z33" s="108"/>
      <c r="AA33" s="109">
        <f t="shared" si="4"/>
        <v>0</v>
      </c>
      <c r="AB33" s="108"/>
      <c r="AC33" s="109">
        <f t="shared" si="5"/>
        <v>0</v>
      </c>
    </row>
    <row r="34" spans="2:29" x14ac:dyDescent="0.25">
      <c r="B34" s="9" t="s">
        <v>24</v>
      </c>
      <c r="C34" s="30">
        <f>N19</f>
        <v>0</v>
      </c>
      <c r="D34" s="31">
        <f>K43</f>
        <v>0</v>
      </c>
      <c r="E34" s="32">
        <f>C34-D34</f>
        <v>0</v>
      </c>
      <c r="F34" s="4"/>
      <c r="G34" s="113" t="str">
        <f t="shared" si="3"/>
        <v/>
      </c>
      <c r="H34" s="113" t="str">
        <f>IF(S35&lt;&gt;0,SUM(T34,V34,X34),"")</f>
        <v/>
      </c>
      <c r="I34" s="114" t="str">
        <f>IF(H34="","",(((T34+V34+X34+AA34+AC34)*$K$11)/100)+T34+V34+X34)</f>
        <v/>
      </c>
      <c r="J34" s="81"/>
      <c r="K34" s="117"/>
      <c r="M34" s="102"/>
      <c r="N34" s="102"/>
      <c r="R34" s="118" t="s">
        <v>79</v>
      </c>
      <c r="S34" s="119"/>
      <c r="T34" s="120" t="str">
        <f t="shared" si="6"/>
        <v/>
      </c>
      <c r="U34" s="119"/>
      <c r="V34" s="120">
        <f t="shared" si="7"/>
        <v>0</v>
      </c>
      <c r="W34" s="119"/>
      <c r="X34" s="120">
        <f>IF(W34="",(0),(W34-W33))</f>
        <v>0</v>
      </c>
      <c r="Z34" s="108"/>
      <c r="AA34" s="109">
        <f t="shared" si="4"/>
        <v>0</v>
      </c>
      <c r="AB34" s="108"/>
      <c r="AC34" s="109">
        <f t="shared" si="5"/>
        <v>0</v>
      </c>
    </row>
    <row r="35" spans="2:29" x14ac:dyDescent="0.25">
      <c r="B35" s="99" t="s">
        <v>43</v>
      </c>
      <c r="C35" s="14">
        <f>SUM(C33:C34)</f>
        <v>0</v>
      </c>
      <c r="D35" s="15">
        <f>SUM(D33:D34)</f>
        <v>0</v>
      </c>
      <c r="E35" s="49">
        <f>SUM(E33:E34)</f>
        <v>0</v>
      </c>
      <c r="F35" s="4"/>
      <c r="G35" s="113" t="str">
        <f t="shared" si="3"/>
        <v/>
      </c>
      <c r="H35" s="113" t="str">
        <f>IF(S36&lt;&gt;0,SUM(T35,V35,X35),"")</f>
        <v/>
      </c>
      <c r="I35" s="114" t="str">
        <f>IF(H35="","",(((T35+V35+X35+AA35+AC35)*$K$11)/100)+T35+V35+X35)</f>
        <v/>
      </c>
      <c r="J35" s="81"/>
      <c r="K35" s="117"/>
      <c r="M35" s="102"/>
      <c r="N35" s="102"/>
      <c r="R35" s="118" t="s">
        <v>81</v>
      </c>
      <c r="S35" s="119"/>
      <c r="T35" s="120" t="str">
        <f t="shared" si="6"/>
        <v/>
      </c>
      <c r="U35" s="119"/>
      <c r="V35" s="120">
        <f t="shared" si="7"/>
        <v>0</v>
      </c>
      <c r="W35" s="119"/>
      <c r="X35" s="120">
        <f>IF(W35="",(0),(W35-W34))</f>
        <v>0</v>
      </c>
      <c r="Z35" s="108"/>
      <c r="AA35" s="109">
        <f t="shared" si="4"/>
        <v>0</v>
      </c>
      <c r="AB35" s="108"/>
      <c r="AC35" s="109">
        <f t="shared" si="5"/>
        <v>0</v>
      </c>
    </row>
    <row r="36" spans="2:29" x14ac:dyDescent="0.25">
      <c r="G36" s="113" t="str">
        <f t="shared" si="3"/>
        <v/>
      </c>
      <c r="H36" s="113" t="str">
        <f>IF(S37&lt;&gt;0,SUM(T36,V36,X36),"")</f>
        <v/>
      </c>
      <c r="I36" s="114" t="str">
        <f>IF(H36="","",(((T36+V36+X36+AA36+AC36)*$K$11)/100)+T36+V36+X36)</f>
        <v/>
      </c>
      <c r="J36" s="81"/>
      <c r="K36" s="117"/>
      <c r="R36" s="118" t="s">
        <v>82</v>
      </c>
      <c r="S36" s="119"/>
      <c r="T36" s="120" t="str">
        <f t="shared" si="6"/>
        <v/>
      </c>
      <c r="U36" s="119"/>
      <c r="V36" s="120">
        <f t="shared" si="7"/>
        <v>0</v>
      </c>
      <c r="W36" s="119"/>
      <c r="X36" s="120">
        <f>IF(W36="",(0),(W36-W35))</f>
        <v>0</v>
      </c>
      <c r="Z36" s="108"/>
      <c r="AA36" s="109">
        <f t="shared" si="4"/>
        <v>0</v>
      </c>
      <c r="AB36" s="108"/>
      <c r="AC36" s="109">
        <f t="shared" si="5"/>
        <v>0</v>
      </c>
    </row>
    <row r="37" spans="2:29" x14ac:dyDescent="0.25">
      <c r="B37" s="69" t="s">
        <v>6</v>
      </c>
      <c r="C37" s="70">
        <f>C17-(C24+C30)-C35</f>
        <v>145538.63</v>
      </c>
      <c r="D37" s="71">
        <f>D17-(D24+D30)-D35</f>
        <v>145688.63</v>
      </c>
      <c r="E37" s="72">
        <f>E17-(E24+E30)-E35</f>
        <v>-150</v>
      </c>
      <c r="F37" s="4"/>
      <c r="G37" s="113" t="str">
        <f t="shared" si="3"/>
        <v/>
      </c>
      <c r="H37" s="113" t="str">
        <f>IF(S38&lt;&gt;0,SUM(T37,V37,X37),"")</f>
        <v/>
      </c>
      <c r="I37" s="114" t="str">
        <f>IF(H37="","",(((T37+V37+X37+AA37+AC37)*$K$11)/100)+T37+V37+X37)</f>
        <v/>
      </c>
      <c r="J37" s="81"/>
      <c r="K37" s="117"/>
      <c r="R37" s="118" t="s">
        <v>83</v>
      </c>
      <c r="S37" s="119"/>
      <c r="T37" s="120" t="str">
        <f t="shared" si="6"/>
        <v/>
      </c>
      <c r="U37" s="119"/>
      <c r="V37" s="120">
        <f t="shared" si="7"/>
        <v>0</v>
      </c>
      <c r="W37" s="119"/>
      <c r="X37" s="120">
        <f>IF(W37="",(0),(W37-W36))</f>
        <v>0</v>
      </c>
      <c r="Z37" s="108"/>
      <c r="AA37" s="109">
        <f t="shared" si="4"/>
        <v>0</v>
      </c>
      <c r="AB37" s="108"/>
      <c r="AC37" s="109">
        <f t="shared" si="5"/>
        <v>0</v>
      </c>
    </row>
    <row r="38" spans="2:29" x14ac:dyDescent="0.25">
      <c r="B38" s="9" t="s">
        <v>48</v>
      </c>
      <c r="C38" s="10">
        <f>(C37*K11)/100</f>
        <v>29107.73</v>
      </c>
      <c r="D38" s="10">
        <f>(D37*K11)/100</f>
        <v>29137.73</v>
      </c>
      <c r="E38" s="26">
        <f>(E37*K11)/100</f>
        <v>-30</v>
      </c>
      <c r="F38" s="4"/>
      <c r="G38" s="113" t="str">
        <f t="shared" si="3"/>
        <v/>
      </c>
      <c r="H38" s="113" t="str">
        <f>IF(S39&lt;&gt;0,SUM(T38,V38,X38),"")</f>
        <v/>
      </c>
      <c r="I38" s="114" t="str">
        <f>IF(H38="","",(((T38+V38+X38+AA38+AC38)*$K$11)/100)+T38+V38+X38)</f>
        <v/>
      </c>
      <c r="J38" s="81"/>
      <c r="K38" s="117"/>
      <c r="R38" s="118" t="s">
        <v>84</v>
      </c>
      <c r="S38" s="119"/>
      <c r="T38" s="120" t="str">
        <f t="shared" si="6"/>
        <v/>
      </c>
      <c r="U38" s="119"/>
      <c r="V38" s="120">
        <f t="shared" si="7"/>
        <v>0</v>
      </c>
      <c r="W38" s="119"/>
      <c r="X38" s="120">
        <f>IF(W38="",(0),(W38-W37))</f>
        <v>0</v>
      </c>
      <c r="Z38" s="108"/>
      <c r="AA38" s="109">
        <f t="shared" si="4"/>
        <v>0</v>
      </c>
      <c r="AB38" s="108"/>
      <c r="AC38" s="109">
        <f t="shared" si="5"/>
        <v>0</v>
      </c>
    </row>
    <row r="39" spans="2:29" x14ac:dyDescent="0.25">
      <c r="B39" s="33" t="s">
        <v>22</v>
      </c>
      <c r="C39" s="10">
        <f>(C35*K11)/100</f>
        <v>0</v>
      </c>
      <c r="D39" s="10">
        <f>(D35*K11)/100</f>
        <v>0</v>
      </c>
      <c r="E39" s="12">
        <f>(E35*K11)/100</f>
        <v>0</v>
      </c>
      <c r="F39" s="4"/>
      <c r="G39" s="113" t="str">
        <f t="shared" si="3"/>
        <v/>
      </c>
      <c r="H39" s="113" t="str">
        <f>IF(S40&lt;&gt;0,SUM(T39,V39,X39),"")</f>
        <v/>
      </c>
      <c r="I39" s="114" t="str">
        <f>IF(H39="","",(((T39+V39+X39+AA39+AC39)*$K$11)/100)+T39+V39+X39)</f>
        <v/>
      </c>
      <c r="J39" s="81"/>
      <c r="K39" s="117"/>
      <c r="M39" s="106"/>
      <c r="R39" s="118" t="s">
        <v>85</v>
      </c>
      <c r="S39" s="119"/>
      <c r="T39" s="120" t="str">
        <f t="shared" si="6"/>
        <v/>
      </c>
      <c r="U39" s="119"/>
      <c r="V39" s="120">
        <f t="shared" si="7"/>
        <v>0</v>
      </c>
      <c r="W39" s="119"/>
      <c r="X39" s="120">
        <f>IF(W39="",(0),(W39-W38))</f>
        <v>0</v>
      </c>
      <c r="Z39" s="108"/>
      <c r="AA39" s="109">
        <f t="shared" si="4"/>
        <v>0</v>
      </c>
      <c r="AB39" s="108"/>
      <c r="AC39" s="109">
        <f t="shared" si="5"/>
        <v>0</v>
      </c>
    </row>
    <row r="40" spans="2:29" x14ac:dyDescent="0.25">
      <c r="B40" s="95" t="s">
        <v>7</v>
      </c>
      <c r="C40" s="96">
        <f t="shared" ref="C40:D40" si="8">C38+C39</f>
        <v>29107.73</v>
      </c>
      <c r="D40" s="97">
        <f t="shared" si="8"/>
        <v>29137.73</v>
      </c>
      <c r="E40" s="98">
        <f>E38+E39</f>
        <v>-30</v>
      </c>
      <c r="F40" s="4"/>
      <c r="G40" s="113" t="str">
        <f t="shared" si="3"/>
        <v/>
      </c>
      <c r="H40" s="113" t="str">
        <f>IF(S41&lt;&gt;0,SUM(T40,V40,X40),"")</f>
        <v/>
      </c>
      <c r="I40" s="114" t="str">
        <f>IF(H40="","",(((T40+V40+X40+AA40+AC40)*$K$11)/100)+T40+V40+X40)</f>
        <v/>
      </c>
      <c r="J40" s="81"/>
      <c r="K40" s="117"/>
      <c r="R40" s="118" t="s">
        <v>86</v>
      </c>
      <c r="S40" s="119"/>
      <c r="T40" s="120" t="str">
        <f t="shared" si="6"/>
        <v/>
      </c>
      <c r="U40" s="119"/>
      <c r="V40" s="120">
        <f t="shared" si="7"/>
        <v>0</v>
      </c>
      <c r="W40" s="119"/>
      <c r="X40" s="120">
        <f>IF(W40="",(0),(W40-W39))</f>
        <v>0</v>
      </c>
      <c r="Z40" s="108"/>
      <c r="AA40" s="109">
        <f t="shared" si="4"/>
        <v>0</v>
      </c>
      <c r="AB40" s="108"/>
      <c r="AC40" s="109">
        <f t="shared" si="5"/>
        <v>0</v>
      </c>
    </row>
    <row r="41" spans="2:29" x14ac:dyDescent="0.25">
      <c r="B41" s="99" t="s">
        <v>30</v>
      </c>
      <c r="C41" s="14">
        <f>C37+C38+C39</f>
        <v>174646.36</v>
      </c>
      <c r="D41" s="15">
        <f>D37+D38+D39</f>
        <v>174826.36</v>
      </c>
      <c r="E41" s="49">
        <f>E37+E38+E39</f>
        <v>-180</v>
      </c>
      <c r="F41" s="4"/>
      <c r="G41" s="113"/>
      <c r="H41" s="113" t="str">
        <f>IF(S42&lt;&gt;0,SUM(T41,V41,X41),"")</f>
        <v/>
      </c>
      <c r="I41" s="114"/>
      <c r="J41" s="81"/>
      <c r="K41" s="117"/>
      <c r="R41" s="112"/>
      <c r="S41" s="121"/>
      <c r="T41" s="120" t="str">
        <f t="shared" si="6"/>
        <v/>
      </c>
      <c r="U41" s="121"/>
      <c r="V41" s="120">
        <f t="shared" si="7"/>
        <v>0</v>
      </c>
      <c r="W41" s="121"/>
      <c r="X41" s="120">
        <f>IF(W41="",(0),(W41-W40))</f>
        <v>0</v>
      </c>
      <c r="Z41" s="108"/>
      <c r="AA41" s="109">
        <f t="shared" si="4"/>
        <v>0</v>
      </c>
      <c r="AB41" s="108"/>
      <c r="AC41" s="109">
        <f t="shared" si="5"/>
        <v>0</v>
      </c>
    </row>
    <row r="42" spans="2:29" x14ac:dyDescent="0.25">
      <c r="G42" s="113"/>
      <c r="H42" s="113" t="str">
        <f>IF(S43&lt;&gt;0,SUM(T42,V42,X42),"")</f>
        <v/>
      </c>
      <c r="I42" s="114"/>
      <c r="J42" s="81"/>
      <c r="K42" s="117"/>
      <c r="R42" s="112"/>
      <c r="S42" s="121"/>
      <c r="T42" s="120" t="str">
        <f t="shared" si="6"/>
        <v/>
      </c>
      <c r="U42" s="121"/>
      <c r="V42" s="120">
        <f t="shared" si="7"/>
        <v>0</v>
      </c>
      <c r="W42" s="121"/>
      <c r="X42" s="120">
        <f>IF(W42="",(0),(W42-W41))</f>
        <v>0</v>
      </c>
      <c r="Z42" s="108"/>
      <c r="AA42" s="109">
        <f t="shared" si="4"/>
        <v>0</v>
      </c>
      <c r="AB42" s="108"/>
      <c r="AC42" s="109">
        <f t="shared" si="5"/>
        <v>0</v>
      </c>
    </row>
    <row r="43" spans="2:29" x14ac:dyDescent="0.25">
      <c r="B43" s="55" t="s">
        <v>8</v>
      </c>
      <c r="C43" s="35">
        <f>C35+C41</f>
        <v>174646.36</v>
      </c>
      <c r="D43" s="36">
        <f>D35+D41</f>
        <v>174826.36</v>
      </c>
      <c r="E43" s="50">
        <f>E35+E41</f>
        <v>-180</v>
      </c>
      <c r="F43" s="4"/>
      <c r="G43" s="51"/>
      <c r="H43" s="88">
        <f>SUM(H28:H42)</f>
        <v>154039.56</v>
      </c>
      <c r="I43" s="88">
        <f t="shared" ref="I43:K43" si="9">SUM(I28:I42)</f>
        <v>184847.46</v>
      </c>
      <c r="J43" s="88">
        <f t="shared" si="9"/>
        <v>0</v>
      </c>
      <c r="K43" s="53">
        <f t="shared" si="9"/>
        <v>0</v>
      </c>
      <c r="R43" s="83" t="s">
        <v>9</v>
      </c>
      <c r="S43" s="84"/>
      <c r="T43" s="52">
        <f>SUM(T28:T42)</f>
        <v>150409.79999999999</v>
      </c>
      <c r="U43" s="103"/>
      <c r="V43" s="105">
        <f>SUM(V28:V42)</f>
        <v>3629.76</v>
      </c>
      <c r="W43" s="103"/>
      <c r="X43" s="105">
        <f>SUM(X28:X42)</f>
        <v>2353.2199999999998</v>
      </c>
      <c r="Z43" s="84"/>
      <c r="AA43" s="52">
        <f>SUM(AA28:AA42)</f>
        <v>0</v>
      </c>
      <c r="AB43" s="84"/>
      <c r="AC43" s="52">
        <f>SUM(AC28:AC42)</f>
        <v>0</v>
      </c>
    </row>
    <row r="44" spans="2:29" x14ac:dyDescent="0.25">
      <c r="H44" s="4"/>
      <c r="I44" s="4"/>
      <c r="J44" s="4"/>
      <c r="K44" s="4"/>
    </row>
    <row r="45" spans="2:29" x14ac:dyDescent="0.25">
      <c r="B45" s="59" t="s">
        <v>31</v>
      </c>
      <c r="C45" s="60" t="s">
        <v>32</v>
      </c>
      <c r="D45" s="61" t="s">
        <v>33</v>
      </c>
      <c r="E45" s="62" t="s">
        <v>34</v>
      </c>
      <c r="F45" s="4"/>
      <c r="H45" s="4"/>
      <c r="I45" s="4"/>
      <c r="J45" s="4"/>
      <c r="K45" s="4"/>
    </row>
    <row r="46" spans="2:29" x14ac:dyDescent="0.25">
      <c r="B46" s="34" t="s">
        <v>35</v>
      </c>
      <c r="C46" s="37"/>
      <c r="D46" s="38"/>
      <c r="E46" s="32"/>
      <c r="F46" s="4"/>
    </row>
    <row r="47" spans="2:29" x14ac:dyDescent="0.25">
      <c r="B47" s="9" t="s">
        <v>69</v>
      </c>
      <c r="C47" s="37">
        <v>0</v>
      </c>
      <c r="D47" s="38">
        <f>J43</f>
        <v>0</v>
      </c>
      <c r="E47" s="39">
        <f>C47-D47</f>
        <v>0</v>
      </c>
      <c r="F47" s="4"/>
      <c r="M47" s="106"/>
    </row>
    <row r="48" spans="2:29" x14ac:dyDescent="0.25">
      <c r="B48" s="34" t="s">
        <v>36</v>
      </c>
      <c r="C48" s="37"/>
      <c r="D48" s="38"/>
      <c r="E48" s="39"/>
      <c r="F48" s="4"/>
      <c r="G48" s="4"/>
      <c r="H48" s="4"/>
      <c r="I48" s="4"/>
      <c r="J48" s="4"/>
    </row>
    <row r="49" spans="2:16" x14ac:dyDescent="0.25">
      <c r="B49" s="9" t="s">
        <v>24</v>
      </c>
      <c r="C49" s="37">
        <v>0</v>
      </c>
      <c r="D49" s="38">
        <f>K43</f>
        <v>0</v>
      </c>
      <c r="E49" s="39">
        <f>C49-D49</f>
        <v>0</v>
      </c>
      <c r="F49" s="4"/>
      <c r="G49" s="4"/>
      <c r="H49" s="4"/>
      <c r="I49" s="4"/>
      <c r="J49" s="4"/>
    </row>
    <row r="50" spans="2:16" x14ac:dyDescent="0.25">
      <c r="B50" s="42" t="s">
        <v>9</v>
      </c>
      <c r="C50" s="14">
        <f>SUM(C46:C49)</f>
        <v>0</v>
      </c>
      <c r="D50" s="15">
        <f>SUM(D46:D49)</f>
        <v>0</v>
      </c>
      <c r="E50" s="16">
        <f>SUM(E46:E49)</f>
        <v>0</v>
      </c>
      <c r="F50" s="4"/>
      <c r="G50" s="4"/>
      <c r="H50" s="4"/>
      <c r="I50" s="4"/>
      <c r="J50" s="4"/>
    </row>
    <row r="51" spans="2:16" x14ac:dyDescent="0.25">
      <c r="B51" s="4"/>
      <c r="C51" s="4"/>
      <c r="D51" s="4"/>
      <c r="E51" s="4"/>
      <c r="F51" s="4"/>
      <c r="G51" s="4"/>
      <c r="H51" s="4"/>
      <c r="I51" s="4"/>
      <c r="J51" s="4"/>
    </row>
    <row r="52" spans="2:16" x14ac:dyDescent="0.25">
      <c r="B52" s="89"/>
      <c r="E52" s="90"/>
      <c r="F52" s="4"/>
      <c r="I52" s="91"/>
      <c r="J52" s="124"/>
      <c r="K52" s="124"/>
      <c r="N52" s="106"/>
      <c r="P52" s="106"/>
    </row>
    <row r="53" spans="2:16" x14ac:dyDescent="0.25">
      <c r="B53" s="4"/>
      <c r="C53" s="4"/>
      <c r="D53" s="4"/>
      <c r="E53" s="4"/>
      <c r="F53" s="4"/>
      <c r="G53" s="4"/>
      <c r="H53" s="4"/>
      <c r="I53" s="4"/>
      <c r="J53" s="4"/>
      <c r="M53" s="106"/>
    </row>
    <row r="56" spans="2:16" x14ac:dyDescent="0.25">
      <c r="M56" s="106"/>
    </row>
    <row r="64" spans="2:16" x14ac:dyDescent="0.25">
      <c r="H64" s="106"/>
    </row>
    <row r="67" spans="8:8" x14ac:dyDescent="0.25">
      <c r="H67" s="106"/>
    </row>
  </sheetData>
  <mergeCells count="23">
    <mergeCell ref="G10:I10"/>
    <mergeCell ref="J10:K10"/>
    <mergeCell ref="U25:V25"/>
    <mergeCell ref="W25:X25"/>
    <mergeCell ref="Z26:AA26"/>
    <mergeCell ref="S26:T26"/>
    <mergeCell ref="U26:V26"/>
    <mergeCell ref="W26:X26"/>
    <mergeCell ref="G8:I8"/>
    <mergeCell ref="J8:K8"/>
    <mergeCell ref="J7:K7"/>
    <mergeCell ref="G9:I9"/>
    <mergeCell ref="J9:K9"/>
    <mergeCell ref="G3:J4"/>
    <mergeCell ref="C4:E4"/>
    <mergeCell ref="C5:D5"/>
    <mergeCell ref="G6:I6"/>
    <mergeCell ref="G7:I7"/>
    <mergeCell ref="H26:I26"/>
    <mergeCell ref="J52:K52"/>
    <mergeCell ref="G11:I11"/>
    <mergeCell ref="C13:E13"/>
    <mergeCell ref="I13:K13"/>
  </mergeCells>
  <printOptions horizontalCentered="1"/>
  <pageMargins left="0.11811023622047245" right="0.11811023622047245" top="2.1653543307086616" bottom="1.3779527559055118" header="0.31496062992125984" footer="0.31496062992125984"/>
  <pageSetup paperSize="9" scale="78" orientation="portrait" r:id="rId1"/>
  <headerFooter>
    <oddFooter>&amp;C&amp;"FuturaTLig,Normal"&amp;8Les Villas de la Boiseraie - Situation
&amp;"FuturaTDem,Normal"Jacques Rochery Architecte
&amp;R&amp;"FuturaTLig,Normal"&amp;8Indice 0</oddFooter>
  </headerFooter>
  <ignoredErrors>
    <ignoredError sqref="R28:R40" numberStoredAsText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LOT 04</vt:lpstr>
      <vt:lpstr>Feuil1</vt:lpstr>
      <vt:lpstr>'LOT 04'!Zone_d_impression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TESSAROTTO Laurence</dc:creator>
  <cp:lastModifiedBy>jrochery</cp:lastModifiedBy>
  <cp:lastPrinted>2016-07-23T19:56:34Z</cp:lastPrinted>
  <dcterms:created xsi:type="dcterms:W3CDTF">2015-07-10T09:24:23Z</dcterms:created>
  <dcterms:modified xsi:type="dcterms:W3CDTF">2016-07-24T16:21:54Z</dcterms:modified>
</cp:coreProperties>
</file>