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serge\informatique programmation\"/>
    </mc:Choice>
  </mc:AlternateContent>
  <bookViews>
    <workbookView xWindow="0" yWindow="0" windowWidth="25095" windowHeight="11970" firstSheet="2" activeTab="3"/>
  </bookViews>
  <sheets>
    <sheet name="2015" sheetId="1" state="hidden" r:id="rId1"/>
    <sheet name="2016" sheetId="2" state="hidden" r:id="rId2"/>
    <sheet name="2017" sheetId="5" r:id="rId3"/>
    <sheet name="2018" sheetId="6" r:id="rId4"/>
    <sheet name="Feuil1" sheetId="8" state="hidden" r:id="rId5"/>
    <sheet name="Gendarmerie" sheetId="4" state="hidden" r:id="rId6"/>
    <sheet name="Stat départements" sheetId="3" state="hidden" r:id="rId7"/>
    <sheet name="Membres Bureau" sheetId="7" state="hidden" r:id="rId8"/>
  </sheets>
  <definedNames>
    <definedName name="_xlnm._FilterDatabase" localSheetId="3" hidden="1">'2018'!$A$15:$W$46</definedName>
    <definedName name="_xlnm.Criteria" localSheetId="3">'2018'!$A$7:$M$8</definedName>
    <definedName name="_xlnm.Print_Area" localSheetId="0">'2015'!$A$1:$P$47</definedName>
    <definedName name="_xlnm.Print_Area" localSheetId="1">'2016'!$A$1:$V$51</definedName>
    <definedName name="_xlnm.Print_Area" localSheetId="2">'2017'!$A$1:$V$47</definedName>
    <definedName name="_xlnm.Print_Area" localSheetId="3">'2018'!$A$1:$W$46</definedName>
    <definedName name="_xlnm.Print_Area" localSheetId="7">'Membres Bureau'!$A$1:$H$11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5" i="6" l="1"/>
  <c r="K56" i="6"/>
  <c r="J11" i="6" l="1"/>
  <c r="K51" i="6" l="1"/>
  <c r="M47" i="6" l="1"/>
  <c r="K49" i="6" l="1"/>
  <c r="K53" i="6" l="1"/>
  <c r="M49" i="6" l="1"/>
  <c r="G4" i="3" l="1"/>
  <c r="E18" i="3"/>
  <c r="E17" i="3"/>
  <c r="E16" i="3"/>
  <c r="E15" i="3"/>
  <c r="E14" i="3"/>
  <c r="E13" i="3"/>
  <c r="E12" i="3"/>
  <c r="E11" i="3"/>
  <c r="E10" i="3"/>
  <c r="E9" i="3"/>
  <c r="E8" i="3"/>
  <c r="E7" i="3"/>
  <c r="B9" i="3"/>
  <c r="E6" i="3"/>
  <c r="E20" i="3" l="1"/>
  <c r="B8" i="3"/>
  <c r="B7" i="3"/>
  <c r="I48" i="6"/>
  <c r="V47" i="6"/>
  <c r="M55" i="6"/>
  <c r="T52" i="6"/>
  <c r="K52" i="6"/>
  <c r="P51" i="6"/>
  <c r="O51" i="6"/>
  <c r="P50" i="6"/>
  <c r="O50" i="6"/>
  <c r="K50" i="6"/>
  <c r="T49" i="6"/>
  <c r="P49" i="6"/>
  <c r="O49" i="6"/>
  <c r="T48" i="6"/>
  <c r="M48" i="6"/>
  <c r="J48" i="6"/>
  <c r="R47" i="6"/>
  <c r="Q47" i="6"/>
  <c r="I47" i="6"/>
  <c r="M53" i="6" l="1"/>
  <c r="S50" i="6"/>
  <c r="N49" i="6"/>
  <c r="R48" i="6"/>
  <c r="K48" i="6"/>
  <c r="K47" i="6"/>
  <c r="B18" i="3" l="1"/>
  <c r="B17" i="3"/>
  <c r="B16" i="3"/>
  <c r="B15" i="3"/>
  <c r="B14" i="3"/>
  <c r="B13" i="3"/>
  <c r="B12" i="3"/>
  <c r="B11" i="3"/>
  <c r="B10" i="3"/>
  <c r="B6" i="3"/>
  <c r="C4" i="3"/>
  <c r="K39" i="5" l="1"/>
  <c r="C35" i="5" l="1"/>
  <c r="M37" i="5" l="1"/>
  <c r="K36" i="5" l="1"/>
  <c r="K35" i="5" l="1"/>
  <c r="A38" i="4" l="1"/>
  <c r="E47" i="5" l="1"/>
  <c r="K44" i="5"/>
  <c r="M43" i="5"/>
  <c r="K43" i="5"/>
  <c r="E43" i="5"/>
  <c r="M41" i="5"/>
  <c r="K41" i="5"/>
  <c r="T40" i="5"/>
  <c r="K40" i="5"/>
  <c r="P39" i="5"/>
  <c r="O39" i="5"/>
  <c r="S38" i="5"/>
  <c r="P38" i="5"/>
  <c r="O38" i="5"/>
  <c r="K38" i="5"/>
  <c r="T37" i="5"/>
  <c r="P37" i="5"/>
  <c r="O37" i="5"/>
  <c r="N37" i="5"/>
  <c r="K37" i="5"/>
  <c r="T36" i="5"/>
  <c r="R36" i="5"/>
  <c r="M36" i="5"/>
  <c r="J36" i="5"/>
  <c r="I36" i="5"/>
  <c r="R35" i="5"/>
  <c r="Q35" i="5"/>
  <c r="I35" i="5"/>
  <c r="C39" i="4"/>
  <c r="D40" i="4" l="1"/>
  <c r="E38" i="4"/>
  <c r="C38" i="4"/>
  <c r="D38" i="4"/>
  <c r="P41" i="2" l="1"/>
  <c r="P40" i="2"/>
  <c r="K43" i="2" l="1"/>
  <c r="K40" i="2"/>
  <c r="K41" i="2"/>
  <c r="T42" i="2" l="1"/>
  <c r="C37" i="2" l="1"/>
  <c r="T39" i="2" l="1"/>
  <c r="T38" i="2"/>
  <c r="A20" i="3" l="1"/>
  <c r="B20" i="3" l="1"/>
  <c r="S40" i="2" l="1"/>
  <c r="K46" i="2" l="1"/>
  <c r="K45" i="2"/>
  <c r="R38" i="2" l="1"/>
  <c r="R37" i="2" l="1"/>
  <c r="Q37" i="2" l="1"/>
  <c r="I38" i="2" l="1"/>
  <c r="I37" i="2"/>
  <c r="J38" i="2"/>
  <c r="K42" i="2" l="1"/>
  <c r="E45" i="2" l="1"/>
  <c r="E49" i="2"/>
  <c r="P39" i="2"/>
  <c r="M45" i="2"/>
  <c r="O41" i="2"/>
  <c r="O40" i="2"/>
  <c r="O39" i="2"/>
  <c r="K39" i="2"/>
  <c r="M38" i="2"/>
  <c r="M44" i="1" l="1"/>
  <c r="M43" i="2" l="1"/>
  <c r="N39" i="2"/>
  <c r="M39" i="2"/>
  <c r="K42" i="1" l="1"/>
  <c r="M46" i="1" l="1"/>
  <c r="M39" i="1"/>
  <c r="I41" i="1" l="1"/>
  <c r="I40" i="1"/>
  <c r="O42" i="1"/>
  <c r="O40" i="1"/>
  <c r="K41" i="1" l="1"/>
  <c r="O41" i="1" l="1"/>
  <c r="N40" i="1"/>
  <c r="K44" i="1" l="1"/>
  <c r="K43" i="1"/>
  <c r="K40" i="1"/>
  <c r="C40" i="1"/>
  <c r="M40" i="1" l="1"/>
  <c r="J40" i="1"/>
</calcChain>
</file>

<file path=xl/comments1.xml><?xml version="1.0" encoding="utf-8"?>
<comments xmlns="http://schemas.openxmlformats.org/spreadsheetml/2006/main">
  <authors>
    <author>orguyrine</author>
  </authors>
  <commentList>
    <comment ref="N3" authorId="0" shapeId="0">
      <text>
        <r>
          <rPr>
            <b/>
            <sz val="9"/>
            <color indexed="81"/>
            <rFont val="Tahoma"/>
            <family val="2"/>
          </rPr>
          <t>orguyrine: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<sst xmlns="http://schemas.openxmlformats.org/spreadsheetml/2006/main" count="2421" uniqueCount="337">
  <si>
    <t>ADVPSC</t>
  </si>
  <si>
    <t>Liste des adhérents</t>
  </si>
  <si>
    <t>N°</t>
  </si>
  <si>
    <t>Civilite</t>
  </si>
  <si>
    <t>Nom</t>
  </si>
  <si>
    <t>Prénom</t>
  </si>
  <si>
    <t>N° et nom de la voie</t>
  </si>
  <si>
    <t>CP</t>
  </si>
  <si>
    <t>Commune</t>
  </si>
  <si>
    <t>Tél domicile</t>
  </si>
  <si>
    <t>Observations</t>
  </si>
  <si>
    <t>Ass Juridique</t>
  </si>
  <si>
    <t>Date</t>
  </si>
  <si>
    <t>Pouvoir AG</t>
  </si>
  <si>
    <t>Civil</t>
  </si>
  <si>
    <t>Pénal</t>
  </si>
  <si>
    <t>Mr</t>
  </si>
  <si>
    <t>BAILLOU</t>
  </si>
  <si>
    <t>Michel</t>
  </si>
  <si>
    <t>11 rue des Buttes</t>
  </si>
  <si>
    <t>61550</t>
  </si>
  <si>
    <t>GLOS LA FERRIERE</t>
  </si>
  <si>
    <t>avocat</t>
  </si>
  <si>
    <t>Mr et Mme</t>
  </si>
  <si>
    <t>BIDRON</t>
  </si>
  <si>
    <t>Patrick &amp; Martine</t>
  </si>
  <si>
    <t>La basse Cammas</t>
  </si>
  <si>
    <t>35360</t>
  </si>
  <si>
    <t>LANDUJAN</t>
  </si>
  <si>
    <t>BOINET</t>
  </si>
  <si>
    <t>Gilbert</t>
  </si>
  <si>
    <t>19 rue des Madieres</t>
  </si>
  <si>
    <t>22120</t>
  </si>
  <si>
    <t>QUESSOY</t>
  </si>
  <si>
    <t>BOURET</t>
  </si>
  <si>
    <t>Joel</t>
  </si>
  <si>
    <t>La Dagnais</t>
  </si>
  <si>
    <t>44660</t>
  </si>
  <si>
    <t>FERCE</t>
  </si>
  <si>
    <t>BRILLANT</t>
  </si>
  <si>
    <t>Philippe</t>
  </si>
  <si>
    <t>Les Maures</t>
  </si>
  <si>
    <t>50150</t>
  </si>
  <si>
    <t>CHAULIEU</t>
  </si>
  <si>
    <t>CLADEN</t>
  </si>
  <si>
    <t>Andre</t>
  </si>
  <si>
    <t>7 Plein Soleil</t>
  </si>
  <si>
    <t>68160</t>
  </si>
  <si>
    <t>STE MARIE AUX MINES</t>
  </si>
  <si>
    <t>Luc</t>
  </si>
  <si>
    <t>Le bas Verac</t>
  </si>
  <si>
    <t>44260</t>
  </si>
  <si>
    <t>LA CHAPPELLE LAUNAY</t>
  </si>
  <si>
    <t>DATIN</t>
  </si>
  <si>
    <t>Albert</t>
  </si>
  <si>
    <t>La Huetterie</t>
  </si>
  <si>
    <t>50220</t>
  </si>
  <si>
    <t>DUCEY</t>
  </si>
  <si>
    <t>DELESTRE</t>
  </si>
  <si>
    <t>Yves</t>
  </si>
  <si>
    <t>Le clos Bernard Montluc</t>
  </si>
  <si>
    <t>44360</t>
  </si>
  <si>
    <t>ST ETIENNE DE MONTLUC</t>
  </si>
  <si>
    <t>Mme</t>
  </si>
  <si>
    <t>DENIEL</t>
  </si>
  <si>
    <t>Anne Marie</t>
  </si>
  <si>
    <t>4 Route de St Joseph</t>
  </si>
  <si>
    <t>ROUGE</t>
  </si>
  <si>
    <t>DUBOIS</t>
  </si>
  <si>
    <t>Thierry</t>
  </si>
  <si>
    <t>La Davière</t>
  </si>
  <si>
    <t>50520</t>
  </si>
  <si>
    <t>JUVGNY LE TERTRE</t>
  </si>
  <si>
    <t>DUPAS</t>
  </si>
  <si>
    <t>Jean Joseph</t>
  </si>
  <si>
    <t>La guimandiere</t>
  </si>
  <si>
    <t>44320</t>
  </si>
  <si>
    <t>ST PERE EN RETZ</t>
  </si>
  <si>
    <t>FOUCAULT</t>
  </si>
  <si>
    <t>Dominique</t>
  </si>
  <si>
    <t>Le pont Deux</t>
  </si>
  <si>
    <t>61220</t>
  </si>
  <si>
    <t>BELLOU EN HOULME</t>
  </si>
  <si>
    <t>Nina</t>
  </si>
  <si>
    <t>17 rue des ecoles</t>
  </si>
  <si>
    <t>50850</t>
  </si>
  <si>
    <t>GER</t>
  </si>
  <si>
    <t>GOURET</t>
  </si>
  <si>
    <t>L'ouragan</t>
  </si>
  <si>
    <t>44350</t>
  </si>
  <si>
    <t>GUERANDE</t>
  </si>
  <si>
    <t>GOURMELON</t>
  </si>
  <si>
    <t>22 rue de Verdun</t>
  </si>
  <si>
    <t>29480</t>
  </si>
  <si>
    <t>LE REFLEQ KERHUON</t>
  </si>
  <si>
    <t>GUERITTOT</t>
  </si>
  <si>
    <t>Christian</t>
  </si>
  <si>
    <t>22 Grande Rue</t>
  </si>
  <si>
    <t>25113</t>
  </si>
  <si>
    <t>STE MARIE</t>
  </si>
  <si>
    <t>JUDIC</t>
  </si>
  <si>
    <t>Jerome</t>
  </si>
  <si>
    <t>Griere</t>
  </si>
  <si>
    <t>PRINGUIAU</t>
  </si>
  <si>
    <t>KLEIN</t>
  </si>
  <si>
    <t>Francois</t>
  </si>
  <si>
    <t>30 rue Charles Vuillard</t>
  </si>
  <si>
    <t>68550</t>
  </si>
  <si>
    <t>ST AMARIN</t>
  </si>
  <si>
    <t>LE CROM</t>
  </si>
  <si>
    <t>Alain</t>
  </si>
  <si>
    <t>Lieu dit Menaly</t>
  </si>
  <si>
    <t>56890</t>
  </si>
  <si>
    <t>PLESCOP</t>
  </si>
  <si>
    <t>LECAMPION</t>
  </si>
  <si>
    <t>Les Landes</t>
  </si>
  <si>
    <t>50410</t>
  </si>
  <si>
    <t>LE GUISLAIN</t>
  </si>
  <si>
    <t>LEPAGE</t>
  </si>
  <si>
    <t>3 rue de Pontfaverger</t>
  </si>
  <si>
    <t>51400</t>
  </si>
  <si>
    <t>BEINE NAUROY</t>
  </si>
  <si>
    <t>MOREL</t>
  </si>
  <si>
    <t>Jeannine</t>
  </si>
  <si>
    <t>Le Moulin du Bois</t>
  </si>
  <si>
    <t>50870</t>
  </si>
  <si>
    <t>TIREPIED</t>
  </si>
  <si>
    <t>MOSER</t>
  </si>
  <si>
    <t>Walter</t>
  </si>
  <si>
    <t>24 rue Givet</t>
  </si>
  <si>
    <t>68130</t>
  </si>
  <si>
    <t>ALTKIRCH</t>
  </si>
  <si>
    <t>NOE</t>
  </si>
  <si>
    <t>Emile</t>
  </si>
  <si>
    <t>49 rue de combrone</t>
  </si>
  <si>
    <t>60290</t>
  </si>
  <si>
    <t>CAMBRONE LES CLERMONT</t>
  </si>
  <si>
    <t>PAULMIER</t>
  </si>
  <si>
    <t>Jean Claude</t>
  </si>
  <si>
    <t>17 rue Pierre Rcour</t>
  </si>
  <si>
    <t>60149</t>
  </si>
  <si>
    <t>ST CREPIN IBOUVILLERS</t>
  </si>
  <si>
    <t>PIED</t>
  </si>
  <si>
    <t>Loic</t>
  </si>
  <si>
    <t>3 rue la porte</t>
  </si>
  <si>
    <t>44160</t>
  </si>
  <si>
    <t>CROSSAC</t>
  </si>
  <si>
    <t>PROVOST</t>
  </si>
  <si>
    <t>Therese</t>
  </si>
  <si>
    <t>2 rue la Lochere</t>
  </si>
  <si>
    <t>50240</t>
  </si>
  <si>
    <t>ST LAURENT DE TERREGATTE</t>
  </si>
  <si>
    <t>RENAULT</t>
  </si>
  <si>
    <t>Hubert</t>
  </si>
  <si>
    <t>La Bretonniere Surdon</t>
  </si>
  <si>
    <t>61500</t>
  </si>
  <si>
    <t>MACE</t>
  </si>
  <si>
    <t>RODRIGUES</t>
  </si>
  <si>
    <t>Serge</t>
  </si>
  <si>
    <t>22 rue du pre d'ust</t>
  </si>
  <si>
    <t>44117</t>
  </si>
  <si>
    <t>SAINT ANDRE DES EAUX</t>
  </si>
  <si>
    <t>SIMON</t>
  </si>
  <si>
    <t>Jacques</t>
  </si>
  <si>
    <t>Domaine du Puits la Garenne</t>
  </si>
  <si>
    <t>56140</t>
  </si>
  <si>
    <t>MALESTROIT</t>
  </si>
  <si>
    <t>TRESSEL</t>
  </si>
  <si>
    <t>William</t>
  </si>
  <si>
    <t>35 rue florie la moutonniere</t>
  </si>
  <si>
    <t>PRINQUIAU</t>
  </si>
  <si>
    <t>VANNIER</t>
  </si>
  <si>
    <t>Madeleine</t>
  </si>
  <si>
    <t>23 rue du General Leclerc</t>
  </si>
  <si>
    <t>60140</t>
  </si>
  <si>
    <t>LIANCOURT</t>
  </si>
  <si>
    <t>VEILLAUD</t>
  </si>
  <si>
    <t>Stephane</t>
  </si>
  <si>
    <t>2 impasse Saint Laurent</t>
  </si>
  <si>
    <t>14100</t>
  </si>
  <si>
    <t>GLOS</t>
  </si>
  <si>
    <t>Nombre Adhérents</t>
  </si>
  <si>
    <t>civil+pénal</t>
  </si>
  <si>
    <t>Pénal seul</t>
  </si>
  <si>
    <t>Débouté</t>
  </si>
  <si>
    <t>VIVIEN</t>
  </si>
  <si>
    <t>Oui</t>
  </si>
  <si>
    <t>Non</t>
  </si>
  <si>
    <t>Cot 2015</t>
  </si>
  <si>
    <t>GEROUARD-ROBINE</t>
  </si>
  <si>
    <t>Dispensé</t>
  </si>
  <si>
    <t>*61</t>
  </si>
  <si>
    <t>11/02/015</t>
  </si>
  <si>
    <t>OK</t>
  </si>
  <si>
    <t>Présent</t>
  </si>
  <si>
    <t>Présents</t>
  </si>
  <si>
    <t>Pouvoirs</t>
  </si>
  <si>
    <t>Pénal Non &amp; Civil Oui</t>
  </si>
  <si>
    <t>*</t>
  </si>
  <si>
    <t>COCHARD-TREGRET</t>
  </si>
  <si>
    <t>**</t>
  </si>
  <si>
    <t>?</t>
  </si>
  <si>
    <t>Rep AV</t>
  </si>
  <si>
    <t>14 La Gautrais</t>
  </si>
  <si>
    <t>^</t>
  </si>
  <si>
    <t>Nb.Non Payé avec avocat</t>
  </si>
  <si>
    <t>Nb.Non Payé  sans avocat</t>
  </si>
  <si>
    <t>8 rue georges Citerne</t>
  </si>
  <si>
    <t>Paris</t>
  </si>
  <si>
    <t>Cot 2016</t>
  </si>
  <si>
    <t>Appel</t>
  </si>
  <si>
    <t>Appel Non</t>
  </si>
  <si>
    <t>Appel Oui</t>
  </si>
  <si>
    <t xml:space="preserve"> </t>
  </si>
  <si>
    <t>Nb 44</t>
  </si>
  <si>
    <t>Nb 35</t>
  </si>
  <si>
    <t>Nb 14</t>
  </si>
  <si>
    <t>Nb 50</t>
  </si>
  <si>
    <t>Nb 60</t>
  </si>
  <si>
    <t>Nb 29</t>
  </si>
  <si>
    <t>Nb 61</t>
  </si>
  <si>
    <t>Nb 68</t>
  </si>
  <si>
    <t>Nb 56</t>
  </si>
  <si>
    <t>Nb 75</t>
  </si>
  <si>
    <t>Ok</t>
  </si>
  <si>
    <t>75015</t>
  </si>
  <si>
    <t>Nb 22</t>
  </si>
  <si>
    <t>Nb 25</t>
  </si>
  <si>
    <t>Nb 51</t>
  </si>
  <si>
    <t>Loire Atlantique</t>
  </si>
  <si>
    <t>Manche</t>
  </si>
  <si>
    <t>Oise</t>
  </si>
  <si>
    <t>Orne</t>
  </si>
  <si>
    <t>Calvados</t>
  </si>
  <si>
    <t>Finistére</t>
  </si>
  <si>
    <t>Marne</t>
  </si>
  <si>
    <t>Morbihan</t>
  </si>
  <si>
    <t>Ille et Vilaine</t>
  </si>
  <si>
    <t>Haut Rhin</t>
  </si>
  <si>
    <t>Doubs</t>
  </si>
  <si>
    <t>Cote-d'Armor</t>
  </si>
  <si>
    <t>Préjudice ADVPSC</t>
  </si>
  <si>
    <t>2016</t>
  </si>
  <si>
    <t>OUI</t>
  </si>
  <si>
    <t>NON</t>
  </si>
  <si>
    <t>11 rue des Buttes Glos la Ferrierre</t>
  </si>
  <si>
    <t>LA FERTE EN OUCHE</t>
  </si>
  <si>
    <t>Non Payé</t>
  </si>
  <si>
    <t>indemnisé</t>
  </si>
  <si>
    <t>Pas civil</t>
  </si>
  <si>
    <t>Reçu</t>
  </si>
  <si>
    <t>Non reçu</t>
  </si>
  <si>
    <t>Fac/BdeC</t>
  </si>
  <si>
    <t>03 89 39 16 71</t>
  </si>
  <si>
    <t>Expertise</t>
  </si>
  <si>
    <t>Expertisable</t>
  </si>
  <si>
    <t>Radiateur</t>
  </si>
  <si>
    <t>pompes expertisables suivant critéres *</t>
  </si>
  <si>
    <t>Gendarmerie</t>
  </si>
  <si>
    <t>PARIS</t>
  </si>
  <si>
    <t>* pompes sans expertises  faites non indemnisées et encore expertisables</t>
  </si>
  <si>
    <t>Payé 40€</t>
  </si>
  <si>
    <t>Payé 30€</t>
  </si>
  <si>
    <t>Ap N,Ci O</t>
  </si>
  <si>
    <t>PROCUREUR</t>
  </si>
  <si>
    <t>GENDARMERIE</t>
  </si>
  <si>
    <t>NOM</t>
  </si>
  <si>
    <t>TITRE</t>
  </si>
  <si>
    <t>X</t>
  </si>
  <si>
    <t>.</t>
  </si>
  <si>
    <t>procureur + dgccrf</t>
  </si>
  <si>
    <t>DGCcRF</t>
  </si>
  <si>
    <t>2017</t>
  </si>
  <si>
    <t>Cot 2017</t>
  </si>
  <si>
    <t>Colonne1</t>
  </si>
  <si>
    <t>04/,3/2017</t>
  </si>
  <si>
    <t>2018</t>
  </si>
  <si>
    <t>Brissaud</t>
  </si>
  <si>
    <t>liste</t>
  </si>
  <si>
    <t>61</t>
  </si>
  <si>
    <t>35</t>
  </si>
  <si>
    <t>44</t>
  </si>
  <si>
    <t>50</t>
  </si>
  <si>
    <t>68</t>
  </si>
  <si>
    <t>29</t>
  </si>
  <si>
    <t>25</t>
  </si>
  <si>
    <t>56</t>
  </si>
  <si>
    <t>51</t>
  </si>
  <si>
    <t>60</t>
  </si>
  <si>
    <t>75</t>
  </si>
  <si>
    <t>14</t>
  </si>
  <si>
    <t>Cot 2018</t>
  </si>
  <si>
    <t>Résultat filtre</t>
  </si>
  <si>
    <t>* Pour avoir la liste compléte des adhérents ne rien mentioner dans les critéres</t>
  </si>
  <si>
    <t>rue-bidron.martine@orange.fr</t>
  </si>
  <si>
    <t>claandre@calixo.net</t>
  </si>
  <si>
    <t>valerie.tregret@orange.fr</t>
  </si>
  <si>
    <t>familledatin@hotmail.fr</t>
  </si>
  <si>
    <t>yves.delestre@bbox.fr</t>
  </si>
  <si>
    <t>moniquedeniel@orange.fr</t>
  </si>
  <si>
    <t>clairethierrydubois@orange.fr</t>
  </si>
  <si>
    <t>jjdupas@yahoo.fr</t>
  </si>
  <si>
    <t>danielle.gouret@orange.fr</t>
  </si>
  <si>
    <t>gilbert.gourmelon@numericable.fr</t>
  </si>
  <si>
    <t>cguerittot@cegetel.net</t>
  </si>
  <si>
    <t>judic-jerome@wanadoo.fr</t>
  </si>
  <si>
    <t>kfrancois131@neuf.fr</t>
  </si>
  <si>
    <t>lecromguais@orange.fr</t>
  </si>
  <si>
    <t>daniele.lepage@hotmail.fr</t>
  </si>
  <si>
    <t>morel.jeannine0412@orange.fr</t>
  </si>
  <si>
    <t>walter.moser@orange.fr</t>
  </si>
  <si>
    <t>emile.noe@cegetel.net</t>
  </si>
  <si>
    <t>jo.paulmier@hotmail.fr</t>
  </si>
  <si>
    <t>loic.pied@orange.fr</t>
  </si>
  <si>
    <t>hubert.renault@laposte.net</t>
  </si>
  <si>
    <t>orguyrine@orange.fr</t>
  </si>
  <si>
    <t>jacques.simon974@gmail.com</t>
  </si>
  <si>
    <t>tressel.william@orange.fr</t>
  </si>
  <si>
    <t>madeleine.vannier@free.fr</t>
  </si>
  <si>
    <t>veillaud.stephane@free.fr</t>
  </si>
  <si>
    <t>vivien-debray@wanadoo,fr</t>
  </si>
  <si>
    <t>Patrick&amp;Martine</t>
  </si>
  <si>
    <t>*La selection des critéres se font dans les cellules blanches avec la toupie</t>
  </si>
  <si>
    <t>Pas de réponse</t>
  </si>
  <si>
    <t>11 rue de la Butte Glos la Ferrierre</t>
  </si>
  <si>
    <t>Payé 50€</t>
  </si>
  <si>
    <t>&gt;1</t>
  </si>
  <si>
    <t>02 40 91 52 75</t>
  </si>
  <si>
    <t>Att Réponse</t>
  </si>
  <si>
    <t>&lt;1</t>
  </si>
  <si>
    <t>famille.bouret@wanadoo.fr</t>
  </si>
  <si>
    <t>2 Port es Gerbes</t>
  </si>
  <si>
    <t>56130</t>
  </si>
  <si>
    <t>NIVILLAC</t>
  </si>
  <si>
    <t>02 40 01 02 27</t>
  </si>
  <si>
    <t>Mail</t>
  </si>
  <si>
    <t>orguyrine@gmail.com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</si>
</sst>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€&quot;#,##0_);[Red]\(&quot;€&quot;#,##0\)"/>
    <numFmt numFmtId="165" formatCode="#,##0\ &quot;€&quot;"/>
    <numFmt numFmtId="166" formatCode="0#&quot; &quot;##&quot; &quot;##&quot; &quot;##&quot; &quot;##"/>
    <numFmt numFmtId="167" formatCode="########0"/>
    <numFmt numFmtId="168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00B05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Up="1">
      <left/>
      <right/>
      <top style="thin">
        <color auto="1"/>
      </top>
      <bottom style="thin">
        <color auto="1"/>
      </bottom>
      <diagonal style="thin">
        <color auto="1"/>
      </diagonal>
    </border>
    <border diagonalUp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</borders>
  <cellStyleXfs count="3">
    <xf numFmtId="0" fontId="0" fillId="0" borderId="0"/>
    <xf numFmtId="0" fontId="3" fillId="0" borderId="0"/>
    <xf numFmtId="0" fontId="12" fillId="0" borderId="0" applyNumberFormat="0" applyFill="0" applyBorder="0" applyAlignment="0" applyProtection="0"/>
  </cellStyleXfs>
  <cellXfs count="213">
    <xf numFmtId="0" fontId="0" fillId="0" borderId="0" xfId="0"/>
    <xf numFmtId="0" fontId="0" fillId="2" borderId="5" xfId="0" applyFill="1" applyBorder="1" applyAlignment="1">
      <alignment horizontal="center"/>
    </xf>
    <xf numFmtId="0" fontId="2" fillId="0" borderId="0" xfId="0" applyFont="1" applyAlignment="1">
      <alignment horizontal="center"/>
    </xf>
    <xf numFmtId="165" fontId="0" fillId="0" borderId="0" xfId="0" applyNumberFormat="1"/>
    <xf numFmtId="14" fontId="0" fillId="0" borderId="0" xfId="0" applyNumberFormat="1" applyAlignment="1">
      <alignment horizontal="right"/>
    </xf>
    <xf numFmtId="0" fontId="0" fillId="0" borderId="1" xfId="0" applyBorder="1"/>
    <xf numFmtId="165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49" fontId="0" fillId="0" borderId="1" xfId="1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49" fontId="3" fillId="0" borderId="1" xfId="1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NumberFormat="1" applyFont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7" xfId="0" applyFill="1" applyBorder="1"/>
    <xf numFmtId="0" fontId="1" fillId="0" borderId="0" xfId="0" applyFont="1" applyAlignment="1">
      <alignment horizontal="center" wrapText="1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/>
    <xf numFmtId="167" fontId="0" fillId="0" borderId="1" xfId="1" applyNumberFormat="1" applyFont="1" applyFill="1" applyBorder="1" applyAlignment="1" applyProtection="1">
      <alignment horizontal="center" vertical="center"/>
    </xf>
    <xf numFmtId="0" fontId="0" fillId="2" borderId="7" xfId="0" applyFill="1" applyBorder="1" applyAlignment="1">
      <alignment horizontal="center"/>
    </xf>
    <xf numFmtId="3" fontId="1" fillId="0" borderId="0" xfId="0" applyNumberFormat="1" applyFont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1" xfId="1" applyNumberFormat="1" applyFont="1" applyFill="1" applyBorder="1" applyAlignment="1" applyProtection="1">
      <alignment horizontal="center" vertical="center"/>
    </xf>
    <xf numFmtId="166" fontId="0" fillId="0" borderId="1" xfId="1" applyNumberFormat="1" applyFont="1" applyFill="1" applyBorder="1" applyAlignment="1" applyProtection="1">
      <alignment horizontal="center" vertical="center"/>
    </xf>
    <xf numFmtId="165" fontId="0" fillId="0" borderId="1" xfId="1" applyNumberFormat="1" applyFont="1" applyFill="1" applyBorder="1" applyAlignment="1" applyProtection="1">
      <alignment horizontal="center" vertical="center"/>
    </xf>
    <xf numFmtId="14" fontId="0" fillId="0" borderId="1" xfId="1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6" fontId="0" fillId="0" borderId="10" xfId="0" applyNumberForma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2" fillId="3" borderId="12" xfId="0" applyFont="1" applyFill="1" applyBorder="1"/>
    <xf numFmtId="14" fontId="0" fillId="4" borderId="13" xfId="0" applyNumberFormat="1" applyFill="1" applyBorder="1" applyAlignment="1">
      <alignment horizontal="right"/>
    </xf>
    <xf numFmtId="0" fontId="0" fillId="4" borderId="14" xfId="0" applyFill="1" applyBorder="1" applyAlignment="1">
      <alignment horizontal="center"/>
    </xf>
    <xf numFmtId="14" fontId="0" fillId="4" borderId="12" xfId="0" applyNumberFormat="1" applyFill="1" applyBorder="1" applyAlignment="1">
      <alignment horizontal="right"/>
    </xf>
    <xf numFmtId="0" fontId="0" fillId="4" borderId="15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3" fontId="4" fillId="0" borderId="0" xfId="0" applyNumberFormat="1" applyFont="1" applyAlignment="1">
      <alignment horizontal="center"/>
    </xf>
    <xf numFmtId="0" fontId="2" fillId="3" borderId="6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5" fillId="0" borderId="0" xfId="0" applyFont="1"/>
    <xf numFmtId="0" fontId="0" fillId="3" borderId="6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0" borderId="17" xfId="0" applyBorder="1"/>
    <xf numFmtId="14" fontId="0" fillId="0" borderId="0" xfId="0" applyNumberFormat="1" applyAlignment="1">
      <alignment horizontal="center" vertical="center"/>
    </xf>
    <xf numFmtId="166" fontId="0" fillId="0" borderId="0" xfId="0" applyNumberFormat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49" fontId="0" fillId="0" borderId="10" xfId="0" applyNumberFormat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0" fillId="0" borderId="1" xfId="0" applyNumberFormat="1" applyBorder="1"/>
    <xf numFmtId="49" fontId="0" fillId="0" borderId="0" xfId="0" applyNumberFormat="1"/>
    <xf numFmtId="49" fontId="1" fillId="0" borderId="0" xfId="0" applyNumberFormat="1" applyFont="1" applyAlignment="1">
      <alignment horizontal="center" wrapText="1"/>
    </xf>
    <xf numFmtId="49" fontId="0" fillId="0" borderId="0" xfId="0" applyNumberFormat="1" applyAlignment="1">
      <alignment horizontal="center" vertical="center"/>
    </xf>
    <xf numFmtId="168" fontId="2" fillId="0" borderId="7" xfId="0" applyNumberFormat="1" applyFont="1" applyBorder="1" applyAlignment="1">
      <alignment horizontal="center"/>
    </xf>
    <xf numFmtId="168" fontId="0" fillId="0" borderId="0" xfId="0" applyNumberFormat="1"/>
    <xf numFmtId="168" fontId="0" fillId="0" borderId="1" xfId="0" applyNumberFormat="1" applyBorder="1"/>
    <xf numFmtId="168" fontId="0" fillId="0" borderId="1" xfId="0" applyNumberForma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168" fontId="0" fillId="0" borderId="4" xfId="0" applyNumberFormat="1" applyBorder="1" applyAlignment="1">
      <alignment horizontal="center" vertical="center"/>
    </xf>
    <xf numFmtId="168" fontId="0" fillId="0" borderId="3" xfId="0" applyNumberFormat="1" applyBorder="1" applyAlignment="1">
      <alignment horizontal="center" vertical="center"/>
    </xf>
    <xf numFmtId="168" fontId="0" fillId="0" borderId="0" xfId="0" applyNumberFormat="1" applyBorder="1" applyAlignment="1">
      <alignment horizontal="center"/>
    </xf>
    <xf numFmtId="168" fontId="0" fillId="0" borderId="0" xfId="0" applyNumberFormat="1" applyAlignment="1">
      <alignment horizontal="center" vertical="center"/>
    </xf>
    <xf numFmtId="168" fontId="0" fillId="0" borderId="0" xfId="0" applyNumberFormat="1" applyFont="1" applyAlignment="1">
      <alignment horizontal="center"/>
    </xf>
    <xf numFmtId="14" fontId="0" fillId="0" borderId="0" xfId="0" applyNumberFormat="1" applyBorder="1" applyAlignment="1">
      <alignment horizontal="center"/>
    </xf>
    <xf numFmtId="3" fontId="0" fillId="0" borderId="7" xfId="0" applyNumberFormat="1" applyFont="1" applyBorder="1" applyAlignment="1">
      <alignment horizontal="center"/>
    </xf>
    <xf numFmtId="0" fontId="0" fillId="0" borderId="18" xfId="0" applyBorder="1"/>
    <xf numFmtId="0" fontId="0" fillId="0" borderId="19" xfId="0" applyBorder="1"/>
    <xf numFmtId="3" fontId="0" fillId="0" borderId="20" xfId="0" applyNumberFormat="1" applyBorder="1" applyAlignment="1">
      <alignment horizontal="center"/>
    </xf>
    <xf numFmtId="0" fontId="0" fillId="0" borderId="21" xfId="0" applyBorder="1"/>
    <xf numFmtId="0" fontId="0" fillId="0" borderId="22" xfId="0" applyBorder="1"/>
    <xf numFmtId="3" fontId="0" fillId="0" borderId="23" xfId="0" applyNumberFormat="1" applyBorder="1" applyAlignment="1">
      <alignment horizontal="center"/>
    </xf>
    <xf numFmtId="0" fontId="0" fillId="0" borderId="0" xfId="0" applyBorder="1"/>
    <xf numFmtId="3" fontId="1" fillId="0" borderId="7" xfId="0" applyNumberFormat="1" applyFont="1" applyBorder="1" applyAlignment="1">
      <alignment horizontal="center"/>
    </xf>
    <xf numFmtId="3" fontId="4" fillId="0" borderId="7" xfId="0" applyNumberFormat="1" applyFont="1" applyBorder="1" applyAlignment="1">
      <alignment horizontal="center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6" borderId="5" xfId="0" applyFill="1" applyBorder="1" applyAlignment="1">
      <alignment horizontal="center"/>
    </xf>
    <xf numFmtId="0" fontId="0" fillId="6" borderId="7" xfId="0" applyFill="1" applyBorder="1"/>
    <xf numFmtId="49" fontId="0" fillId="0" borderId="1" xfId="0" applyNumberForma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6" borderId="6" xfId="0" applyFill="1" applyBorder="1"/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left" wrapText="1"/>
    </xf>
    <xf numFmtId="0" fontId="0" fillId="0" borderId="6" xfId="0" applyBorder="1" applyAlignment="1">
      <alignment horizontal="center"/>
    </xf>
    <xf numFmtId="0" fontId="0" fillId="0" borderId="1" xfId="0" applyFill="1" applyBorder="1"/>
    <xf numFmtId="0" fontId="0" fillId="7" borderId="1" xfId="0" applyFill="1" applyBorder="1" applyAlignment="1">
      <alignment horizontal="left"/>
    </xf>
    <xf numFmtId="14" fontId="0" fillId="0" borderId="0" xfId="0" applyNumberFormat="1"/>
    <xf numFmtId="0" fontId="0" fillId="0" borderId="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right"/>
    </xf>
    <xf numFmtId="3" fontId="0" fillId="0" borderId="1" xfId="0" applyNumberFormat="1" applyFont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2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/>
    </xf>
    <xf numFmtId="0" fontId="7" fillId="0" borderId="1" xfId="0" applyFont="1" applyBorder="1"/>
    <xf numFmtId="166" fontId="7" fillId="0" borderId="1" xfId="0" applyNumberFormat="1" applyFont="1" applyBorder="1"/>
    <xf numFmtId="166" fontId="0" fillId="0" borderId="0" xfId="0" applyNumberFormat="1"/>
    <xf numFmtId="0" fontId="0" fillId="9" borderId="1" xfId="0" applyFill="1" applyBorder="1" applyAlignment="1">
      <alignment horizontal="center"/>
    </xf>
    <xf numFmtId="0" fontId="0" fillId="9" borderId="1" xfId="0" applyFill="1" applyBorder="1" applyAlignment="1">
      <alignment horizontal="center" vertical="center"/>
    </xf>
    <xf numFmtId="49" fontId="0" fillId="9" borderId="1" xfId="0" applyNumberFormat="1" applyFill="1" applyBorder="1" applyAlignment="1">
      <alignment horizontal="center" vertical="center"/>
    </xf>
    <xf numFmtId="166" fontId="0" fillId="9" borderId="1" xfId="0" applyNumberFormat="1" applyFill="1" applyBorder="1" applyAlignment="1">
      <alignment horizontal="center" vertical="center"/>
    </xf>
    <xf numFmtId="168" fontId="0" fillId="9" borderId="1" xfId="0" applyNumberFormat="1" applyFill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0" xfId="0" applyFill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49" fontId="0" fillId="8" borderId="1" xfId="0" applyNumberFormat="1" applyFill="1" applyBorder="1" applyAlignment="1">
      <alignment horizontal="center" vertical="center"/>
    </xf>
    <xf numFmtId="49" fontId="0" fillId="8" borderId="0" xfId="0" applyNumberFormat="1" applyFill="1" applyBorder="1" applyAlignment="1">
      <alignment horizontal="center" vertical="center"/>
    </xf>
    <xf numFmtId="0" fontId="0" fillId="10" borderId="24" xfId="0" applyFill="1" applyBorder="1" applyAlignment="1">
      <alignment horizontal="center" vertical="center"/>
    </xf>
    <xf numFmtId="0" fontId="0" fillId="0" borderId="24" xfId="0" applyBorder="1"/>
    <xf numFmtId="0" fontId="0" fillId="0" borderId="24" xfId="0" applyBorder="1" applyAlignment="1">
      <alignment horizontal="center" vertical="center"/>
    </xf>
    <xf numFmtId="168" fontId="0" fillId="10" borderId="24" xfId="0" applyNumberFormat="1" applyFill="1" applyBorder="1" applyAlignment="1">
      <alignment horizontal="center" vertical="center"/>
    </xf>
    <xf numFmtId="0" fontId="0" fillId="0" borderId="0" xfId="0" applyFont="1"/>
    <xf numFmtId="0" fontId="0" fillId="0" borderId="7" xfId="0" applyFont="1" applyBorder="1" applyAlignment="1">
      <alignment horizontal="center"/>
    </xf>
    <xf numFmtId="0" fontId="0" fillId="11" borderId="0" xfId="0" applyFill="1"/>
    <xf numFmtId="0" fontId="2" fillId="11" borderId="0" xfId="0" applyFont="1" applyFill="1" applyAlignment="1">
      <alignment horizontal="center"/>
    </xf>
    <xf numFmtId="49" fontId="2" fillId="11" borderId="0" xfId="0" applyNumberFormat="1" applyFont="1" applyFill="1" applyAlignment="1">
      <alignment horizontal="center"/>
    </xf>
    <xf numFmtId="168" fontId="0" fillId="11" borderId="0" xfId="0" applyNumberFormat="1" applyFill="1"/>
    <xf numFmtId="14" fontId="0" fillId="11" borderId="0" xfId="0" applyNumberFormat="1" applyFill="1" applyAlignment="1">
      <alignment horizontal="right"/>
    </xf>
    <xf numFmtId="0" fontId="0" fillId="11" borderId="0" xfId="0" applyFill="1" applyAlignment="1">
      <alignment horizontal="center"/>
    </xf>
    <xf numFmtId="0" fontId="11" fillId="12" borderId="7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top"/>
    </xf>
    <xf numFmtId="0" fontId="0" fillId="4" borderId="3" xfId="0" applyFill="1" applyBorder="1"/>
    <xf numFmtId="0" fontId="0" fillId="4" borderId="4" xfId="0" applyFill="1" applyBorder="1"/>
    <xf numFmtId="168" fontId="2" fillId="0" borderId="0" xfId="0" applyNumberFormat="1" applyFont="1" applyBorder="1" applyAlignment="1">
      <alignment horizontal="center"/>
    </xf>
    <xf numFmtId="0" fontId="2" fillId="11" borderId="0" xfId="0" applyFont="1" applyFill="1"/>
    <xf numFmtId="0" fontId="0" fillId="13" borderId="6" xfId="0" applyFill="1" applyBorder="1" applyAlignment="1">
      <alignment horizontal="center"/>
    </xf>
    <xf numFmtId="0" fontId="0" fillId="13" borderId="1" xfId="0" applyFill="1" applyBorder="1"/>
    <xf numFmtId="0" fontId="6" fillId="13" borderId="1" xfId="0" applyFont="1" applyFill="1" applyBorder="1" applyAlignment="1">
      <alignment horizontal="left" wrapText="1"/>
    </xf>
    <xf numFmtId="164" fontId="0" fillId="0" borderId="0" xfId="0" applyNumberFormat="1" applyAlignment="1">
      <alignment horizontal="center" vertical="center"/>
    </xf>
    <xf numFmtId="168" fontId="2" fillId="0" borderId="0" xfId="0" applyNumberFormat="1" applyFont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/>
    <xf numFmtId="14" fontId="0" fillId="4" borderId="16" xfId="0" applyNumberFormat="1" applyFill="1" applyBorder="1" applyAlignment="1">
      <alignment horizontal="right"/>
    </xf>
    <xf numFmtId="0" fontId="0" fillId="4" borderId="17" xfId="0" applyFill="1" applyBorder="1" applyAlignment="1">
      <alignment horizontal="center"/>
    </xf>
    <xf numFmtId="0" fontId="0" fillId="4" borderId="14" xfId="0" applyFill="1" applyBorder="1" applyAlignment="1">
      <alignment horizontal="center" vertical="center"/>
    </xf>
    <xf numFmtId="14" fontId="0" fillId="4" borderId="13" xfId="0" applyNumberFormat="1" applyFill="1" applyBorder="1" applyAlignment="1">
      <alignment horizontal="right" vertical="center"/>
    </xf>
    <xf numFmtId="14" fontId="0" fillId="10" borderId="24" xfId="0" applyNumberFormat="1" applyFill="1" applyBorder="1" applyAlignment="1">
      <alignment horizontal="center" vertical="center"/>
    </xf>
    <xf numFmtId="14" fontId="0" fillId="0" borderId="24" xfId="0" applyNumberFormat="1" applyBorder="1"/>
    <xf numFmtId="14" fontId="0" fillId="11" borderId="0" xfId="0" applyNumberFormat="1" applyFill="1"/>
    <xf numFmtId="165" fontId="0" fillId="0" borderId="1" xfId="0" applyNumberFormat="1" applyBorder="1" applyAlignment="1">
      <alignment horizontal="center"/>
    </xf>
    <xf numFmtId="0" fontId="12" fillId="0" borderId="0" xfId="2" applyAlignment="1">
      <alignment horizontal="center" vertical="center"/>
    </xf>
    <xf numFmtId="168" fontId="0" fillId="14" borderId="1" xfId="0" applyNumberFormat="1" applyFill="1" applyBorder="1"/>
    <xf numFmtId="14" fontId="0" fillId="14" borderId="1" xfId="0" applyNumberFormat="1" applyFill="1" applyBorder="1" applyAlignment="1">
      <alignment horizontal="center"/>
    </xf>
    <xf numFmtId="0" fontId="0" fillId="14" borderId="1" xfId="0" applyFill="1" applyBorder="1"/>
    <xf numFmtId="0" fontId="0" fillId="2" borderId="6" xfId="0" applyFill="1" applyBorder="1" applyAlignment="1">
      <alignment horizontal="center"/>
    </xf>
    <xf numFmtId="0" fontId="0" fillId="4" borderId="6" xfId="0" applyFill="1" applyBorder="1"/>
    <xf numFmtId="0" fontId="0" fillId="4" borderId="7" xfId="0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11" borderId="25" xfId="0" applyFill="1" applyBorder="1"/>
    <xf numFmtId="14" fontId="0" fillId="0" borderId="6" xfId="0" applyNumberFormat="1" applyBorder="1" applyAlignment="1">
      <alignment horizontal="center"/>
    </xf>
    <xf numFmtId="0" fontId="10" fillId="12" borderId="5" xfId="0" applyFont="1" applyFill="1" applyBorder="1" applyAlignment="1">
      <alignment horizontal="right" vertical="center"/>
    </xf>
    <xf numFmtId="0" fontId="10" fillId="12" borderId="6" xfId="0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</cellXfs>
  <cellStyles count="3">
    <cellStyle name="Lien hypertexte" xfId="2" builtinId="8"/>
    <cellStyle name="NiveauLigne_4" xfId="1" builtinId="1" iLevel="3"/>
    <cellStyle name="Normal" xfId="0" builtinId="0"/>
  </cellStyles>
  <dxfs count="157"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9" formatCode="m/d/yyyy"/>
      <alignment horizontal="center" vertical="center" textRotation="0" wrapText="0" indent="0" justifyLastLine="0" shrinkToFit="0" readingOrder="0"/>
    </dxf>
    <dxf>
      <numFmt numFmtId="169" formatCode="m/d/yyyy"/>
      <alignment horizontal="center" vertical="center" textRotation="0" wrapText="0" indent="0" justifyLastLine="0" shrinkToFit="0" readingOrder="0"/>
    </dxf>
    <dxf>
      <numFmt numFmtId="168" formatCode="#,##0.00\ &quot;€&quot;"/>
      <alignment horizontal="center" vertical="center" textRotation="0" wrapText="0" indent="0" justifyLastLine="0" shrinkToFit="0" readingOrder="0"/>
    </dxf>
    <dxf>
      <numFmt numFmtId="168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9" formatCode="m/d/yyyy"/>
      <alignment horizontal="center" vertical="center" textRotation="0" wrapText="0" indent="0" justifyLastLine="0" shrinkToFit="0" readingOrder="0"/>
    </dxf>
    <dxf>
      <numFmt numFmtId="169" formatCode="m/d/yyyy"/>
      <alignment horizontal="center" vertical="center" textRotation="0" wrapText="0" indent="0" justifyLastLine="0" shrinkToFit="0" readingOrder="0"/>
    </dxf>
    <dxf>
      <numFmt numFmtId="168" formatCode="#,##0.00\ &quot;€&quot;"/>
      <alignment horizontal="center" vertical="center" textRotation="0" wrapText="0" indent="0" justifyLastLine="0" shrinkToFit="0" readingOrder="0"/>
    </dxf>
    <dxf>
      <numFmt numFmtId="168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9" formatCode="m/d/yyyy"/>
      <alignment horizontal="center" vertical="center" textRotation="0" wrapText="0" indent="0" justifyLastLine="0" shrinkToFit="0" readingOrder="0"/>
    </dxf>
    <dxf>
      <numFmt numFmtId="169" formatCode="m/d/yyyy"/>
      <alignment horizontal="center" vertical="center" textRotation="0" wrapText="0" indent="0" justifyLastLine="0" shrinkToFit="0" readingOrder="0"/>
    </dxf>
    <dxf>
      <numFmt numFmtId="168" formatCode="#,##0.00\ &quot;€&quot;"/>
      <alignment horizontal="center" vertical="center" textRotation="0" wrapText="0" indent="0" justifyLastLine="0" shrinkToFit="0" readingOrder="0"/>
    </dxf>
    <dxf>
      <numFmt numFmtId="168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9" formatCode="m/d/yyyy"/>
      <alignment horizontal="center" vertical="center" textRotation="0" wrapText="0" indent="0" justifyLastLine="0" shrinkToFit="0" readingOrder="0"/>
    </dxf>
    <dxf>
      <numFmt numFmtId="165" formatCode="#,##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8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3">
      <tableStyleElement type="wholeTable" dxfId="156"/>
      <tableStyleElement type="headerRow" dxfId="155"/>
      <tableStyleElement type="firstRowStripe" dxfId="15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41</xdr:row>
      <xdr:rowOff>28575</xdr:rowOff>
    </xdr:from>
    <xdr:to>
      <xdr:col>2</xdr:col>
      <xdr:colOff>895350</xdr:colOff>
      <xdr:row>42</xdr:row>
      <xdr:rowOff>161925</xdr:rowOff>
    </xdr:to>
    <xdr:sp macro="" textlink="">
      <xdr:nvSpPr>
        <xdr:cNvPr id="1029" name="B_AjoutLigne" hidden="1">
          <a:extLst>
            <a:ext uri="{63B3BB69-23CF-44E3-9099-C40C66FF867C}">
              <a14:compatExt xmlns:a14="http://schemas.microsoft.com/office/drawing/2010/main" spid="_x0000_s102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9525</xdr:colOff>
      <xdr:row>41</xdr:row>
      <xdr:rowOff>28575</xdr:rowOff>
    </xdr:from>
    <xdr:to>
      <xdr:col>2</xdr:col>
      <xdr:colOff>895350</xdr:colOff>
      <xdr:row>42</xdr:row>
      <xdr:rowOff>161925</xdr:rowOff>
    </xdr:to>
    <xdr:pic>
      <xdr:nvPicPr>
        <xdr:cNvPr id="2" name="B_AjoutLigne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10182225"/>
          <a:ext cx="1647825" cy="3810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</xdr:row>
      <xdr:rowOff>152401</xdr:rowOff>
    </xdr:from>
    <xdr:to>
      <xdr:col>6</xdr:col>
      <xdr:colOff>1390650</xdr:colOff>
      <xdr:row>13</xdr:row>
      <xdr:rowOff>1</xdr:rowOff>
    </xdr:to>
    <xdr:sp macro="[0]!Fitre" textlink="">
      <xdr:nvSpPr>
        <xdr:cNvPr id="2" name="Rectangle à coins arrondis 1"/>
        <xdr:cNvSpPr/>
      </xdr:nvSpPr>
      <xdr:spPr>
        <a:xfrm>
          <a:off x="6010275" y="1724026"/>
          <a:ext cx="2152650" cy="9144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Filtrer</a:t>
          </a:r>
        </a:p>
      </xdr:txBody>
    </xdr:sp>
    <xdr:clientData/>
  </xdr:twoCellAnchor>
  <xdr:twoCellAnchor>
    <xdr:from>
      <xdr:col>4</xdr:col>
      <xdr:colOff>2038350</xdr:colOff>
      <xdr:row>1</xdr:row>
      <xdr:rowOff>9525</xdr:rowOff>
    </xdr:from>
    <xdr:to>
      <xdr:col>9</xdr:col>
      <xdr:colOff>133350</xdr:colOff>
      <xdr:row>4</xdr:row>
      <xdr:rowOff>161925</xdr:rowOff>
    </xdr:to>
    <xdr:sp macro="" textlink="">
      <xdr:nvSpPr>
        <xdr:cNvPr id="3" name="Rectangle à coins arrondis 2"/>
        <xdr:cNvSpPr/>
      </xdr:nvSpPr>
      <xdr:spPr>
        <a:xfrm>
          <a:off x="5972175" y="200025"/>
          <a:ext cx="4305300" cy="7239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/>
            <a:t>CRITERES</a:t>
          </a:r>
        </a:p>
      </xdr:txBody>
    </xdr:sp>
    <xdr:clientData/>
  </xdr:twoCellAnchor>
  <xdr:twoCellAnchor>
    <xdr:from>
      <xdr:col>13</xdr:col>
      <xdr:colOff>677141</xdr:colOff>
      <xdr:row>10</xdr:row>
      <xdr:rowOff>176645</xdr:rowOff>
    </xdr:from>
    <xdr:to>
      <xdr:col>16</xdr:col>
      <xdr:colOff>58016</xdr:colOff>
      <xdr:row>13</xdr:row>
      <xdr:rowOff>167120</xdr:rowOff>
    </xdr:to>
    <xdr:sp macro="[0]!Quitter" textlink="">
      <xdr:nvSpPr>
        <xdr:cNvPr id="4" name="Rectangle à coins arrondis 3"/>
        <xdr:cNvSpPr/>
      </xdr:nvSpPr>
      <xdr:spPr>
        <a:xfrm>
          <a:off x="14514368" y="2133600"/>
          <a:ext cx="1788103" cy="665884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Quitter</a:t>
          </a:r>
        </a:p>
      </xdr:txBody>
    </xdr:sp>
    <xdr:clientData/>
  </xdr:twoCellAnchor>
  <xdr:twoCellAnchor>
    <xdr:from>
      <xdr:col>10</xdr:col>
      <xdr:colOff>209550</xdr:colOff>
      <xdr:row>9</xdr:row>
      <xdr:rowOff>13855</xdr:rowOff>
    </xdr:from>
    <xdr:to>
      <xdr:col>11</xdr:col>
      <xdr:colOff>692728</xdr:colOff>
      <xdr:row>12</xdr:row>
      <xdr:rowOff>4330</xdr:rowOff>
    </xdr:to>
    <xdr:sp macro="[0]!Ouvrir" textlink="">
      <xdr:nvSpPr>
        <xdr:cNvPr id="5" name="Rectangle à coins arrondis 4"/>
        <xdr:cNvSpPr/>
      </xdr:nvSpPr>
      <xdr:spPr>
        <a:xfrm>
          <a:off x="11492345" y="1780310"/>
          <a:ext cx="1245178" cy="66588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Recherche Nom</a:t>
          </a:r>
        </a:p>
      </xdr:txBody>
    </xdr:sp>
    <xdr:clientData/>
  </xdr:twoCellAnchor>
  <xdr:twoCellAnchor>
    <xdr:from>
      <xdr:col>2</xdr:col>
      <xdr:colOff>432954</xdr:colOff>
      <xdr:row>9</xdr:row>
      <xdr:rowOff>76200</xdr:rowOff>
    </xdr:from>
    <xdr:to>
      <xdr:col>3</xdr:col>
      <xdr:colOff>581025</xdr:colOff>
      <xdr:row>12</xdr:row>
      <xdr:rowOff>8659</xdr:rowOff>
    </xdr:to>
    <xdr:sp macro="[0]!cotisation" textlink="">
      <xdr:nvSpPr>
        <xdr:cNvPr id="6" name="Rectangle à coins arrondis 5"/>
        <xdr:cNvSpPr/>
      </xdr:nvSpPr>
      <xdr:spPr>
        <a:xfrm>
          <a:off x="2112818" y="1842655"/>
          <a:ext cx="1377662" cy="607868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Enregistrement</a:t>
          </a:r>
          <a:r>
            <a:rPr lang="fr-FR" sz="1400" baseline="0"/>
            <a:t> cotisation</a:t>
          </a:r>
          <a:endParaRPr lang="fr-FR" sz="1400"/>
        </a:p>
      </xdr:txBody>
    </xdr:sp>
    <xdr:clientData/>
  </xdr:twoCellAnchor>
  <xdr:twoCellAnchor>
    <xdr:from>
      <xdr:col>4</xdr:col>
      <xdr:colOff>276224</xdr:colOff>
      <xdr:row>8</xdr:row>
      <xdr:rowOff>121228</xdr:rowOff>
    </xdr:from>
    <xdr:to>
      <xdr:col>4</xdr:col>
      <xdr:colOff>1653886</xdr:colOff>
      <xdr:row>12</xdr:row>
      <xdr:rowOff>17318</xdr:rowOff>
    </xdr:to>
    <xdr:sp macro="[0]!AG" textlink="">
      <xdr:nvSpPr>
        <xdr:cNvPr id="7" name="Rectangle à coins arrondis 6"/>
        <xdr:cNvSpPr/>
      </xdr:nvSpPr>
      <xdr:spPr>
        <a:xfrm>
          <a:off x="4285383" y="1688523"/>
          <a:ext cx="1377662" cy="770659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Pointage AG</a:t>
          </a:r>
        </a:p>
      </xdr:txBody>
    </xdr:sp>
    <xdr:clientData/>
  </xdr:twoCellAnchor>
  <xdr:twoCellAnchor>
    <xdr:from>
      <xdr:col>13</xdr:col>
      <xdr:colOff>727363</xdr:colOff>
      <xdr:row>7</xdr:row>
      <xdr:rowOff>25978</xdr:rowOff>
    </xdr:from>
    <xdr:to>
      <xdr:col>16</xdr:col>
      <xdr:colOff>43294</xdr:colOff>
      <xdr:row>10</xdr:row>
      <xdr:rowOff>77931</xdr:rowOff>
    </xdr:to>
    <xdr:sp macro="[0]!appercu_avant_impression" textlink="">
      <xdr:nvSpPr>
        <xdr:cNvPr id="8" name="Rectangle à coins arrondis 7"/>
        <xdr:cNvSpPr/>
      </xdr:nvSpPr>
      <xdr:spPr>
        <a:xfrm>
          <a:off x="14564590" y="1385455"/>
          <a:ext cx="1723159" cy="64943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Imprimer</a:t>
          </a:r>
        </a:p>
      </xdr:txBody>
    </xdr:sp>
    <xdr:clientData/>
  </xdr:twoCellAnchor>
  <xdr:twoCellAnchor>
    <xdr:from>
      <xdr:col>0</xdr:col>
      <xdr:colOff>294409</xdr:colOff>
      <xdr:row>10</xdr:row>
      <xdr:rowOff>8659</xdr:rowOff>
    </xdr:from>
    <xdr:to>
      <xdr:col>1</xdr:col>
      <xdr:colOff>736022</xdr:colOff>
      <xdr:row>11</xdr:row>
      <xdr:rowOff>129886</xdr:rowOff>
    </xdr:to>
    <xdr:sp macro="[0]!EnvoiMail.EnvoiMail" textlink="">
      <xdr:nvSpPr>
        <xdr:cNvPr id="10" name="ZoneTexte 9"/>
        <xdr:cNvSpPr txBox="1"/>
      </xdr:nvSpPr>
      <xdr:spPr>
        <a:xfrm>
          <a:off x="294409" y="1965614"/>
          <a:ext cx="1272886" cy="415636"/>
        </a:xfrm>
        <a:prstGeom prst="rect">
          <a:avLst/>
        </a:prstGeom>
        <a:solidFill>
          <a:srgbClr val="FF0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Envoyer Mail</a:t>
          </a:r>
        </a:p>
      </xdr:txBody>
    </xdr:sp>
    <xdr:clientData/>
  </xdr:twoCellAnchor>
  <xdr:twoCellAnchor>
    <xdr:from>
      <xdr:col>3</xdr:col>
      <xdr:colOff>1047750</xdr:colOff>
      <xdr:row>3</xdr:row>
      <xdr:rowOff>34636</xdr:rowOff>
    </xdr:from>
    <xdr:to>
      <xdr:col>3</xdr:col>
      <xdr:colOff>1093469</xdr:colOff>
      <xdr:row>3</xdr:row>
      <xdr:rowOff>80355</xdr:rowOff>
    </xdr:to>
    <xdr:sp macro="" textlink="">
      <xdr:nvSpPr>
        <xdr:cNvPr id="11" name="ZoneTexte 10"/>
        <xdr:cNvSpPr txBox="1"/>
      </xdr:nvSpPr>
      <xdr:spPr>
        <a:xfrm>
          <a:off x="3957205" y="606136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" displayName="Tableau1" ref="A2:P37" totalsRowShown="0">
  <autoFilter ref="A2:P37"/>
  <tableColumns count="16">
    <tableColumn id="1" name="N°" dataDxfId="148"/>
    <tableColumn id="2" name="Civilite" dataDxfId="147"/>
    <tableColumn id="3" name="Nom" dataDxfId="146"/>
    <tableColumn id="4" name="Prénom" dataDxfId="145"/>
    <tableColumn id="5" name="N° et nom de la voie" dataDxfId="144"/>
    <tableColumn id="6" name="CP" dataDxfId="143"/>
    <tableColumn id="7" name="Commune" dataDxfId="142"/>
    <tableColumn id="8" name="Tél domicile" dataDxfId="141"/>
    <tableColumn id="9" name="Observations" dataDxfId="140"/>
    <tableColumn id="10" name="Ass Juridique" dataDxfId="139"/>
    <tableColumn id="11" name="Cot 2015" dataDxfId="138"/>
    <tableColumn id="12" name="Date" dataDxfId="137"/>
    <tableColumn id="13" name="Pouvoir AG" dataDxfId="136"/>
    <tableColumn id="14" name="Civil" dataDxfId="135"/>
    <tableColumn id="15" name="Pénal" dataDxfId="134"/>
    <tableColumn id="16" name="Rep AV" dataDxfId="133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6" name="ADVPSC2016" displayName="ADVPSC2016" ref="A2:U35" totalsRowShown="0">
  <autoFilter ref="A2:U35"/>
  <tableColumns count="21">
    <tableColumn id="1" name="N°" dataDxfId="132" totalsRowDxfId="131"/>
    <tableColumn id="2" name="Civilite" dataDxfId="130" totalsRowDxfId="129"/>
    <tableColumn id="3" name="Nom" dataDxfId="128" totalsRowDxfId="127"/>
    <tableColumn id="4" name="Prénom" dataDxfId="126" totalsRowDxfId="125"/>
    <tableColumn id="5" name="N° et nom de la voie" dataDxfId="124" totalsRowDxfId="123"/>
    <tableColumn id="6" name="CP" dataDxfId="122" totalsRowDxfId="121"/>
    <tableColumn id="7" name="Commune" dataDxfId="120" totalsRowDxfId="119"/>
    <tableColumn id="8" name="Tél domicile" dataDxfId="118" totalsRowDxfId="117"/>
    <tableColumn id="9" name="Observations" dataDxfId="116" totalsRowDxfId="115"/>
    <tableColumn id="10" name="Ass Juridique" dataDxfId="114"/>
    <tableColumn id="11" name="Cot 2016" dataDxfId="113" totalsRowDxfId="112"/>
    <tableColumn id="12" name="Date" dataDxfId="111" totalsRowDxfId="110"/>
    <tableColumn id="13" name="Pouvoir AG" dataDxfId="109" totalsRowDxfId="108"/>
    <tableColumn id="14" name="Civil" dataDxfId="107" totalsRowDxfId="106"/>
    <tableColumn id="15" name="Pénal" dataDxfId="105" totalsRowDxfId="104"/>
    <tableColumn id="16" name="Appel" dataDxfId="103" totalsRowDxfId="102"/>
    <tableColumn id="17" name="indemnisé" dataDxfId="101" totalsRowDxfId="100"/>
    <tableColumn id="18" name="Fac/BdeC" dataDxfId="99" totalsRowDxfId="98"/>
    <tableColumn id="19" name="Expertise" dataDxfId="97" totalsRowDxfId="96"/>
    <tableColumn id="20" name="Expertisable" dataDxfId="95" totalsRowDxfId="94"/>
    <tableColumn id="21" name="Gendarmerie" dataDxfId="93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3" name="ADVPSC20164" displayName="ADVPSC20164" ref="A2:V33" totalsRowShown="0">
  <autoFilter ref="A2:V33"/>
  <sortState ref="A3:V35">
    <sortCondition ref="C3:C35"/>
  </sortState>
  <tableColumns count="22">
    <tableColumn id="1" name="N°" dataDxfId="92" totalsRowDxfId="91"/>
    <tableColumn id="2" name="Civilite" dataDxfId="90" totalsRowDxfId="89"/>
    <tableColumn id="3" name="Nom" dataDxfId="88" totalsRowDxfId="87"/>
    <tableColumn id="4" name="Prénom" dataDxfId="86" totalsRowDxfId="85"/>
    <tableColumn id="5" name="N° et nom de la voie" dataDxfId="84" totalsRowDxfId="83"/>
    <tableColumn id="6" name="CP" dataDxfId="82" totalsRowDxfId="81"/>
    <tableColumn id="7" name="Commune" dataDxfId="80" totalsRowDxfId="79"/>
    <tableColumn id="8" name="Tél domicile" dataDxfId="78" totalsRowDxfId="77"/>
    <tableColumn id="9" name="Observations" dataDxfId="76" totalsRowDxfId="75"/>
    <tableColumn id="10" name="Ass Juridique" dataDxfId="74"/>
    <tableColumn id="11" name="Cot 2017" dataDxfId="73" totalsRowDxfId="72"/>
    <tableColumn id="12" name="Date" dataDxfId="71" totalsRowDxfId="70"/>
    <tableColumn id="13" name="Pouvoir AG" dataDxfId="69" totalsRowDxfId="68"/>
    <tableColumn id="14" name="Civil" dataDxfId="67" totalsRowDxfId="66"/>
    <tableColumn id="15" name="Pénal" dataDxfId="65" totalsRowDxfId="64"/>
    <tableColumn id="16" name="Appel" dataDxfId="63" totalsRowDxfId="62"/>
    <tableColumn id="17" name="indemnisé" dataDxfId="61" totalsRowDxfId="60"/>
    <tableColumn id="18" name="Fac/BdeC" dataDxfId="59" totalsRowDxfId="58"/>
    <tableColumn id="19" name="Expertise" dataDxfId="57" totalsRowDxfId="56"/>
    <tableColumn id="20" name="Expertisable" dataDxfId="55" totalsRowDxfId="54"/>
    <tableColumn id="21" name="Gendarmerie" dataDxfId="53"/>
    <tableColumn id="22" name="Colonne1" dataDxfId="52" totalsRowDxfId="51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5" name="advpsc2018" displayName="advpsc2018" ref="A15:W46" totalsRowShown="0" headerRowDxfId="50">
  <tableColumns count="23">
    <tableColumn id="1" name="N°" dataDxfId="49" totalsRowDxfId="48"/>
    <tableColumn id="2" name="Civilite" dataDxfId="47" totalsRowDxfId="46"/>
    <tableColumn id="3" name="Nom" dataDxfId="45" totalsRowDxfId="44"/>
    <tableColumn id="4" name="Prénom" dataDxfId="43" totalsRowDxfId="42"/>
    <tableColumn id="5" name="N° et nom de la voie" dataDxfId="41" totalsRowDxfId="40"/>
    <tableColumn id="6" name="CP" dataDxfId="39" totalsRowDxfId="38"/>
    <tableColumn id="7" name="Commune" dataDxfId="37" totalsRowDxfId="36"/>
    <tableColumn id="8" name="Tél domicile" dataDxfId="35" totalsRowDxfId="34"/>
    <tableColumn id="9" name="Observations" dataDxfId="33" totalsRowDxfId="32"/>
    <tableColumn id="10" name="Ass Juridique" dataDxfId="31"/>
    <tableColumn id="11" name="Cot 2018" dataDxfId="30" totalsRowDxfId="29"/>
    <tableColumn id="12" name="Date" dataDxfId="28" totalsRowDxfId="27"/>
    <tableColumn id="13" name="Pouvoir AG" dataDxfId="26" totalsRowDxfId="25"/>
    <tableColumn id="14" name="Civil" dataDxfId="24" totalsRowDxfId="23"/>
    <tableColumn id="15" name="Pénal" dataDxfId="22" totalsRowDxfId="21"/>
    <tableColumn id="16" name="Appel" dataDxfId="20" totalsRowDxfId="19"/>
    <tableColumn id="17" name="indemnisé" dataDxfId="18" totalsRowDxfId="17"/>
    <tableColumn id="18" name="Fac/BdeC" dataDxfId="16" totalsRowDxfId="15"/>
    <tableColumn id="19" name="Expertise" dataDxfId="14" totalsRowDxfId="13"/>
    <tableColumn id="20" name="Expertisable" dataDxfId="12" totalsRowDxfId="11"/>
    <tableColumn id="21" name="Gendarmerie" dataDxfId="10"/>
    <tableColumn id="22" name="Brissaud" dataDxfId="9" totalsRowDxfId="8"/>
    <tableColumn id="23" name="Mail" dataDxfId="7" totalsRowDxfId="6"/>
  </tableColumns>
  <tableStyleInfo name="Style de tableau 1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A3:E36" totalsRowShown="0" headerRowDxfId="5" tableBorderDxfId="4">
  <autoFilter ref="A3:E36"/>
  <tableColumns count="5">
    <tableColumn id="1" name="TITRE" dataDxfId="3"/>
    <tableColumn id="2" name="NOM" dataDxfId="2"/>
    <tableColumn id="3" name="GENDARMERIE"/>
    <tableColumn id="4" name="DGCcRF" dataDxfId="1"/>
    <tableColumn id="5" name="PROCUREUR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lecromguais@orange.fr" TargetMode="External"/><Relationship Id="rId13" Type="http://schemas.openxmlformats.org/officeDocument/2006/relationships/hyperlink" Target="mailto:yves.delestre@bbox.fr" TargetMode="External"/><Relationship Id="rId18" Type="http://schemas.openxmlformats.org/officeDocument/2006/relationships/hyperlink" Target="mailto:daniele.lepage@hotmail.fr" TargetMode="External"/><Relationship Id="rId26" Type="http://schemas.openxmlformats.org/officeDocument/2006/relationships/hyperlink" Target="mailto:kfrancois131@neuf.fr" TargetMode="External"/><Relationship Id="rId3" Type="http://schemas.openxmlformats.org/officeDocument/2006/relationships/hyperlink" Target="mailto:claandre@calixo.net" TargetMode="External"/><Relationship Id="rId21" Type="http://schemas.openxmlformats.org/officeDocument/2006/relationships/hyperlink" Target="mailto:hubert.renault@laposte.net" TargetMode="External"/><Relationship Id="rId7" Type="http://schemas.openxmlformats.org/officeDocument/2006/relationships/hyperlink" Target="mailto:judic-jerome@wanadoo.fr" TargetMode="External"/><Relationship Id="rId12" Type="http://schemas.openxmlformats.org/officeDocument/2006/relationships/hyperlink" Target="mailto:valerie.tregret@orange.fr" TargetMode="External"/><Relationship Id="rId17" Type="http://schemas.openxmlformats.org/officeDocument/2006/relationships/hyperlink" Target="mailto:gilbert.gourmelon@numericable.fr" TargetMode="External"/><Relationship Id="rId25" Type="http://schemas.openxmlformats.org/officeDocument/2006/relationships/hyperlink" Target="mailto:veillaud.stephane@free.fr" TargetMode="External"/><Relationship Id="rId2" Type="http://schemas.openxmlformats.org/officeDocument/2006/relationships/hyperlink" Target="mailto:rue-bidron.martine@orange.fr" TargetMode="External"/><Relationship Id="rId16" Type="http://schemas.openxmlformats.org/officeDocument/2006/relationships/hyperlink" Target="mailto:orguyrine@gmail.com" TargetMode="External"/><Relationship Id="rId20" Type="http://schemas.openxmlformats.org/officeDocument/2006/relationships/hyperlink" Target="mailto:jo.paulmier@hotmail.fr" TargetMode="External"/><Relationship Id="rId29" Type="http://schemas.openxmlformats.org/officeDocument/2006/relationships/hyperlink" Target="mailto:cguerittot@cegetel.net" TargetMode="External"/><Relationship Id="rId1" Type="http://schemas.openxmlformats.org/officeDocument/2006/relationships/hyperlink" Target="mailto:loic.pied@orange.fr" TargetMode="External"/><Relationship Id="rId6" Type="http://schemas.openxmlformats.org/officeDocument/2006/relationships/hyperlink" Target="mailto:danielle.gouret@orange.fr" TargetMode="External"/><Relationship Id="rId11" Type="http://schemas.openxmlformats.org/officeDocument/2006/relationships/hyperlink" Target="mailto:tressel.william@orange.fr" TargetMode="External"/><Relationship Id="rId24" Type="http://schemas.openxmlformats.org/officeDocument/2006/relationships/hyperlink" Target="mailto:madeleine.vannier@free.fr" TargetMode="External"/><Relationship Id="rId32" Type="http://schemas.openxmlformats.org/officeDocument/2006/relationships/table" Target="../tables/table4.xml"/><Relationship Id="rId5" Type="http://schemas.openxmlformats.org/officeDocument/2006/relationships/hyperlink" Target="mailto:clairethierrydubois@orange.fr" TargetMode="External"/><Relationship Id="rId15" Type="http://schemas.openxmlformats.org/officeDocument/2006/relationships/hyperlink" Target="mailto:jjdupas@yahoo.fr" TargetMode="External"/><Relationship Id="rId23" Type="http://schemas.openxmlformats.org/officeDocument/2006/relationships/hyperlink" Target="mailto:jacques.simon974@gmail.com" TargetMode="External"/><Relationship Id="rId28" Type="http://schemas.openxmlformats.org/officeDocument/2006/relationships/hyperlink" Target="mailto:famille.bouret@wanadoo.fr" TargetMode="External"/><Relationship Id="rId10" Type="http://schemas.openxmlformats.org/officeDocument/2006/relationships/hyperlink" Target="mailto:vivien-debray@wanadoo,fr" TargetMode="External"/><Relationship Id="rId19" Type="http://schemas.openxmlformats.org/officeDocument/2006/relationships/hyperlink" Target="mailto:emile.noe@cegetel.net" TargetMode="External"/><Relationship Id="rId31" Type="http://schemas.openxmlformats.org/officeDocument/2006/relationships/drawing" Target="../drawings/drawing2.xml"/><Relationship Id="rId4" Type="http://schemas.openxmlformats.org/officeDocument/2006/relationships/hyperlink" Target="mailto:moniquedeniel@orange.fr" TargetMode="External"/><Relationship Id="rId9" Type="http://schemas.openxmlformats.org/officeDocument/2006/relationships/hyperlink" Target="mailto:walter.moser@orange.fr" TargetMode="External"/><Relationship Id="rId14" Type="http://schemas.openxmlformats.org/officeDocument/2006/relationships/hyperlink" Target="mailto:familledatin@hotmail.fr" TargetMode="External"/><Relationship Id="rId22" Type="http://schemas.openxmlformats.org/officeDocument/2006/relationships/hyperlink" Target="mailto:orguyrine@orange.fr" TargetMode="External"/><Relationship Id="rId27" Type="http://schemas.openxmlformats.org/officeDocument/2006/relationships/hyperlink" Target="mailto:morel.jeannine0412@orange.fr" TargetMode="External"/><Relationship Id="rId30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46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13" sqref="C13"/>
    </sheetView>
  </sheetViews>
  <sheetFormatPr baseColWidth="10" defaultRowHeight="15" x14ac:dyDescent="0.25"/>
  <cols>
    <col min="1" max="1" width="8.140625" style="15" bestFit="1" customWidth="1"/>
    <col min="3" max="3" width="18.42578125" bestFit="1" customWidth="1"/>
    <col min="4" max="4" width="11" customWidth="1"/>
    <col min="5" max="5" width="27" bestFit="1" customWidth="1"/>
    <col min="6" max="6" width="11.42578125" style="89"/>
    <col min="7" max="7" width="25.7109375" bestFit="1" customWidth="1"/>
    <col min="8" max="8" width="14.140625" bestFit="1" customWidth="1"/>
    <col min="9" max="9" width="18" bestFit="1" customWidth="1"/>
    <col min="10" max="10" width="15" bestFit="1" customWidth="1"/>
    <col min="11" max="12" width="10.7109375" bestFit="1" customWidth="1"/>
    <col min="13" max="13" width="13.140625" bestFit="1" customWidth="1"/>
    <col min="14" max="14" width="10.140625" bestFit="1" customWidth="1"/>
    <col min="15" max="15" width="10.7109375" customWidth="1"/>
  </cols>
  <sheetData>
    <row r="1" spans="1:16" ht="20.100000000000001" customHeight="1" x14ac:dyDescent="0.25">
      <c r="A1" s="2" t="s">
        <v>0</v>
      </c>
      <c r="B1" s="2"/>
      <c r="C1" s="2"/>
      <c r="D1" s="2"/>
      <c r="E1" s="2" t="s">
        <v>1</v>
      </c>
      <c r="F1" s="87">
        <v>2015</v>
      </c>
      <c r="G1" s="2"/>
      <c r="H1" s="2"/>
      <c r="K1" s="3"/>
      <c r="L1" s="4"/>
    </row>
    <row r="2" spans="1:16" ht="20.100000000000001" customHeight="1" x14ac:dyDescent="0.25">
      <c r="A2" s="7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88" t="s">
        <v>7</v>
      </c>
      <c r="G2" s="5" t="s">
        <v>8</v>
      </c>
      <c r="H2" s="5" t="s">
        <v>9</v>
      </c>
      <c r="I2" s="25" t="s">
        <v>10</v>
      </c>
      <c r="J2" s="5" t="s">
        <v>11</v>
      </c>
      <c r="K2" s="6" t="s">
        <v>188</v>
      </c>
      <c r="L2" s="23" t="s">
        <v>12</v>
      </c>
      <c r="M2" s="5" t="s">
        <v>13</v>
      </c>
      <c r="N2" s="5" t="s">
        <v>14</v>
      </c>
      <c r="O2" s="5" t="s">
        <v>15</v>
      </c>
      <c r="P2" s="68" t="s">
        <v>202</v>
      </c>
    </row>
    <row r="3" spans="1:16" ht="20.100000000000001" customHeight="1" x14ac:dyDescent="0.25">
      <c r="A3" s="7">
        <v>3</v>
      </c>
      <c r="B3" s="38" t="s">
        <v>16</v>
      </c>
      <c r="C3" s="38" t="s">
        <v>17</v>
      </c>
      <c r="D3" s="38" t="s">
        <v>18</v>
      </c>
      <c r="E3" s="38" t="s">
        <v>19</v>
      </c>
      <c r="F3" s="78" t="s">
        <v>20</v>
      </c>
      <c r="G3" s="38" t="s">
        <v>21</v>
      </c>
      <c r="H3" s="39">
        <v>233343382</v>
      </c>
      <c r="I3" s="38" t="s">
        <v>22</v>
      </c>
      <c r="J3" s="38"/>
      <c r="K3" s="40">
        <v>30</v>
      </c>
      <c r="L3" s="41">
        <v>42066</v>
      </c>
      <c r="M3" s="38"/>
      <c r="N3" s="38" t="s">
        <v>186</v>
      </c>
      <c r="O3" s="38" t="s">
        <v>186</v>
      </c>
      <c r="P3" s="68" t="s">
        <v>200</v>
      </c>
    </row>
    <row r="4" spans="1:16" ht="20.100000000000001" customHeight="1" x14ac:dyDescent="0.25">
      <c r="A4" s="7">
        <v>4</v>
      </c>
      <c r="B4" s="38" t="s">
        <v>23</v>
      </c>
      <c r="C4" s="38" t="s">
        <v>24</v>
      </c>
      <c r="D4" s="38" t="s">
        <v>25</v>
      </c>
      <c r="E4" s="38" t="s">
        <v>26</v>
      </c>
      <c r="F4" s="78" t="s">
        <v>27</v>
      </c>
      <c r="G4" s="38" t="s">
        <v>28</v>
      </c>
      <c r="H4" s="39">
        <v>299072825</v>
      </c>
      <c r="I4" s="38" t="s">
        <v>22</v>
      </c>
      <c r="J4" s="38"/>
      <c r="K4" s="40">
        <v>30</v>
      </c>
      <c r="L4" s="41">
        <v>42044</v>
      </c>
      <c r="M4" s="38" t="s">
        <v>193</v>
      </c>
      <c r="N4" s="38" t="s">
        <v>186</v>
      </c>
      <c r="O4" s="38" t="s">
        <v>186</v>
      </c>
      <c r="P4" s="68"/>
    </row>
    <row r="5" spans="1:16" ht="20.100000000000001" customHeight="1" x14ac:dyDescent="0.25">
      <c r="A5" s="7">
        <v>7</v>
      </c>
      <c r="B5" s="38" t="s">
        <v>16</v>
      </c>
      <c r="C5" s="38" t="s">
        <v>29</v>
      </c>
      <c r="D5" s="38" t="s">
        <v>30</v>
      </c>
      <c r="E5" s="38" t="s">
        <v>31</v>
      </c>
      <c r="F5" s="78" t="s">
        <v>32</v>
      </c>
      <c r="G5" s="38" t="s">
        <v>33</v>
      </c>
      <c r="H5" s="39">
        <v>296423177</v>
      </c>
      <c r="I5" s="38" t="s">
        <v>22</v>
      </c>
      <c r="J5" s="38"/>
      <c r="K5" s="40">
        <v>30</v>
      </c>
      <c r="L5" s="41" t="s">
        <v>192</v>
      </c>
      <c r="M5" s="38" t="s">
        <v>193</v>
      </c>
      <c r="N5" s="38" t="s">
        <v>186</v>
      </c>
      <c r="O5" s="38" t="s">
        <v>186</v>
      </c>
      <c r="P5" s="68" t="s">
        <v>200</v>
      </c>
    </row>
    <row r="6" spans="1:16" ht="20.100000000000001" customHeight="1" x14ac:dyDescent="0.25">
      <c r="A6" s="7">
        <v>8</v>
      </c>
      <c r="B6" s="38" t="s">
        <v>16</v>
      </c>
      <c r="C6" s="38" t="s">
        <v>34</v>
      </c>
      <c r="D6" s="38" t="s">
        <v>35</v>
      </c>
      <c r="E6" s="38" t="s">
        <v>36</v>
      </c>
      <c r="F6" s="78" t="s">
        <v>37</v>
      </c>
      <c r="G6" s="38" t="s">
        <v>38</v>
      </c>
      <c r="H6" s="39">
        <v>240288829</v>
      </c>
      <c r="I6" s="38"/>
      <c r="J6" s="38"/>
      <c r="K6" s="40">
        <v>30</v>
      </c>
      <c r="L6" s="41">
        <v>42068</v>
      </c>
      <c r="M6" s="38" t="s">
        <v>193</v>
      </c>
      <c r="N6" s="38" t="s">
        <v>187</v>
      </c>
      <c r="O6" s="38" t="s">
        <v>187</v>
      </c>
      <c r="P6" s="68" t="s">
        <v>204</v>
      </c>
    </row>
    <row r="7" spans="1:16" ht="20.100000000000001" customHeight="1" x14ac:dyDescent="0.25">
      <c r="A7" s="7">
        <v>9</v>
      </c>
      <c r="B7" s="38" t="s">
        <v>16</v>
      </c>
      <c r="C7" s="38" t="s">
        <v>39</v>
      </c>
      <c r="D7" s="38" t="s">
        <v>40</v>
      </c>
      <c r="E7" s="38" t="s">
        <v>41</v>
      </c>
      <c r="F7" s="78" t="s">
        <v>42</v>
      </c>
      <c r="G7" s="38" t="s">
        <v>43</v>
      </c>
      <c r="H7" s="39">
        <v>233593483</v>
      </c>
      <c r="I7" s="38" t="s">
        <v>22</v>
      </c>
      <c r="J7" s="38" t="s">
        <v>11</v>
      </c>
      <c r="K7" s="40">
        <v>30</v>
      </c>
      <c r="L7" s="41">
        <v>42073</v>
      </c>
      <c r="M7" s="38"/>
      <c r="N7" s="38" t="s">
        <v>186</v>
      </c>
      <c r="O7" s="38" t="s">
        <v>186</v>
      </c>
      <c r="P7" s="68" t="s">
        <v>200</v>
      </c>
    </row>
    <row r="8" spans="1:16" ht="20.100000000000001" customHeight="1" x14ac:dyDescent="0.25">
      <c r="A8" s="8">
        <v>10</v>
      </c>
      <c r="B8" s="42" t="s">
        <v>16</v>
      </c>
      <c r="C8" s="42" t="s">
        <v>44</v>
      </c>
      <c r="D8" s="42" t="s">
        <v>45</v>
      </c>
      <c r="E8" s="42" t="s">
        <v>46</v>
      </c>
      <c r="F8" s="79" t="s">
        <v>47</v>
      </c>
      <c r="G8" s="42" t="s">
        <v>48</v>
      </c>
      <c r="H8" s="43">
        <v>389587454</v>
      </c>
      <c r="I8" s="42" t="s">
        <v>22</v>
      </c>
      <c r="J8" s="42"/>
      <c r="K8" s="44">
        <v>30</v>
      </c>
      <c r="L8" s="45">
        <v>42043</v>
      </c>
      <c r="M8" s="42" t="s">
        <v>193</v>
      </c>
      <c r="N8" s="38" t="s">
        <v>186</v>
      </c>
      <c r="O8" s="38" t="s">
        <v>186</v>
      </c>
      <c r="P8" s="68"/>
    </row>
    <row r="9" spans="1:16" ht="20.100000000000001" customHeight="1" x14ac:dyDescent="0.25">
      <c r="A9" s="24">
        <v>11</v>
      </c>
      <c r="B9" s="46" t="s">
        <v>16</v>
      </c>
      <c r="C9" s="46" t="s">
        <v>199</v>
      </c>
      <c r="D9" s="46" t="s">
        <v>49</v>
      </c>
      <c r="E9" s="46" t="s">
        <v>50</v>
      </c>
      <c r="F9" s="80" t="s">
        <v>51</v>
      </c>
      <c r="G9" s="46" t="s">
        <v>52</v>
      </c>
      <c r="H9" s="47"/>
      <c r="I9" s="46" t="s">
        <v>22</v>
      </c>
      <c r="J9" s="46"/>
      <c r="K9" s="48" t="s">
        <v>190</v>
      </c>
      <c r="L9" s="49"/>
      <c r="M9" s="46"/>
      <c r="N9" s="46" t="s">
        <v>187</v>
      </c>
      <c r="O9" s="38" t="s">
        <v>186</v>
      </c>
      <c r="P9" s="68"/>
    </row>
    <row r="10" spans="1:16" ht="20.100000000000001" customHeight="1" x14ac:dyDescent="0.25">
      <c r="A10" s="14">
        <v>13</v>
      </c>
      <c r="B10" s="50" t="s">
        <v>16</v>
      </c>
      <c r="C10" s="50" t="s">
        <v>53</v>
      </c>
      <c r="D10" s="50" t="s">
        <v>54</v>
      </c>
      <c r="E10" s="50" t="s">
        <v>55</v>
      </c>
      <c r="F10" s="81" t="s">
        <v>56</v>
      </c>
      <c r="G10" s="50" t="s">
        <v>57</v>
      </c>
      <c r="H10" s="51">
        <v>233582305</v>
      </c>
      <c r="I10" s="50" t="s">
        <v>22</v>
      </c>
      <c r="J10" s="50"/>
      <c r="K10" s="52">
        <v>30</v>
      </c>
      <c r="L10" s="53">
        <v>42037</v>
      </c>
      <c r="M10" s="50" t="s">
        <v>193</v>
      </c>
      <c r="N10" s="38" t="s">
        <v>186</v>
      </c>
      <c r="O10" s="38" t="s">
        <v>186</v>
      </c>
      <c r="P10" s="68" t="s">
        <v>198</v>
      </c>
    </row>
    <row r="11" spans="1:16" ht="20.100000000000001" customHeight="1" x14ac:dyDescent="0.25">
      <c r="A11" s="7">
        <v>16</v>
      </c>
      <c r="B11" s="38" t="s">
        <v>16</v>
      </c>
      <c r="C11" s="38" t="s">
        <v>58</v>
      </c>
      <c r="D11" s="38" t="s">
        <v>59</v>
      </c>
      <c r="E11" s="38" t="s">
        <v>60</v>
      </c>
      <c r="F11" s="78" t="s">
        <v>61</v>
      </c>
      <c r="G11" s="38" t="s">
        <v>62</v>
      </c>
      <c r="H11" s="39">
        <v>240869588</v>
      </c>
      <c r="I11" s="38" t="s">
        <v>22</v>
      </c>
      <c r="J11" s="38"/>
      <c r="K11" s="40">
        <v>30</v>
      </c>
      <c r="L11" s="41">
        <v>42076</v>
      </c>
      <c r="M11" s="38" t="s">
        <v>194</v>
      </c>
      <c r="N11" s="38" t="s">
        <v>186</v>
      </c>
      <c r="O11" s="38" t="s">
        <v>186</v>
      </c>
      <c r="P11" s="68"/>
    </row>
    <row r="12" spans="1:16" ht="20.100000000000001" customHeight="1" x14ac:dyDescent="0.25">
      <c r="A12" s="7">
        <v>17</v>
      </c>
      <c r="B12" s="38" t="s">
        <v>63</v>
      </c>
      <c r="C12" s="38" t="s">
        <v>64</v>
      </c>
      <c r="D12" s="38" t="s">
        <v>65</v>
      </c>
      <c r="E12" s="38" t="s">
        <v>66</v>
      </c>
      <c r="F12" s="78" t="s">
        <v>61</v>
      </c>
      <c r="G12" s="38" t="s">
        <v>67</v>
      </c>
      <c r="H12" s="39">
        <v>240288511</v>
      </c>
      <c r="I12" s="38" t="s">
        <v>22</v>
      </c>
      <c r="J12" s="38" t="s">
        <v>11</v>
      </c>
      <c r="K12" s="40">
        <v>30</v>
      </c>
      <c r="L12" s="41">
        <v>42066</v>
      </c>
      <c r="M12" s="38" t="s">
        <v>193</v>
      </c>
      <c r="N12" s="38" t="s">
        <v>186</v>
      </c>
      <c r="O12" s="38" t="s">
        <v>186</v>
      </c>
      <c r="P12" s="68" t="s">
        <v>200</v>
      </c>
    </row>
    <row r="13" spans="1:16" ht="20.100000000000001" customHeight="1" x14ac:dyDescent="0.25">
      <c r="A13" s="7">
        <v>19</v>
      </c>
      <c r="B13" s="38" t="s">
        <v>16</v>
      </c>
      <c r="C13" s="38" t="s">
        <v>68</v>
      </c>
      <c r="D13" s="38" t="s">
        <v>69</v>
      </c>
      <c r="E13" s="38" t="s">
        <v>70</v>
      </c>
      <c r="F13" s="78" t="s">
        <v>71</v>
      </c>
      <c r="G13" s="38" t="s">
        <v>72</v>
      </c>
      <c r="H13" s="39">
        <v>233599971</v>
      </c>
      <c r="I13" s="38" t="s">
        <v>22</v>
      </c>
      <c r="J13" s="38"/>
      <c r="K13" s="40">
        <v>30</v>
      </c>
      <c r="L13" s="41">
        <v>42048</v>
      </c>
      <c r="M13" s="38" t="s">
        <v>193</v>
      </c>
      <c r="N13" s="38" t="s">
        <v>187</v>
      </c>
      <c r="O13" s="38" t="s">
        <v>186</v>
      </c>
      <c r="P13" s="68" t="s">
        <v>200</v>
      </c>
    </row>
    <row r="14" spans="1:16" ht="20.100000000000001" customHeight="1" x14ac:dyDescent="0.25">
      <c r="A14" s="7">
        <v>27</v>
      </c>
      <c r="B14" s="38" t="s">
        <v>16</v>
      </c>
      <c r="C14" s="38" t="s">
        <v>73</v>
      </c>
      <c r="D14" s="38" t="s">
        <v>74</v>
      </c>
      <c r="E14" s="38" t="s">
        <v>75</v>
      </c>
      <c r="F14" s="78" t="s">
        <v>76</v>
      </c>
      <c r="G14" s="38" t="s">
        <v>77</v>
      </c>
      <c r="H14" s="39">
        <v>240217566</v>
      </c>
      <c r="I14" s="38" t="s">
        <v>22</v>
      </c>
      <c r="J14" s="38"/>
      <c r="K14" s="40">
        <v>30</v>
      </c>
      <c r="L14" s="41">
        <v>42070</v>
      </c>
      <c r="M14" s="38" t="s">
        <v>194</v>
      </c>
      <c r="N14" s="38" t="s">
        <v>187</v>
      </c>
      <c r="O14" s="38" t="s">
        <v>186</v>
      </c>
      <c r="P14" s="68"/>
    </row>
    <row r="15" spans="1:16" ht="20.100000000000001" customHeight="1" x14ac:dyDescent="0.25">
      <c r="A15" s="31">
        <v>22</v>
      </c>
      <c r="B15" s="54" t="s">
        <v>16</v>
      </c>
      <c r="C15" s="54" t="s">
        <v>78</v>
      </c>
      <c r="D15" s="54" t="s">
        <v>79</v>
      </c>
      <c r="E15" s="54" t="s">
        <v>80</v>
      </c>
      <c r="F15" s="86" t="s">
        <v>81</v>
      </c>
      <c r="G15" s="54" t="s">
        <v>82</v>
      </c>
      <c r="H15" s="55">
        <v>233660014</v>
      </c>
      <c r="I15" s="54"/>
      <c r="J15" s="54"/>
      <c r="K15" s="56"/>
      <c r="L15" s="57"/>
      <c r="M15" s="54"/>
      <c r="N15" s="54" t="s">
        <v>187</v>
      </c>
      <c r="O15" s="58" t="s">
        <v>187</v>
      </c>
      <c r="P15" s="68" t="s">
        <v>204</v>
      </c>
    </row>
    <row r="16" spans="1:16" ht="20.100000000000001" customHeight="1" x14ac:dyDescent="0.25">
      <c r="A16" s="7">
        <v>25</v>
      </c>
      <c r="B16" s="38" t="s">
        <v>63</v>
      </c>
      <c r="C16" s="38" t="s">
        <v>189</v>
      </c>
      <c r="D16" s="38" t="s">
        <v>83</v>
      </c>
      <c r="E16" s="38" t="s">
        <v>84</v>
      </c>
      <c r="F16" s="78" t="s">
        <v>85</v>
      </c>
      <c r="G16" s="38" t="s">
        <v>86</v>
      </c>
      <c r="H16" s="39">
        <v>659910577</v>
      </c>
      <c r="I16" s="38" t="s">
        <v>22</v>
      </c>
      <c r="J16" s="38"/>
      <c r="K16" s="40">
        <v>30</v>
      </c>
      <c r="L16" s="41">
        <v>42084</v>
      </c>
      <c r="M16" s="38" t="s">
        <v>193</v>
      </c>
      <c r="N16" s="38" t="s">
        <v>186</v>
      </c>
      <c r="O16" s="38" t="s">
        <v>186</v>
      </c>
      <c r="P16" s="68"/>
    </row>
    <row r="17" spans="1:16" ht="20.100000000000001" customHeight="1" x14ac:dyDescent="0.25">
      <c r="A17" s="7">
        <v>28</v>
      </c>
      <c r="B17" s="38" t="s">
        <v>16</v>
      </c>
      <c r="C17" s="38" t="s">
        <v>87</v>
      </c>
      <c r="D17" s="38" t="s">
        <v>35</v>
      </c>
      <c r="E17" s="38" t="s">
        <v>88</v>
      </c>
      <c r="F17" s="78" t="s">
        <v>89</v>
      </c>
      <c r="G17" s="38" t="s">
        <v>90</v>
      </c>
      <c r="H17" s="39">
        <v>240247803</v>
      </c>
      <c r="I17" s="38" t="s">
        <v>22</v>
      </c>
      <c r="J17" s="38"/>
      <c r="K17" s="40">
        <v>30</v>
      </c>
      <c r="L17" s="41">
        <v>42070</v>
      </c>
      <c r="M17" s="38" t="s">
        <v>194</v>
      </c>
      <c r="N17" s="38" t="s">
        <v>187</v>
      </c>
      <c r="O17" s="38" t="s">
        <v>186</v>
      </c>
      <c r="P17" s="68"/>
    </row>
    <row r="18" spans="1:16" ht="20.100000000000001" customHeight="1" x14ac:dyDescent="0.25">
      <c r="A18" s="7">
        <v>29</v>
      </c>
      <c r="B18" s="38" t="s">
        <v>16</v>
      </c>
      <c r="C18" s="38" t="s">
        <v>91</v>
      </c>
      <c r="D18" s="38" t="s">
        <v>30</v>
      </c>
      <c r="E18" s="38" t="s">
        <v>92</v>
      </c>
      <c r="F18" s="78" t="s">
        <v>93</v>
      </c>
      <c r="G18" s="38" t="s">
        <v>94</v>
      </c>
      <c r="H18" s="39">
        <v>298283516</v>
      </c>
      <c r="I18" s="38" t="s">
        <v>22</v>
      </c>
      <c r="J18" s="38" t="s">
        <v>11</v>
      </c>
      <c r="K18" s="40">
        <v>30</v>
      </c>
      <c r="L18" s="41">
        <v>42041</v>
      </c>
      <c r="M18" s="38" t="s">
        <v>193</v>
      </c>
      <c r="N18" s="38" t="s">
        <v>186</v>
      </c>
      <c r="O18" s="38" t="s">
        <v>186</v>
      </c>
      <c r="P18" s="68" t="s">
        <v>200</v>
      </c>
    </row>
    <row r="19" spans="1:16" ht="20.100000000000001" customHeight="1" x14ac:dyDescent="0.25">
      <c r="A19" s="7">
        <v>32</v>
      </c>
      <c r="B19" s="38" t="s">
        <v>16</v>
      </c>
      <c r="C19" s="38" t="s">
        <v>95</v>
      </c>
      <c r="D19" s="38" t="s">
        <v>96</v>
      </c>
      <c r="E19" s="38" t="s">
        <v>97</v>
      </c>
      <c r="F19" s="78" t="s">
        <v>98</v>
      </c>
      <c r="G19" s="38" t="s">
        <v>99</v>
      </c>
      <c r="H19" s="39">
        <v>381931579</v>
      </c>
      <c r="I19" s="38" t="s">
        <v>22</v>
      </c>
      <c r="J19" s="38"/>
      <c r="K19" s="40">
        <v>30</v>
      </c>
      <c r="L19" s="41">
        <v>42072</v>
      </c>
      <c r="M19" s="38" t="s">
        <v>193</v>
      </c>
      <c r="N19" s="38" t="s">
        <v>186</v>
      </c>
      <c r="O19" s="38" t="s">
        <v>186</v>
      </c>
      <c r="P19" s="68" t="s">
        <v>198</v>
      </c>
    </row>
    <row r="20" spans="1:16" ht="20.100000000000001" customHeight="1" x14ac:dyDescent="0.25">
      <c r="A20" s="8">
        <v>40</v>
      </c>
      <c r="B20" s="42" t="s">
        <v>16</v>
      </c>
      <c r="C20" s="42" t="s">
        <v>100</v>
      </c>
      <c r="D20" s="42" t="s">
        <v>101</v>
      </c>
      <c r="E20" s="42" t="s">
        <v>102</v>
      </c>
      <c r="F20" s="79" t="s">
        <v>51</v>
      </c>
      <c r="G20" s="42" t="s">
        <v>103</v>
      </c>
      <c r="H20" s="43">
        <v>240566952</v>
      </c>
      <c r="I20" s="42" t="s">
        <v>22</v>
      </c>
      <c r="J20" s="42"/>
      <c r="K20" s="44">
        <v>30</v>
      </c>
      <c r="L20" s="45">
        <v>42073</v>
      </c>
      <c r="M20" s="42"/>
      <c r="N20" s="42" t="s">
        <v>187</v>
      </c>
      <c r="O20" s="38" t="s">
        <v>186</v>
      </c>
      <c r="P20" s="68" t="s">
        <v>200</v>
      </c>
    </row>
    <row r="21" spans="1:16" ht="20.100000000000001" customHeight="1" x14ac:dyDescent="0.25">
      <c r="A21" s="26">
        <v>41</v>
      </c>
      <c r="B21" s="34" t="s">
        <v>16</v>
      </c>
      <c r="C21" s="34" t="s">
        <v>104</v>
      </c>
      <c r="D21" s="34" t="s">
        <v>105</v>
      </c>
      <c r="E21" s="34" t="s">
        <v>106</v>
      </c>
      <c r="F21" s="9" t="s">
        <v>107</v>
      </c>
      <c r="G21" s="34" t="s">
        <v>108</v>
      </c>
      <c r="H21" s="35">
        <v>389391671</v>
      </c>
      <c r="I21" s="9"/>
      <c r="J21" s="9"/>
      <c r="K21" s="36"/>
      <c r="L21" s="37"/>
      <c r="M21" s="10"/>
      <c r="N21" s="10" t="s">
        <v>187</v>
      </c>
      <c r="O21" s="10" t="s">
        <v>187</v>
      </c>
      <c r="P21" s="68" t="s">
        <v>204</v>
      </c>
    </row>
    <row r="22" spans="1:16" ht="20.100000000000001" customHeight="1" x14ac:dyDescent="0.25">
      <c r="A22" s="11">
        <v>45</v>
      </c>
      <c r="B22" s="59" t="s">
        <v>16</v>
      </c>
      <c r="C22" s="59" t="s">
        <v>109</v>
      </c>
      <c r="D22" s="59" t="s">
        <v>110</v>
      </c>
      <c r="E22" s="59" t="s">
        <v>111</v>
      </c>
      <c r="F22" s="82" t="s">
        <v>112</v>
      </c>
      <c r="G22" s="59" t="s">
        <v>113</v>
      </c>
      <c r="H22" s="60">
        <v>297607398</v>
      </c>
      <c r="I22" s="59" t="s">
        <v>22</v>
      </c>
      <c r="J22" s="59" t="s">
        <v>11</v>
      </c>
      <c r="K22" s="61">
        <v>30</v>
      </c>
      <c r="L22" s="62">
        <v>42045</v>
      </c>
      <c r="M22" s="59" t="s">
        <v>193</v>
      </c>
      <c r="N22" s="38" t="s">
        <v>186</v>
      </c>
      <c r="O22" s="38" t="s">
        <v>186</v>
      </c>
      <c r="P22" s="68" t="s">
        <v>200</v>
      </c>
    </row>
    <row r="23" spans="1:16" ht="20.100000000000001" customHeight="1" x14ac:dyDescent="0.25">
      <c r="A23" s="26">
        <v>44</v>
      </c>
      <c r="B23" s="34" t="s">
        <v>16</v>
      </c>
      <c r="C23" s="34" t="s">
        <v>114</v>
      </c>
      <c r="D23" s="34" t="s">
        <v>79</v>
      </c>
      <c r="E23" s="34" t="s">
        <v>115</v>
      </c>
      <c r="F23" s="12" t="s">
        <v>116</v>
      </c>
      <c r="G23" s="34" t="s">
        <v>117</v>
      </c>
      <c r="H23" s="35">
        <v>233504043</v>
      </c>
      <c r="I23" s="9"/>
      <c r="J23" s="9"/>
      <c r="K23" s="36"/>
      <c r="L23" s="37"/>
      <c r="M23" s="13"/>
      <c r="N23" s="10" t="s">
        <v>187</v>
      </c>
      <c r="O23" s="10" t="s">
        <v>187</v>
      </c>
      <c r="P23" s="68" t="s">
        <v>204</v>
      </c>
    </row>
    <row r="24" spans="1:16" ht="20.100000000000001" customHeight="1" x14ac:dyDescent="0.25">
      <c r="A24" s="11">
        <v>47</v>
      </c>
      <c r="B24" s="59" t="s">
        <v>16</v>
      </c>
      <c r="C24" s="59" t="s">
        <v>118</v>
      </c>
      <c r="D24" s="59" t="s">
        <v>105</v>
      </c>
      <c r="E24" s="59" t="s">
        <v>119</v>
      </c>
      <c r="F24" s="82" t="s">
        <v>120</v>
      </c>
      <c r="G24" s="59" t="s">
        <v>121</v>
      </c>
      <c r="H24" s="60">
        <v>326039670</v>
      </c>
      <c r="I24" s="59" t="s">
        <v>22</v>
      </c>
      <c r="J24" s="59" t="s">
        <v>11</v>
      </c>
      <c r="K24" s="61">
        <v>30</v>
      </c>
      <c r="L24" s="62">
        <v>42044</v>
      </c>
      <c r="M24" s="59" t="s">
        <v>193</v>
      </c>
      <c r="N24" s="38" t="s">
        <v>186</v>
      </c>
      <c r="O24" s="38" t="s">
        <v>186</v>
      </c>
      <c r="P24" s="68"/>
    </row>
    <row r="25" spans="1:16" ht="20.100000000000001" customHeight="1" x14ac:dyDescent="0.25">
      <c r="A25" s="26">
        <v>53</v>
      </c>
      <c r="B25" s="34" t="s">
        <v>63</v>
      </c>
      <c r="C25" s="34" t="s">
        <v>122</v>
      </c>
      <c r="D25" s="34" t="s">
        <v>123</v>
      </c>
      <c r="E25" s="34" t="s">
        <v>124</v>
      </c>
      <c r="F25" s="9" t="s">
        <v>125</v>
      </c>
      <c r="G25" s="34" t="s">
        <v>126</v>
      </c>
      <c r="H25" s="35">
        <v>233606454</v>
      </c>
      <c r="I25" s="9"/>
      <c r="J25" s="9"/>
      <c r="K25" s="36">
        <v>30</v>
      </c>
      <c r="L25" s="37">
        <v>42061</v>
      </c>
      <c r="M25" s="10"/>
      <c r="N25" s="10" t="s">
        <v>187</v>
      </c>
      <c r="O25" s="10" t="s">
        <v>187</v>
      </c>
      <c r="P25" s="68" t="s">
        <v>204</v>
      </c>
    </row>
    <row r="26" spans="1:16" ht="20.100000000000001" customHeight="1" x14ac:dyDescent="0.25">
      <c r="A26" s="14">
        <v>54</v>
      </c>
      <c r="B26" s="50" t="s">
        <v>16</v>
      </c>
      <c r="C26" s="50" t="s">
        <v>127</v>
      </c>
      <c r="D26" s="50" t="s">
        <v>128</v>
      </c>
      <c r="E26" s="50" t="s">
        <v>129</v>
      </c>
      <c r="F26" s="81" t="s">
        <v>130</v>
      </c>
      <c r="G26" s="50" t="s">
        <v>131</v>
      </c>
      <c r="H26" s="51">
        <v>389409150</v>
      </c>
      <c r="I26" s="50" t="s">
        <v>22</v>
      </c>
      <c r="J26" s="50"/>
      <c r="K26" s="52">
        <v>30</v>
      </c>
      <c r="L26" s="53">
        <v>42041</v>
      </c>
      <c r="M26" s="50" t="s">
        <v>193</v>
      </c>
      <c r="N26" s="38" t="s">
        <v>186</v>
      </c>
      <c r="O26" s="38" t="s">
        <v>186</v>
      </c>
      <c r="P26" s="68" t="s">
        <v>200</v>
      </c>
    </row>
    <row r="27" spans="1:16" ht="20.100000000000001" customHeight="1" x14ac:dyDescent="0.25">
      <c r="A27" s="7">
        <v>56</v>
      </c>
      <c r="B27" s="38" t="s">
        <v>16</v>
      </c>
      <c r="C27" s="38" t="s">
        <v>132</v>
      </c>
      <c r="D27" s="38" t="s">
        <v>133</v>
      </c>
      <c r="E27" s="38" t="s">
        <v>134</v>
      </c>
      <c r="F27" s="78" t="s">
        <v>135</v>
      </c>
      <c r="G27" s="38" t="s">
        <v>136</v>
      </c>
      <c r="H27" s="39">
        <v>344733400</v>
      </c>
      <c r="I27" s="38"/>
      <c r="J27" s="38"/>
      <c r="K27" s="40">
        <v>30</v>
      </c>
      <c r="L27" s="41">
        <v>42040</v>
      </c>
      <c r="M27" s="38" t="s">
        <v>193</v>
      </c>
      <c r="N27" s="38" t="s">
        <v>187</v>
      </c>
      <c r="O27" s="38" t="s">
        <v>187</v>
      </c>
      <c r="P27" s="68" t="s">
        <v>204</v>
      </c>
    </row>
    <row r="28" spans="1:16" ht="20.100000000000001" customHeight="1" x14ac:dyDescent="0.25">
      <c r="A28" s="7">
        <v>57</v>
      </c>
      <c r="B28" s="38" t="s">
        <v>16</v>
      </c>
      <c r="C28" s="38" t="s">
        <v>137</v>
      </c>
      <c r="D28" s="38" t="s">
        <v>138</v>
      </c>
      <c r="E28" s="38" t="s">
        <v>139</v>
      </c>
      <c r="F28" s="78" t="s">
        <v>140</v>
      </c>
      <c r="G28" s="38" t="s">
        <v>141</v>
      </c>
      <c r="H28" s="39">
        <v>344087305</v>
      </c>
      <c r="I28" s="38" t="s">
        <v>22</v>
      </c>
      <c r="J28" s="38" t="s">
        <v>11</v>
      </c>
      <c r="K28" s="40">
        <v>30</v>
      </c>
      <c r="L28" s="41">
        <v>42061</v>
      </c>
      <c r="M28" s="38" t="s">
        <v>193</v>
      </c>
      <c r="N28" s="38" t="s">
        <v>186</v>
      </c>
      <c r="O28" s="38" t="s">
        <v>186</v>
      </c>
      <c r="P28" s="68" t="s">
        <v>198</v>
      </c>
    </row>
    <row r="29" spans="1:16" ht="20.100000000000001" customHeight="1" x14ac:dyDescent="0.25">
      <c r="A29" s="7">
        <v>58</v>
      </c>
      <c r="B29" s="38" t="s">
        <v>16</v>
      </c>
      <c r="C29" s="38" t="s">
        <v>142</v>
      </c>
      <c r="D29" s="38" t="s">
        <v>143</v>
      </c>
      <c r="E29" s="38" t="s">
        <v>144</v>
      </c>
      <c r="F29" s="78" t="s">
        <v>145</v>
      </c>
      <c r="G29" s="38" t="s">
        <v>146</v>
      </c>
      <c r="H29" s="39">
        <v>240010338</v>
      </c>
      <c r="I29" s="38" t="s">
        <v>22</v>
      </c>
      <c r="J29" s="38"/>
      <c r="K29" s="40">
        <v>30</v>
      </c>
      <c r="L29" s="41">
        <v>42072</v>
      </c>
      <c r="M29" s="38" t="s">
        <v>194</v>
      </c>
      <c r="N29" s="38" t="s">
        <v>186</v>
      </c>
      <c r="O29" s="38" t="s">
        <v>186</v>
      </c>
      <c r="P29" s="68" t="s">
        <v>200</v>
      </c>
    </row>
    <row r="30" spans="1:16" ht="20.100000000000001" customHeight="1" x14ac:dyDescent="0.25">
      <c r="A30" s="7" t="s">
        <v>191</v>
      </c>
      <c r="B30" s="38" t="s">
        <v>63</v>
      </c>
      <c r="C30" s="38" t="s">
        <v>147</v>
      </c>
      <c r="D30" s="38" t="s">
        <v>148</v>
      </c>
      <c r="E30" s="38" t="s">
        <v>149</v>
      </c>
      <c r="F30" s="78" t="s">
        <v>150</v>
      </c>
      <c r="G30" s="38" t="s">
        <v>151</v>
      </c>
      <c r="H30" s="39">
        <v>233484019</v>
      </c>
      <c r="I30" s="38"/>
      <c r="J30" s="38"/>
      <c r="K30" s="40">
        <v>30</v>
      </c>
      <c r="L30" s="41">
        <v>42154</v>
      </c>
      <c r="M30" s="38"/>
      <c r="N30" s="38" t="s">
        <v>187</v>
      </c>
      <c r="O30" s="38" t="s">
        <v>187</v>
      </c>
      <c r="P30" s="68" t="s">
        <v>204</v>
      </c>
    </row>
    <row r="31" spans="1:16" ht="20.100000000000001" customHeight="1" x14ac:dyDescent="0.25">
      <c r="A31" s="7">
        <v>62</v>
      </c>
      <c r="B31" s="38" t="s">
        <v>16</v>
      </c>
      <c r="C31" s="38" t="s">
        <v>152</v>
      </c>
      <c r="D31" s="38" t="s">
        <v>153</v>
      </c>
      <c r="E31" s="38" t="s">
        <v>154</v>
      </c>
      <c r="F31" s="78" t="s">
        <v>155</v>
      </c>
      <c r="G31" s="38" t="s">
        <v>156</v>
      </c>
      <c r="H31" s="39">
        <v>233319751</v>
      </c>
      <c r="I31" s="38" t="s">
        <v>22</v>
      </c>
      <c r="J31" s="38" t="s">
        <v>11</v>
      </c>
      <c r="K31" s="40">
        <v>30</v>
      </c>
      <c r="L31" s="41">
        <v>42070</v>
      </c>
      <c r="M31" s="38"/>
      <c r="N31" s="38" t="s">
        <v>186</v>
      </c>
      <c r="O31" s="38" t="s">
        <v>186</v>
      </c>
      <c r="P31" s="68" t="s">
        <v>201</v>
      </c>
    </row>
    <row r="32" spans="1:16" ht="20.100000000000001" customHeight="1" x14ac:dyDescent="0.25">
      <c r="A32" s="7">
        <v>64</v>
      </c>
      <c r="B32" s="38" t="s">
        <v>16</v>
      </c>
      <c r="C32" s="38" t="s">
        <v>157</v>
      </c>
      <c r="D32" s="38" t="s">
        <v>158</v>
      </c>
      <c r="E32" s="38" t="s">
        <v>159</v>
      </c>
      <c r="F32" s="78" t="s">
        <v>160</v>
      </c>
      <c r="G32" s="38" t="s">
        <v>161</v>
      </c>
      <c r="H32" s="39">
        <v>240915275</v>
      </c>
      <c r="I32" s="38" t="s">
        <v>22</v>
      </c>
      <c r="J32" s="38"/>
      <c r="K32" s="40">
        <v>30</v>
      </c>
      <c r="L32" s="41">
        <v>42369</v>
      </c>
      <c r="M32" s="38" t="s">
        <v>194</v>
      </c>
      <c r="N32" s="38" t="s">
        <v>186</v>
      </c>
      <c r="O32" s="38" t="s">
        <v>186</v>
      </c>
      <c r="P32" s="68"/>
    </row>
    <row r="33" spans="1:16" ht="20.100000000000001" customHeight="1" x14ac:dyDescent="0.25">
      <c r="A33" s="7">
        <v>69</v>
      </c>
      <c r="B33" s="38" t="s">
        <v>16</v>
      </c>
      <c r="C33" s="38" t="s">
        <v>162</v>
      </c>
      <c r="D33" s="38" t="s">
        <v>163</v>
      </c>
      <c r="E33" s="38" t="s">
        <v>164</v>
      </c>
      <c r="F33" s="78" t="s">
        <v>165</v>
      </c>
      <c r="G33" s="38" t="s">
        <v>166</v>
      </c>
      <c r="H33" s="39">
        <v>297751332</v>
      </c>
      <c r="I33" s="38" t="s">
        <v>22</v>
      </c>
      <c r="J33" s="38" t="s">
        <v>11</v>
      </c>
      <c r="K33" s="40">
        <v>30</v>
      </c>
      <c r="L33" s="41">
        <v>42070</v>
      </c>
      <c r="M33" s="38" t="s">
        <v>194</v>
      </c>
      <c r="N33" s="38" t="s">
        <v>186</v>
      </c>
      <c r="O33" s="38" t="s">
        <v>186</v>
      </c>
      <c r="P33" s="68"/>
    </row>
    <row r="34" spans="1:16" ht="20.100000000000001" customHeight="1" x14ac:dyDescent="0.25">
      <c r="A34" s="7">
        <v>73</v>
      </c>
      <c r="B34" s="38" t="s">
        <v>16</v>
      </c>
      <c r="C34" s="38" t="s">
        <v>167</v>
      </c>
      <c r="D34" s="38" t="s">
        <v>168</v>
      </c>
      <c r="E34" s="38" t="s">
        <v>169</v>
      </c>
      <c r="F34" s="78" t="s">
        <v>51</v>
      </c>
      <c r="G34" s="38" t="s">
        <v>170</v>
      </c>
      <c r="H34" s="39">
        <v>240566793</v>
      </c>
      <c r="I34" s="38" t="s">
        <v>22</v>
      </c>
      <c r="J34" s="38"/>
      <c r="K34" s="40">
        <v>30</v>
      </c>
      <c r="L34" s="41">
        <v>42075</v>
      </c>
      <c r="M34" s="38" t="s">
        <v>193</v>
      </c>
      <c r="N34" s="38" t="s">
        <v>187</v>
      </c>
      <c r="O34" s="38" t="s">
        <v>186</v>
      </c>
      <c r="P34" s="68"/>
    </row>
    <row r="35" spans="1:16" ht="20.100000000000001" customHeight="1" x14ac:dyDescent="0.25">
      <c r="A35" s="7">
        <v>75</v>
      </c>
      <c r="B35" s="38" t="s">
        <v>63</v>
      </c>
      <c r="C35" s="38" t="s">
        <v>171</v>
      </c>
      <c r="D35" s="38" t="s">
        <v>172</v>
      </c>
      <c r="E35" s="38" t="s">
        <v>173</v>
      </c>
      <c r="F35" s="78" t="s">
        <v>174</v>
      </c>
      <c r="G35" s="38" t="s">
        <v>175</v>
      </c>
      <c r="H35" s="39">
        <v>344734925</v>
      </c>
      <c r="I35" s="38" t="s">
        <v>22</v>
      </c>
      <c r="J35" s="38" t="s">
        <v>11</v>
      </c>
      <c r="K35" s="40">
        <v>30</v>
      </c>
      <c r="L35" s="41">
        <v>42041</v>
      </c>
      <c r="M35" s="38" t="s">
        <v>193</v>
      </c>
      <c r="N35" s="38" t="s">
        <v>186</v>
      </c>
      <c r="O35" s="38" t="s">
        <v>186</v>
      </c>
      <c r="P35" s="68" t="s">
        <v>200</v>
      </c>
    </row>
    <row r="36" spans="1:16" ht="20.100000000000001" customHeight="1" x14ac:dyDescent="0.25">
      <c r="A36" s="7">
        <v>77</v>
      </c>
      <c r="B36" s="38" t="s">
        <v>16</v>
      </c>
      <c r="C36" s="38" t="s">
        <v>176</v>
      </c>
      <c r="D36" s="38" t="s">
        <v>177</v>
      </c>
      <c r="E36" s="38" t="s">
        <v>203</v>
      </c>
      <c r="F36" s="78" t="s">
        <v>145</v>
      </c>
      <c r="G36" s="38" t="s">
        <v>146</v>
      </c>
      <c r="H36" s="39">
        <v>240010227</v>
      </c>
      <c r="I36" s="38" t="s">
        <v>22</v>
      </c>
      <c r="J36" s="38"/>
      <c r="K36" s="40">
        <v>30</v>
      </c>
      <c r="L36" s="41">
        <v>42054</v>
      </c>
      <c r="M36" s="38" t="s">
        <v>193</v>
      </c>
      <c r="N36" s="38" t="s">
        <v>186</v>
      </c>
      <c r="O36" s="38" t="s">
        <v>186</v>
      </c>
      <c r="P36" s="68" t="s">
        <v>198</v>
      </c>
    </row>
    <row r="37" spans="1:16" ht="20.100000000000001" customHeight="1" x14ac:dyDescent="0.25">
      <c r="A37" s="7">
        <v>78</v>
      </c>
      <c r="B37" s="38" t="s">
        <v>16</v>
      </c>
      <c r="C37" s="38" t="s">
        <v>185</v>
      </c>
      <c r="D37" s="38" t="s">
        <v>163</v>
      </c>
      <c r="E37" s="38" t="s">
        <v>178</v>
      </c>
      <c r="F37" s="78" t="s">
        <v>179</v>
      </c>
      <c r="G37" s="38" t="s">
        <v>180</v>
      </c>
      <c r="H37" s="39">
        <v>231627538</v>
      </c>
      <c r="I37" s="38" t="s">
        <v>22</v>
      </c>
      <c r="J37" s="38"/>
      <c r="K37" s="40">
        <v>30</v>
      </c>
      <c r="L37" s="41">
        <v>42074</v>
      </c>
      <c r="M37" s="38"/>
      <c r="N37" s="38" t="s">
        <v>186</v>
      </c>
      <c r="O37" s="38" t="s">
        <v>186</v>
      </c>
      <c r="P37" s="68"/>
    </row>
    <row r="38" spans="1:16" ht="20.100000000000001" customHeight="1" x14ac:dyDescent="0.25">
      <c r="K38" s="3"/>
      <c r="L38" s="4"/>
    </row>
    <row r="39" spans="1:16" ht="20.100000000000001" customHeight="1" x14ac:dyDescent="0.25">
      <c r="K39" s="3"/>
      <c r="L39" s="64" t="s">
        <v>195</v>
      </c>
      <c r="M39" s="65">
        <f>COUNTIF(M3:M37,"Présent")</f>
        <v>6</v>
      </c>
    </row>
    <row r="40" spans="1:16" ht="20.100000000000001" customHeight="1" x14ac:dyDescent="0.25">
      <c r="A40" s="1" t="s">
        <v>181</v>
      </c>
      <c r="B40" s="197"/>
      <c r="C40" s="27">
        <f>COUNTA(C3:C37)</f>
        <v>35</v>
      </c>
      <c r="I40" s="15">
        <f>COUNTIF(I3:I37,"a*")</f>
        <v>28</v>
      </c>
      <c r="J40" s="15">
        <f>COUNTIF(J4:J37,"Ass*")</f>
        <v>9</v>
      </c>
      <c r="K40" s="16">
        <f>SUM(K3:K37)</f>
        <v>930</v>
      </c>
      <c r="L40" s="66" t="s">
        <v>196</v>
      </c>
      <c r="M40" s="67">
        <f>COUNTIF(M4:M37,"OK")</f>
        <v>18</v>
      </c>
      <c r="N40" s="15">
        <f>COUNTIF(Tableau1[Civil],"Oui")</f>
        <v>22</v>
      </c>
      <c r="O40" s="15">
        <f>COUNTIF(O3:O37,"Oui")</f>
        <v>28</v>
      </c>
    </row>
    <row r="41" spans="1:16" ht="20.100000000000001" customHeight="1" x14ac:dyDescent="0.25">
      <c r="I41" s="15">
        <f>COUNTIF(I3:I37,"")</f>
        <v>7</v>
      </c>
      <c r="K41" s="28">
        <f>COUNTIF(K3:K37,"30")</f>
        <v>31</v>
      </c>
      <c r="L41" s="4"/>
      <c r="M41" s="63" t="s">
        <v>182</v>
      </c>
      <c r="N41" s="70"/>
      <c r="O41" s="71">
        <f>COUNTIFS(N3:N37,"Oui",O3:O37,"Oui")</f>
        <v>22</v>
      </c>
    </row>
    <row r="42" spans="1:16" ht="20.100000000000001" customHeight="1" x14ac:dyDescent="0.25">
      <c r="K42" s="69">
        <f>COUNTIF(K3:K37,"")</f>
        <v>3</v>
      </c>
      <c r="L42" s="4"/>
      <c r="N42" s="29" t="s">
        <v>187</v>
      </c>
      <c r="O42" s="30">
        <f>COUNTIF(O3:O37,"Non")</f>
        <v>7</v>
      </c>
    </row>
    <row r="43" spans="1:16" ht="20.100000000000001" customHeight="1" x14ac:dyDescent="0.25">
      <c r="I43" s="17" t="s">
        <v>205</v>
      </c>
      <c r="J43" s="18"/>
      <c r="K43" s="19">
        <f>COUNTIFS(K3:K37,"",I3:I37,"av*")</f>
        <v>0</v>
      </c>
      <c r="L43" s="4"/>
    </row>
    <row r="44" spans="1:16" ht="20.100000000000001" customHeight="1" x14ac:dyDescent="0.25">
      <c r="I44" s="17" t="s">
        <v>206</v>
      </c>
      <c r="J44" s="18"/>
      <c r="K44" s="19">
        <f>COUNTIFS(I3:I37,"",K3:K37,"")</f>
        <v>3</v>
      </c>
      <c r="L44" s="4"/>
      <c r="M44" s="20">
        <f>SUMPRODUCT((N4:N37="Non")*1,(O4:O37="Oui")*1)</f>
        <v>6</v>
      </c>
      <c r="N44" s="21" t="s">
        <v>183</v>
      </c>
    </row>
    <row r="45" spans="1:16" ht="20.100000000000001" customHeight="1" x14ac:dyDescent="0.25">
      <c r="B45" s="22"/>
      <c r="C45" s="22"/>
      <c r="D45" s="22"/>
      <c r="E45" s="22"/>
      <c r="F45" s="90"/>
    </row>
    <row r="46" spans="1:16" x14ac:dyDescent="0.25">
      <c r="A46" s="32"/>
      <c r="B46" t="s">
        <v>184</v>
      </c>
      <c r="M46" s="33">
        <f>COUNTIFS(O3:O37,"Non",N3:N37,"Oui")</f>
        <v>0</v>
      </c>
      <c r="N46" s="198" t="s">
        <v>197</v>
      </c>
      <c r="O46" s="199"/>
    </row>
  </sheetData>
  <mergeCells count="2">
    <mergeCell ref="A40:B40"/>
    <mergeCell ref="N46:O46"/>
  </mergeCells>
  <conditionalFormatting sqref="A25:O25 A21:O21 A23:O23">
    <cfRule type="expression" dxfId="153" priority="1">
      <formula>MOD(ROW()+1,2)</formula>
    </cfRule>
  </conditionalFormatting>
  <conditionalFormatting sqref="A21:M21 A23:M23 A25:M25">
    <cfRule type="expression" dxfId="152" priority="12">
      <formula>MOD(ROW()+1,2)</formula>
    </cfRule>
    <cfRule type="expression" dxfId="151" priority="13">
      <formula>MOD(ROW()+1,2)</formula>
    </cfRule>
    <cfRule type="expression" dxfId="150" priority="14">
      <formula>"mod(ligne()+1;2)"</formula>
    </cfRule>
    <cfRule type="expression" dxfId="149" priority="15">
      <formula>"md(ligne)+1;2))"</formula>
    </cfRule>
  </conditionalFormatting>
  <printOptions horizontalCentered="1" verticalCentered="1"/>
  <pageMargins left="0.31496062992125984" right="0.31496062992125984" top="0.15748031496062992" bottom="0.15748031496062992" header="0.31496062992125984" footer="0.31496062992125984"/>
  <pageSetup paperSize="9" scale="62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U61"/>
  <sheetViews>
    <sheetView workbookViewId="0">
      <pane xSplit="3" ySplit="2" topLeftCell="F3" activePane="bottomRight" state="frozen"/>
      <selection pane="topRight" activeCell="D1" sqref="D1"/>
      <selection pane="bottomLeft" activeCell="A3" sqref="A3"/>
      <selection pane="bottomRight" activeCell="A3" sqref="A3:U35"/>
    </sheetView>
  </sheetViews>
  <sheetFormatPr baseColWidth="10" defaultRowHeight="15" x14ac:dyDescent="0.25"/>
  <cols>
    <col min="1" max="1" width="11.42578125" customWidth="1"/>
    <col min="2" max="2" width="10.7109375" customWidth="1"/>
    <col min="3" max="3" width="18.42578125" bestFit="1" customWidth="1"/>
    <col min="5" max="5" width="27" bestFit="1" customWidth="1"/>
    <col min="6" max="6" width="8.5703125" style="89" bestFit="1" customWidth="1"/>
    <col min="7" max="7" width="25" bestFit="1" customWidth="1"/>
    <col min="8" max="8" width="14.140625" bestFit="1" customWidth="1"/>
    <col min="9" max="9" width="11.42578125" customWidth="1"/>
    <col min="10" max="10" width="15.28515625" customWidth="1"/>
    <col min="11" max="11" width="10.7109375" style="93" customWidth="1"/>
    <col min="12" max="12" width="10.7109375" style="126" customWidth="1"/>
    <col min="13" max="13" width="13.140625" customWidth="1"/>
    <col min="14" max="16" width="11.42578125" customWidth="1"/>
    <col min="17" max="17" width="12.7109375" style="15" customWidth="1"/>
    <col min="18" max="18" width="11.42578125" customWidth="1"/>
    <col min="19" max="19" width="15.42578125" customWidth="1"/>
    <col min="20" max="21" width="17.28515625" bestFit="1" customWidth="1"/>
  </cols>
  <sheetData>
    <row r="1" spans="1:21" x14ac:dyDescent="0.25">
      <c r="A1" t="s">
        <v>0</v>
      </c>
      <c r="B1" s="2"/>
      <c r="C1" s="2"/>
      <c r="D1" s="2"/>
      <c r="E1" s="2" t="s">
        <v>1</v>
      </c>
      <c r="F1" s="87" t="s">
        <v>242</v>
      </c>
      <c r="G1" s="2"/>
      <c r="H1" s="2"/>
      <c r="L1" s="4"/>
    </row>
    <row r="2" spans="1:21" x14ac:dyDescent="0.25">
      <c r="A2" s="7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118" t="s">
        <v>7</v>
      </c>
      <c r="G2" s="5" t="s">
        <v>8</v>
      </c>
      <c r="H2" s="5" t="s">
        <v>9</v>
      </c>
      <c r="I2" s="25" t="s">
        <v>10</v>
      </c>
      <c r="J2" s="5" t="s">
        <v>11</v>
      </c>
      <c r="K2" s="94" t="s">
        <v>209</v>
      </c>
      <c r="L2" s="23" t="s">
        <v>12</v>
      </c>
      <c r="M2" s="5" t="s">
        <v>13</v>
      </c>
      <c r="N2" s="5" t="s">
        <v>14</v>
      </c>
      <c r="O2" s="5" t="s">
        <v>15</v>
      </c>
      <c r="P2" s="68" t="s">
        <v>210</v>
      </c>
      <c r="Q2" s="15" t="s">
        <v>248</v>
      </c>
      <c r="R2" t="s">
        <v>252</v>
      </c>
      <c r="S2" s="15" t="s">
        <v>254</v>
      </c>
      <c r="T2" s="15" t="s">
        <v>255</v>
      </c>
      <c r="U2" s="15" t="s">
        <v>258</v>
      </c>
    </row>
    <row r="3" spans="1:21" s="68" customFormat="1" x14ac:dyDescent="0.25">
      <c r="A3" s="7">
        <v>3</v>
      </c>
      <c r="B3" s="38" t="s">
        <v>16</v>
      </c>
      <c r="C3" s="38" t="s">
        <v>17</v>
      </c>
      <c r="D3" s="38" t="s">
        <v>18</v>
      </c>
      <c r="E3" s="38" t="s">
        <v>245</v>
      </c>
      <c r="F3" s="78" t="s">
        <v>20</v>
      </c>
      <c r="G3" s="38" t="s">
        <v>246</v>
      </c>
      <c r="H3" s="39">
        <v>233343382</v>
      </c>
      <c r="I3" s="38" t="s">
        <v>22</v>
      </c>
      <c r="J3" s="38"/>
      <c r="K3" s="95">
        <v>30</v>
      </c>
      <c r="L3" s="41">
        <v>42440</v>
      </c>
      <c r="M3" s="38" t="s">
        <v>224</v>
      </c>
      <c r="N3" s="38" t="s">
        <v>186</v>
      </c>
      <c r="O3" s="38" t="s">
        <v>186</v>
      </c>
      <c r="P3" s="68" t="s">
        <v>243</v>
      </c>
      <c r="Q3" s="68" t="s">
        <v>193</v>
      </c>
      <c r="R3" s="68" t="s">
        <v>243</v>
      </c>
      <c r="S3" s="68" t="s">
        <v>186</v>
      </c>
      <c r="T3" s="68" t="s">
        <v>186</v>
      </c>
      <c r="U3" s="129" t="s">
        <v>201</v>
      </c>
    </row>
    <row r="4" spans="1:21" s="68" customFormat="1" x14ac:dyDescent="0.25">
      <c r="A4" s="7">
        <v>4</v>
      </c>
      <c r="B4" s="38" t="s">
        <v>23</v>
      </c>
      <c r="C4" s="38" t="s">
        <v>24</v>
      </c>
      <c r="D4" s="38" t="s">
        <v>25</v>
      </c>
      <c r="E4" s="38" t="s">
        <v>26</v>
      </c>
      <c r="F4" s="78" t="s">
        <v>27</v>
      </c>
      <c r="G4" s="38" t="s">
        <v>28</v>
      </c>
      <c r="H4" s="39">
        <v>299072825</v>
      </c>
      <c r="I4" s="78" t="s">
        <v>22</v>
      </c>
      <c r="J4" s="38"/>
      <c r="K4" s="95">
        <v>30</v>
      </c>
      <c r="L4" s="41">
        <v>42467</v>
      </c>
      <c r="M4" s="38"/>
      <c r="N4" s="38" t="s">
        <v>186</v>
      </c>
      <c r="O4" s="38" t="s">
        <v>186</v>
      </c>
      <c r="P4" s="68" t="s">
        <v>243</v>
      </c>
      <c r="Q4" s="68" t="s">
        <v>187</v>
      </c>
      <c r="R4" s="68" t="s">
        <v>243</v>
      </c>
      <c r="S4" s="68" t="s">
        <v>187</v>
      </c>
      <c r="T4" s="68" t="s">
        <v>186</v>
      </c>
      <c r="U4" s="119" t="s">
        <v>187</v>
      </c>
    </row>
    <row r="5" spans="1:21" s="68" customFormat="1" x14ac:dyDescent="0.25">
      <c r="A5" s="7">
        <v>7</v>
      </c>
      <c r="B5" s="38" t="s">
        <v>16</v>
      </c>
      <c r="C5" s="38" t="s">
        <v>29</v>
      </c>
      <c r="D5" s="38" t="s">
        <v>30</v>
      </c>
      <c r="E5" s="38" t="s">
        <v>31</v>
      </c>
      <c r="F5" s="78" t="s">
        <v>32</v>
      </c>
      <c r="G5" s="38" t="s">
        <v>33</v>
      </c>
      <c r="H5" s="39">
        <v>296423177</v>
      </c>
      <c r="I5" s="78" t="s">
        <v>22</v>
      </c>
      <c r="J5" s="38"/>
      <c r="K5" s="95">
        <v>30</v>
      </c>
      <c r="L5" s="41">
        <v>42452</v>
      </c>
      <c r="M5" s="38" t="s">
        <v>224</v>
      </c>
      <c r="N5" s="38" t="s">
        <v>186</v>
      </c>
      <c r="O5" s="38" t="s">
        <v>186</v>
      </c>
      <c r="P5" s="68" t="s">
        <v>244</v>
      </c>
      <c r="Q5" s="68" t="s">
        <v>187</v>
      </c>
      <c r="R5" s="68" t="s">
        <v>201</v>
      </c>
      <c r="S5" s="68" t="s">
        <v>187</v>
      </c>
      <c r="T5" s="68" t="s">
        <v>187</v>
      </c>
      <c r="U5" s="119" t="s">
        <v>186</v>
      </c>
    </row>
    <row r="6" spans="1:21" s="68" customFormat="1" x14ac:dyDescent="0.25">
      <c r="A6" s="7">
        <v>8</v>
      </c>
      <c r="B6" s="38" t="s">
        <v>16</v>
      </c>
      <c r="C6" s="38" t="s">
        <v>34</v>
      </c>
      <c r="D6" s="38" t="s">
        <v>35</v>
      </c>
      <c r="E6" s="38" t="s">
        <v>36</v>
      </c>
      <c r="F6" s="78" t="s">
        <v>37</v>
      </c>
      <c r="G6" s="38" t="s">
        <v>38</v>
      </c>
      <c r="H6" s="39">
        <v>240288829</v>
      </c>
      <c r="I6" s="78"/>
      <c r="J6" s="38"/>
      <c r="K6" s="95">
        <v>30</v>
      </c>
      <c r="L6" s="41">
        <v>42464</v>
      </c>
      <c r="M6" s="38" t="s">
        <v>224</v>
      </c>
      <c r="N6" s="38" t="s">
        <v>187</v>
      </c>
      <c r="O6" s="38" t="s">
        <v>187</v>
      </c>
      <c r="P6" s="68" t="s">
        <v>244</v>
      </c>
      <c r="Q6" s="68" t="s">
        <v>187</v>
      </c>
      <c r="R6" s="68" t="s">
        <v>243</v>
      </c>
      <c r="S6" s="68" t="s">
        <v>187</v>
      </c>
      <c r="T6" s="68" t="s">
        <v>187</v>
      </c>
      <c r="U6" s="119" t="s">
        <v>186</v>
      </c>
    </row>
    <row r="7" spans="1:21" s="68" customFormat="1" x14ac:dyDescent="0.25">
      <c r="A7" s="7">
        <v>9</v>
      </c>
      <c r="B7" s="38" t="s">
        <v>16</v>
      </c>
      <c r="C7" s="38" t="s">
        <v>39</v>
      </c>
      <c r="D7" s="38" t="s">
        <v>40</v>
      </c>
      <c r="E7" s="38" t="s">
        <v>41</v>
      </c>
      <c r="F7" s="78" t="s">
        <v>42</v>
      </c>
      <c r="G7" s="38" t="s">
        <v>43</v>
      </c>
      <c r="H7" s="39" t="s">
        <v>213</v>
      </c>
      <c r="I7" s="78" t="s">
        <v>22</v>
      </c>
      <c r="J7" s="38" t="s">
        <v>11</v>
      </c>
      <c r="K7" s="95">
        <v>30</v>
      </c>
      <c r="L7" s="41">
        <v>42467</v>
      </c>
      <c r="M7" s="38" t="s">
        <v>224</v>
      </c>
      <c r="N7" s="38" t="s">
        <v>186</v>
      </c>
      <c r="O7" s="38" t="s">
        <v>186</v>
      </c>
      <c r="P7" s="68" t="s">
        <v>243</v>
      </c>
      <c r="Q7" s="68" t="s">
        <v>193</v>
      </c>
      <c r="R7" s="68" t="s">
        <v>243</v>
      </c>
      <c r="S7" s="68" t="s">
        <v>187</v>
      </c>
      <c r="T7" s="68" t="s">
        <v>186</v>
      </c>
      <c r="U7" s="119" t="s">
        <v>201</v>
      </c>
    </row>
    <row r="8" spans="1:21" s="68" customFormat="1" x14ac:dyDescent="0.25">
      <c r="A8" s="8">
        <v>10</v>
      </c>
      <c r="B8" s="42" t="s">
        <v>16</v>
      </c>
      <c r="C8" s="42" t="s">
        <v>44</v>
      </c>
      <c r="D8" s="42" t="s">
        <v>45</v>
      </c>
      <c r="E8" s="42" t="s">
        <v>46</v>
      </c>
      <c r="F8" s="79" t="s">
        <v>47</v>
      </c>
      <c r="G8" s="42" t="s">
        <v>48</v>
      </c>
      <c r="H8" s="43">
        <v>389587454</v>
      </c>
      <c r="I8" s="79" t="s">
        <v>22</v>
      </c>
      <c r="J8" s="42"/>
      <c r="K8" s="96">
        <v>30</v>
      </c>
      <c r="L8" s="45">
        <v>42453</v>
      </c>
      <c r="M8" s="42" t="s">
        <v>193</v>
      </c>
      <c r="N8" s="38" t="s">
        <v>186</v>
      </c>
      <c r="O8" s="38" t="s">
        <v>186</v>
      </c>
      <c r="P8" s="68" t="s">
        <v>243</v>
      </c>
      <c r="Q8" s="68" t="s">
        <v>193</v>
      </c>
      <c r="R8" s="68" t="s">
        <v>243</v>
      </c>
      <c r="S8" s="68" t="s">
        <v>187</v>
      </c>
      <c r="T8" s="68" t="s">
        <v>187</v>
      </c>
      <c r="U8" s="119" t="s">
        <v>186</v>
      </c>
    </row>
    <row r="9" spans="1:21" s="68" customFormat="1" x14ac:dyDescent="0.25">
      <c r="A9" s="24">
        <v>11</v>
      </c>
      <c r="B9" s="46" t="s">
        <v>16</v>
      </c>
      <c r="C9" s="46" t="s">
        <v>199</v>
      </c>
      <c r="D9" s="46" t="s">
        <v>49</v>
      </c>
      <c r="E9" s="46" t="s">
        <v>50</v>
      </c>
      <c r="F9" s="80" t="s">
        <v>51</v>
      </c>
      <c r="G9" s="46" t="s">
        <v>52</v>
      </c>
      <c r="H9" s="47"/>
      <c r="I9" s="80" t="s">
        <v>22</v>
      </c>
      <c r="J9" s="46"/>
      <c r="K9" s="97" t="s">
        <v>190</v>
      </c>
      <c r="L9" s="49"/>
      <c r="M9" s="46"/>
      <c r="N9" s="46" t="s">
        <v>187</v>
      </c>
      <c r="O9" s="38" t="s">
        <v>186</v>
      </c>
      <c r="P9" s="68" t="s">
        <v>244</v>
      </c>
      <c r="Q9" s="68" t="s">
        <v>187</v>
      </c>
      <c r="R9" s="68" t="s">
        <v>249</v>
      </c>
      <c r="S9" s="68" t="s">
        <v>187</v>
      </c>
      <c r="T9" s="68" t="s">
        <v>187</v>
      </c>
      <c r="U9" s="119" t="s">
        <v>187</v>
      </c>
    </row>
    <row r="10" spans="1:21" x14ac:dyDescent="0.25">
      <c r="A10" s="14">
        <v>13</v>
      </c>
      <c r="B10" s="50" t="s">
        <v>16</v>
      </c>
      <c r="C10" s="50" t="s">
        <v>53</v>
      </c>
      <c r="D10" s="50" t="s">
        <v>54</v>
      </c>
      <c r="E10" s="50" t="s">
        <v>55</v>
      </c>
      <c r="F10" s="81" t="s">
        <v>56</v>
      </c>
      <c r="G10" s="50" t="s">
        <v>57</v>
      </c>
      <c r="H10" s="51">
        <v>233582305</v>
      </c>
      <c r="I10" s="81" t="s">
        <v>22</v>
      </c>
      <c r="J10" s="50"/>
      <c r="K10" s="98">
        <v>30</v>
      </c>
      <c r="L10" s="53">
        <v>42453</v>
      </c>
      <c r="M10" s="50" t="s">
        <v>193</v>
      </c>
      <c r="N10" s="38" t="s">
        <v>186</v>
      </c>
      <c r="O10" s="38" t="s">
        <v>186</v>
      </c>
      <c r="P10" s="68" t="s">
        <v>243</v>
      </c>
      <c r="Q10" s="68" t="s">
        <v>193</v>
      </c>
      <c r="R10" s="68" t="s">
        <v>243</v>
      </c>
      <c r="S10" s="68" t="s">
        <v>187</v>
      </c>
      <c r="T10" s="68" t="s">
        <v>186</v>
      </c>
      <c r="U10" s="119" t="s">
        <v>187</v>
      </c>
    </row>
    <row r="11" spans="1:21" ht="20.100000000000001" customHeight="1" x14ac:dyDescent="0.25">
      <c r="A11" s="7">
        <v>16</v>
      </c>
      <c r="B11" s="38" t="s">
        <v>16</v>
      </c>
      <c r="C11" s="38" t="s">
        <v>58</v>
      </c>
      <c r="D11" s="38" t="s">
        <v>59</v>
      </c>
      <c r="E11" s="38" t="s">
        <v>60</v>
      </c>
      <c r="F11" s="78" t="s">
        <v>61</v>
      </c>
      <c r="G11" s="38" t="s">
        <v>62</v>
      </c>
      <c r="H11" s="39">
        <v>240869588</v>
      </c>
      <c r="I11" s="78" t="s">
        <v>22</v>
      </c>
      <c r="J11" s="38"/>
      <c r="K11" s="95">
        <v>30</v>
      </c>
      <c r="L11" s="41">
        <v>42509</v>
      </c>
      <c r="M11" s="38" t="s">
        <v>194</v>
      </c>
      <c r="N11" s="38" t="s">
        <v>186</v>
      </c>
      <c r="O11" s="38" t="s">
        <v>186</v>
      </c>
      <c r="P11" s="68" t="s">
        <v>243</v>
      </c>
      <c r="Q11" s="68" t="s">
        <v>193</v>
      </c>
      <c r="R11" s="68" t="s">
        <v>243</v>
      </c>
      <c r="S11" s="68" t="s">
        <v>186</v>
      </c>
      <c r="T11" s="68" t="s">
        <v>187</v>
      </c>
      <c r="U11" s="123" t="s">
        <v>187</v>
      </c>
    </row>
    <row r="12" spans="1:21" x14ac:dyDescent="0.25">
      <c r="A12" s="7">
        <v>17</v>
      </c>
      <c r="B12" s="38" t="s">
        <v>63</v>
      </c>
      <c r="C12" s="38" t="s">
        <v>64</v>
      </c>
      <c r="D12" s="38" t="s">
        <v>65</v>
      </c>
      <c r="E12" s="38" t="s">
        <v>66</v>
      </c>
      <c r="F12" s="78" t="s">
        <v>37</v>
      </c>
      <c r="G12" s="38" t="s">
        <v>67</v>
      </c>
      <c r="H12" s="39">
        <v>240288511</v>
      </c>
      <c r="I12" s="78" t="s">
        <v>22</v>
      </c>
      <c r="J12" s="38" t="s">
        <v>11</v>
      </c>
      <c r="K12" s="95">
        <v>30</v>
      </c>
      <c r="L12" s="41">
        <v>42460</v>
      </c>
      <c r="M12" s="38" t="s">
        <v>224</v>
      </c>
      <c r="N12" s="38" t="s">
        <v>186</v>
      </c>
      <c r="O12" s="38" t="s">
        <v>186</v>
      </c>
      <c r="P12" s="46" t="s">
        <v>243</v>
      </c>
      <c r="Q12" s="46" t="s">
        <v>193</v>
      </c>
      <c r="R12" s="68" t="s">
        <v>243</v>
      </c>
      <c r="S12" s="68" t="s">
        <v>186</v>
      </c>
      <c r="T12" s="68" t="s">
        <v>187</v>
      </c>
      <c r="U12" s="123" t="s">
        <v>186</v>
      </c>
    </row>
    <row r="13" spans="1:21" ht="20.100000000000001" customHeight="1" x14ac:dyDescent="0.25">
      <c r="A13" s="7">
        <v>19</v>
      </c>
      <c r="B13" s="38" t="s">
        <v>16</v>
      </c>
      <c r="C13" s="38" t="s">
        <v>68</v>
      </c>
      <c r="D13" s="38" t="s">
        <v>69</v>
      </c>
      <c r="E13" s="38" t="s">
        <v>70</v>
      </c>
      <c r="F13" s="78" t="s">
        <v>71</v>
      </c>
      <c r="G13" s="38" t="s">
        <v>72</v>
      </c>
      <c r="H13" s="39">
        <v>233599971</v>
      </c>
      <c r="I13" s="78" t="s">
        <v>22</v>
      </c>
      <c r="J13" s="38"/>
      <c r="K13" s="95">
        <v>30</v>
      </c>
      <c r="L13" s="41">
        <v>42458</v>
      </c>
      <c r="M13" s="38" t="s">
        <v>224</v>
      </c>
      <c r="N13" s="38" t="s">
        <v>187</v>
      </c>
      <c r="O13" s="38" t="s">
        <v>186</v>
      </c>
      <c r="P13" s="68" t="s">
        <v>244</v>
      </c>
      <c r="Q13" s="15" t="s">
        <v>187</v>
      </c>
      <c r="R13" s="68" t="s">
        <v>249</v>
      </c>
      <c r="S13" s="68" t="s">
        <v>187</v>
      </c>
      <c r="T13" s="68" t="s">
        <v>187</v>
      </c>
      <c r="U13" s="123" t="s">
        <v>187</v>
      </c>
    </row>
    <row r="14" spans="1:21" s="68" customFormat="1" x14ac:dyDescent="0.25">
      <c r="A14" s="7">
        <v>27</v>
      </c>
      <c r="B14" s="38" t="s">
        <v>16</v>
      </c>
      <c r="C14" s="38" t="s">
        <v>73</v>
      </c>
      <c r="D14" s="38" t="s">
        <v>74</v>
      </c>
      <c r="E14" s="38" t="s">
        <v>75</v>
      </c>
      <c r="F14" s="78" t="s">
        <v>76</v>
      </c>
      <c r="G14" s="38" t="s">
        <v>77</v>
      </c>
      <c r="H14" s="39">
        <v>240217566</v>
      </c>
      <c r="I14" s="78" t="s">
        <v>22</v>
      </c>
      <c r="J14" s="38"/>
      <c r="K14" s="95">
        <v>30</v>
      </c>
      <c r="L14" s="41">
        <v>42462</v>
      </c>
      <c r="M14" s="38" t="s">
        <v>194</v>
      </c>
      <c r="N14" s="38" t="s">
        <v>187</v>
      </c>
      <c r="O14" s="38" t="s">
        <v>186</v>
      </c>
      <c r="P14" s="68" t="s">
        <v>244</v>
      </c>
      <c r="Q14" s="68" t="s">
        <v>187</v>
      </c>
      <c r="R14" s="68" t="s">
        <v>243</v>
      </c>
      <c r="S14" s="68" t="s">
        <v>186</v>
      </c>
      <c r="T14" s="68" t="s">
        <v>187</v>
      </c>
      <c r="U14" s="123" t="s">
        <v>187</v>
      </c>
    </row>
    <row r="15" spans="1:21" s="68" customFormat="1" x14ac:dyDescent="0.25">
      <c r="A15" s="7">
        <v>25</v>
      </c>
      <c r="B15" s="38" t="s">
        <v>63</v>
      </c>
      <c r="C15" s="38" t="s">
        <v>189</v>
      </c>
      <c r="D15" s="38" t="s">
        <v>83</v>
      </c>
      <c r="E15" s="38" t="s">
        <v>84</v>
      </c>
      <c r="F15" s="78" t="s">
        <v>85</v>
      </c>
      <c r="G15" s="38" t="s">
        <v>86</v>
      </c>
      <c r="H15" s="39">
        <v>659910577</v>
      </c>
      <c r="I15" s="78" t="s">
        <v>22</v>
      </c>
      <c r="J15" s="38"/>
      <c r="K15" s="95">
        <v>30</v>
      </c>
      <c r="L15" s="41">
        <v>42460</v>
      </c>
      <c r="M15" s="38" t="s">
        <v>224</v>
      </c>
      <c r="N15" s="38" t="s">
        <v>186</v>
      </c>
      <c r="O15" s="38" t="s">
        <v>186</v>
      </c>
      <c r="P15" s="68" t="s">
        <v>243</v>
      </c>
      <c r="Q15" s="68" t="s">
        <v>193</v>
      </c>
      <c r="R15" s="68" t="s">
        <v>243</v>
      </c>
      <c r="S15" s="68" t="s">
        <v>187</v>
      </c>
      <c r="T15" s="68" t="s">
        <v>201</v>
      </c>
      <c r="U15" s="119" t="s">
        <v>186</v>
      </c>
    </row>
    <row r="16" spans="1:21" s="68" customFormat="1" x14ac:dyDescent="0.25">
      <c r="A16" s="7">
        <v>28</v>
      </c>
      <c r="B16" s="38" t="s">
        <v>16</v>
      </c>
      <c r="C16" s="38" t="s">
        <v>87</v>
      </c>
      <c r="D16" s="38" t="s">
        <v>35</v>
      </c>
      <c r="E16" s="38" t="s">
        <v>88</v>
      </c>
      <c r="F16" s="78" t="s">
        <v>89</v>
      </c>
      <c r="G16" s="38" t="s">
        <v>90</v>
      </c>
      <c r="H16" s="39">
        <v>240247803</v>
      </c>
      <c r="I16" s="78" t="s">
        <v>22</v>
      </c>
      <c r="J16" s="38"/>
      <c r="K16" s="95">
        <v>40</v>
      </c>
      <c r="L16" s="41">
        <v>42532</v>
      </c>
      <c r="M16" s="38" t="s">
        <v>193</v>
      </c>
      <c r="N16" s="38" t="s">
        <v>187</v>
      </c>
      <c r="O16" s="38" t="s">
        <v>186</v>
      </c>
      <c r="P16" s="68" t="s">
        <v>244</v>
      </c>
      <c r="Q16" s="68" t="s">
        <v>187</v>
      </c>
      <c r="R16" s="68" t="s">
        <v>249</v>
      </c>
      <c r="S16" s="68" t="s">
        <v>187</v>
      </c>
      <c r="T16" s="68" t="s">
        <v>187</v>
      </c>
      <c r="U16" s="119" t="s">
        <v>187</v>
      </c>
    </row>
    <row r="17" spans="1:21" s="68" customFormat="1" x14ac:dyDescent="0.25">
      <c r="A17" s="7">
        <v>29</v>
      </c>
      <c r="B17" s="38" t="s">
        <v>16</v>
      </c>
      <c r="C17" s="38" t="s">
        <v>91</v>
      </c>
      <c r="D17" s="38" t="s">
        <v>30</v>
      </c>
      <c r="E17" s="38" t="s">
        <v>92</v>
      </c>
      <c r="F17" s="78" t="s">
        <v>93</v>
      </c>
      <c r="G17" s="38" t="s">
        <v>94</v>
      </c>
      <c r="H17" s="39">
        <v>298283516</v>
      </c>
      <c r="I17" s="78" t="s">
        <v>22</v>
      </c>
      <c r="J17" s="38" t="s">
        <v>11</v>
      </c>
      <c r="K17" s="95">
        <v>30</v>
      </c>
      <c r="L17" s="41">
        <v>42453</v>
      </c>
      <c r="M17" s="38" t="s">
        <v>193</v>
      </c>
      <c r="N17" s="38" t="s">
        <v>186</v>
      </c>
      <c r="O17" s="38" t="s">
        <v>186</v>
      </c>
      <c r="P17" s="68" t="s">
        <v>243</v>
      </c>
      <c r="Q17" s="68" t="s">
        <v>193</v>
      </c>
      <c r="R17" s="68" t="s">
        <v>243</v>
      </c>
      <c r="S17" s="68" t="s">
        <v>187</v>
      </c>
      <c r="T17" s="68" t="s">
        <v>187</v>
      </c>
      <c r="U17" s="119" t="s">
        <v>186</v>
      </c>
    </row>
    <row r="18" spans="1:21" s="68" customFormat="1" x14ac:dyDescent="0.25">
      <c r="A18" s="7">
        <v>32</v>
      </c>
      <c r="B18" s="38" t="s">
        <v>16</v>
      </c>
      <c r="C18" s="38" t="s">
        <v>95</v>
      </c>
      <c r="D18" s="38" t="s">
        <v>96</v>
      </c>
      <c r="E18" s="38" t="s">
        <v>97</v>
      </c>
      <c r="F18" s="78" t="s">
        <v>98</v>
      </c>
      <c r="G18" s="38" t="s">
        <v>99</v>
      </c>
      <c r="H18" s="39">
        <v>381931579</v>
      </c>
      <c r="I18" s="78" t="s">
        <v>22</v>
      </c>
      <c r="J18" s="38"/>
      <c r="K18" s="95">
        <v>30</v>
      </c>
      <c r="L18" s="41">
        <v>42462</v>
      </c>
      <c r="M18" s="38" t="s">
        <v>193</v>
      </c>
      <c r="N18" s="38" t="s">
        <v>186</v>
      </c>
      <c r="O18" s="38" t="s">
        <v>186</v>
      </c>
      <c r="P18" s="68" t="s">
        <v>243</v>
      </c>
      <c r="Q18" s="68" t="s">
        <v>187</v>
      </c>
      <c r="R18" s="68" t="s">
        <v>243</v>
      </c>
      <c r="S18" s="68" t="s">
        <v>186</v>
      </c>
      <c r="T18" s="68" t="s">
        <v>186</v>
      </c>
      <c r="U18" s="119" t="s">
        <v>187</v>
      </c>
    </row>
    <row r="19" spans="1:21" s="68" customFormat="1" x14ac:dyDescent="0.25">
      <c r="A19" s="8">
        <v>40</v>
      </c>
      <c r="B19" s="42" t="s">
        <v>16</v>
      </c>
      <c r="C19" s="42" t="s">
        <v>100</v>
      </c>
      <c r="D19" s="42" t="s">
        <v>101</v>
      </c>
      <c r="E19" s="42" t="s">
        <v>102</v>
      </c>
      <c r="F19" s="79" t="s">
        <v>51</v>
      </c>
      <c r="G19" s="42" t="s">
        <v>103</v>
      </c>
      <c r="H19" s="43">
        <v>240566952</v>
      </c>
      <c r="I19" s="79" t="s">
        <v>22</v>
      </c>
      <c r="J19" s="42"/>
      <c r="K19" s="96">
        <v>30</v>
      </c>
      <c r="L19" s="45">
        <v>42452</v>
      </c>
      <c r="M19" s="42"/>
      <c r="N19" s="42" t="s">
        <v>187</v>
      </c>
      <c r="O19" s="38" t="s">
        <v>186</v>
      </c>
      <c r="P19" s="68" t="s">
        <v>244</v>
      </c>
      <c r="Q19" s="68" t="s">
        <v>187</v>
      </c>
      <c r="R19" s="68" t="s">
        <v>249</v>
      </c>
      <c r="S19" s="68" t="s">
        <v>187</v>
      </c>
      <c r="T19" s="68" t="s">
        <v>187</v>
      </c>
      <c r="U19" s="119" t="s">
        <v>201</v>
      </c>
    </row>
    <row r="20" spans="1:21" s="68" customFormat="1" x14ac:dyDescent="0.25">
      <c r="A20" s="11">
        <v>41</v>
      </c>
      <c r="B20" s="59" t="s">
        <v>16</v>
      </c>
      <c r="C20" s="59" t="s">
        <v>104</v>
      </c>
      <c r="D20" s="59" t="s">
        <v>105</v>
      </c>
      <c r="E20" s="59" t="s">
        <v>106</v>
      </c>
      <c r="F20" s="82" t="s">
        <v>107</v>
      </c>
      <c r="G20" s="59" t="s">
        <v>108</v>
      </c>
      <c r="H20" s="60" t="s">
        <v>253</v>
      </c>
      <c r="I20" s="82"/>
      <c r="J20" s="59"/>
      <c r="K20" s="99">
        <v>30</v>
      </c>
      <c r="L20" s="62">
        <v>42532</v>
      </c>
      <c r="M20" s="59"/>
      <c r="N20" s="42" t="s">
        <v>187</v>
      </c>
      <c r="O20" s="38" t="s">
        <v>187</v>
      </c>
      <c r="P20" s="68" t="s">
        <v>244</v>
      </c>
      <c r="Q20" s="68" t="s">
        <v>187</v>
      </c>
      <c r="R20" s="68" t="s">
        <v>249</v>
      </c>
      <c r="S20" s="68" t="s">
        <v>187</v>
      </c>
      <c r="T20" s="68" t="s">
        <v>187</v>
      </c>
      <c r="U20" s="119" t="s">
        <v>186</v>
      </c>
    </row>
    <row r="21" spans="1:21" s="68" customFormat="1" x14ac:dyDescent="0.25">
      <c r="A21" s="11">
        <v>45</v>
      </c>
      <c r="B21" s="59" t="s">
        <v>16</v>
      </c>
      <c r="C21" s="59" t="s">
        <v>109</v>
      </c>
      <c r="D21" s="59" t="s">
        <v>110</v>
      </c>
      <c r="E21" s="59" t="s">
        <v>111</v>
      </c>
      <c r="F21" s="82" t="s">
        <v>112</v>
      </c>
      <c r="G21" s="59" t="s">
        <v>113</v>
      </c>
      <c r="H21" s="60">
        <v>297607398</v>
      </c>
      <c r="I21" s="82" t="s">
        <v>22</v>
      </c>
      <c r="J21" s="59" t="s">
        <v>11</v>
      </c>
      <c r="K21" s="99">
        <v>30</v>
      </c>
      <c r="L21" s="62">
        <v>42451</v>
      </c>
      <c r="M21" s="59" t="s">
        <v>194</v>
      </c>
      <c r="N21" s="38" t="s">
        <v>186</v>
      </c>
      <c r="O21" s="38" t="s">
        <v>186</v>
      </c>
      <c r="P21" s="68" t="s">
        <v>243</v>
      </c>
      <c r="Q21" s="68" t="s">
        <v>193</v>
      </c>
      <c r="R21" s="68" t="s">
        <v>243</v>
      </c>
      <c r="S21" s="68" t="s">
        <v>186</v>
      </c>
      <c r="T21" s="68" t="s">
        <v>186</v>
      </c>
      <c r="U21" s="119" t="s">
        <v>187</v>
      </c>
    </row>
    <row r="22" spans="1:21" s="68" customFormat="1" x14ac:dyDescent="0.25">
      <c r="A22" s="11">
        <v>47</v>
      </c>
      <c r="B22" s="59" t="s">
        <v>16</v>
      </c>
      <c r="C22" s="59" t="s">
        <v>118</v>
      </c>
      <c r="D22" s="59" t="s">
        <v>105</v>
      </c>
      <c r="E22" s="59" t="s">
        <v>119</v>
      </c>
      <c r="F22" s="82" t="s">
        <v>120</v>
      </c>
      <c r="G22" s="59" t="s">
        <v>121</v>
      </c>
      <c r="H22" s="60">
        <v>326039670</v>
      </c>
      <c r="I22" s="82" t="s">
        <v>22</v>
      </c>
      <c r="J22" s="59" t="s">
        <v>11</v>
      </c>
      <c r="K22" s="99">
        <v>30</v>
      </c>
      <c r="L22" s="62">
        <v>42529</v>
      </c>
      <c r="M22" s="59" t="s">
        <v>224</v>
      </c>
      <c r="N22" s="38" t="s">
        <v>186</v>
      </c>
      <c r="O22" s="38" t="s">
        <v>186</v>
      </c>
      <c r="P22" s="68" t="s">
        <v>243</v>
      </c>
      <c r="Q22" s="68" t="s">
        <v>187</v>
      </c>
      <c r="R22" s="68" t="s">
        <v>243</v>
      </c>
      <c r="S22" s="68" t="s">
        <v>187</v>
      </c>
      <c r="T22" s="68" t="s">
        <v>187</v>
      </c>
      <c r="U22" s="119" t="s">
        <v>187</v>
      </c>
    </row>
    <row r="23" spans="1:21" s="68" customFormat="1" x14ac:dyDescent="0.25">
      <c r="A23" s="24">
        <v>53</v>
      </c>
      <c r="B23" s="24" t="s">
        <v>63</v>
      </c>
      <c r="C23" s="24" t="s">
        <v>122</v>
      </c>
      <c r="D23" s="24" t="s">
        <v>123</v>
      </c>
      <c r="E23" s="24" t="s">
        <v>124</v>
      </c>
      <c r="F23" s="83" t="s">
        <v>125</v>
      </c>
      <c r="G23" s="24" t="s">
        <v>126</v>
      </c>
      <c r="H23" s="77">
        <v>233606454</v>
      </c>
      <c r="I23" s="24"/>
      <c r="J23" s="24"/>
      <c r="K23" s="100">
        <v>30</v>
      </c>
      <c r="L23" s="103">
        <v>42446</v>
      </c>
      <c r="M23" s="24" t="s">
        <v>224</v>
      </c>
      <c r="N23" s="24" t="s">
        <v>187</v>
      </c>
      <c r="O23" s="24" t="s">
        <v>187</v>
      </c>
      <c r="P23" s="15" t="s">
        <v>244</v>
      </c>
      <c r="Q23" s="68" t="s">
        <v>187</v>
      </c>
      <c r="R23" s="68" t="s">
        <v>249</v>
      </c>
      <c r="S23" s="68" t="s">
        <v>187</v>
      </c>
      <c r="T23" s="68" t="s">
        <v>187</v>
      </c>
      <c r="U23" s="119" t="s">
        <v>187</v>
      </c>
    </row>
    <row r="24" spans="1:21" s="68" customFormat="1" x14ac:dyDescent="0.25">
      <c r="A24" s="14">
        <v>54</v>
      </c>
      <c r="B24" s="50" t="s">
        <v>16</v>
      </c>
      <c r="C24" s="50" t="s">
        <v>127</v>
      </c>
      <c r="D24" s="50" t="s">
        <v>128</v>
      </c>
      <c r="E24" s="50" t="s">
        <v>129</v>
      </c>
      <c r="F24" s="81" t="s">
        <v>130</v>
      </c>
      <c r="G24" s="50" t="s">
        <v>131</v>
      </c>
      <c r="H24" s="51">
        <v>389409150</v>
      </c>
      <c r="I24" s="81" t="s">
        <v>22</v>
      </c>
      <c r="J24" s="50"/>
      <c r="K24" s="98">
        <v>30</v>
      </c>
      <c r="L24" s="53">
        <v>42444</v>
      </c>
      <c r="M24" s="50" t="s">
        <v>224</v>
      </c>
      <c r="N24" s="38" t="s">
        <v>186</v>
      </c>
      <c r="O24" s="38" t="s">
        <v>186</v>
      </c>
      <c r="P24" s="68" t="s">
        <v>243</v>
      </c>
      <c r="Q24" s="68" t="s">
        <v>193</v>
      </c>
      <c r="R24" s="68" t="s">
        <v>243</v>
      </c>
      <c r="S24" s="68" t="s">
        <v>186</v>
      </c>
      <c r="T24" s="68" t="s">
        <v>186</v>
      </c>
      <c r="U24" s="119" t="s">
        <v>187</v>
      </c>
    </row>
    <row r="25" spans="1:21" s="68" customFormat="1" x14ac:dyDescent="0.25">
      <c r="A25" s="7">
        <v>56</v>
      </c>
      <c r="B25" s="38" t="s">
        <v>16</v>
      </c>
      <c r="C25" s="38" t="s">
        <v>132</v>
      </c>
      <c r="D25" s="38" t="s">
        <v>133</v>
      </c>
      <c r="E25" s="38" t="s">
        <v>134</v>
      </c>
      <c r="F25" s="78" t="s">
        <v>135</v>
      </c>
      <c r="G25" s="38" t="s">
        <v>136</v>
      </c>
      <c r="H25" s="39">
        <v>344733400</v>
      </c>
      <c r="I25" s="78"/>
      <c r="J25" s="38"/>
      <c r="K25" s="95">
        <v>40</v>
      </c>
      <c r="L25" s="41">
        <v>42522</v>
      </c>
      <c r="M25" s="38"/>
      <c r="N25" s="38" t="s">
        <v>187</v>
      </c>
      <c r="O25" s="38" t="s">
        <v>187</v>
      </c>
      <c r="P25" s="68" t="s">
        <v>244</v>
      </c>
      <c r="Q25" s="68" t="s">
        <v>187</v>
      </c>
      <c r="R25" s="68" t="s">
        <v>249</v>
      </c>
      <c r="S25" s="68" t="s">
        <v>187</v>
      </c>
      <c r="T25" s="68" t="s">
        <v>187</v>
      </c>
      <c r="U25" s="119" t="s">
        <v>187</v>
      </c>
    </row>
    <row r="26" spans="1:21" s="68" customFormat="1" x14ac:dyDescent="0.25">
      <c r="A26" s="7">
        <v>57</v>
      </c>
      <c r="B26" s="38" t="s">
        <v>16</v>
      </c>
      <c r="C26" s="38" t="s">
        <v>137</v>
      </c>
      <c r="D26" s="38" t="s">
        <v>138</v>
      </c>
      <c r="E26" s="38" t="s">
        <v>139</v>
      </c>
      <c r="F26" s="78" t="s">
        <v>140</v>
      </c>
      <c r="G26" s="38" t="s">
        <v>141</v>
      </c>
      <c r="H26" s="39">
        <v>344087305</v>
      </c>
      <c r="I26" s="78" t="s">
        <v>22</v>
      </c>
      <c r="J26" s="38" t="s">
        <v>11</v>
      </c>
      <c r="K26" s="95">
        <v>30</v>
      </c>
      <c r="L26" s="41">
        <v>42455</v>
      </c>
      <c r="M26" s="38"/>
      <c r="N26" s="38" t="s">
        <v>186</v>
      </c>
      <c r="O26" s="38" t="s">
        <v>186</v>
      </c>
      <c r="P26" s="68" t="s">
        <v>243</v>
      </c>
      <c r="Q26" s="68" t="s">
        <v>187</v>
      </c>
      <c r="R26" s="68" t="s">
        <v>256</v>
      </c>
      <c r="S26" s="68" t="s">
        <v>187</v>
      </c>
      <c r="T26" s="68" t="s">
        <v>256</v>
      </c>
      <c r="U26" s="119" t="s">
        <v>187</v>
      </c>
    </row>
    <row r="27" spans="1:21" s="68" customFormat="1" x14ac:dyDescent="0.25">
      <c r="A27" s="7">
        <v>58</v>
      </c>
      <c r="B27" s="38" t="s">
        <v>16</v>
      </c>
      <c r="C27" s="38" t="s">
        <v>142</v>
      </c>
      <c r="D27" s="38" t="s">
        <v>143</v>
      </c>
      <c r="E27" s="38" t="s">
        <v>144</v>
      </c>
      <c r="F27" s="78" t="s">
        <v>145</v>
      </c>
      <c r="G27" s="38" t="s">
        <v>146</v>
      </c>
      <c r="H27" s="39">
        <v>240010338</v>
      </c>
      <c r="I27" s="78" t="s">
        <v>22</v>
      </c>
      <c r="J27" s="38"/>
      <c r="K27" s="95">
        <v>30</v>
      </c>
      <c r="L27" s="41">
        <v>42471</v>
      </c>
      <c r="M27" s="38" t="s">
        <v>194</v>
      </c>
      <c r="N27" s="38" t="s">
        <v>186</v>
      </c>
      <c r="O27" s="38" t="s">
        <v>186</v>
      </c>
      <c r="P27" s="68" t="s">
        <v>243</v>
      </c>
      <c r="Q27" s="68" t="s">
        <v>193</v>
      </c>
      <c r="R27" s="68" t="s">
        <v>243</v>
      </c>
      <c r="S27" s="68" t="s">
        <v>187</v>
      </c>
      <c r="T27" s="68" t="s">
        <v>187</v>
      </c>
      <c r="U27" s="119" t="s">
        <v>186</v>
      </c>
    </row>
    <row r="28" spans="1:21" s="68" customFormat="1" x14ac:dyDescent="0.25">
      <c r="A28" s="7">
        <v>61</v>
      </c>
      <c r="B28" s="38" t="s">
        <v>63</v>
      </c>
      <c r="C28" s="38" t="s">
        <v>147</v>
      </c>
      <c r="D28" s="38" t="s">
        <v>148</v>
      </c>
      <c r="E28" s="38" t="s">
        <v>149</v>
      </c>
      <c r="F28" s="78" t="s">
        <v>150</v>
      </c>
      <c r="G28" s="38" t="s">
        <v>151</v>
      </c>
      <c r="H28" s="39">
        <v>233484019</v>
      </c>
      <c r="I28" s="78"/>
      <c r="J28" s="38"/>
      <c r="K28" s="95">
        <v>30</v>
      </c>
      <c r="L28" s="41">
        <v>42530</v>
      </c>
      <c r="M28" s="38"/>
      <c r="N28" s="38" t="s">
        <v>187</v>
      </c>
      <c r="O28" s="38" t="s">
        <v>187</v>
      </c>
      <c r="P28" s="68" t="s">
        <v>244</v>
      </c>
      <c r="Q28" s="68" t="s">
        <v>187</v>
      </c>
      <c r="R28" s="68" t="s">
        <v>249</v>
      </c>
      <c r="S28" s="68" t="s">
        <v>187</v>
      </c>
      <c r="T28" s="68" t="s">
        <v>187</v>
      </c>
      <c r="U28" s="119" t="s">
        <v>201</v>
      </c>
    </row>
    <row r="29" spans="1:21" s="68" customFormat="1" x14ac:dyDescent="0.25">
      <c r="A29" s="7">
        <v>62</v>
      </c>
      <c r="B29" s="38" t="s">
        <v>16</v>
      </c>
      <c r="C29" s="38" t="s">
        <v>152</v>
      </c>
      <c r="D29" s="38" t="s">
        <v>153</v>
      </c>
      <c r="E29" s="38" t="s">
        <v>154</v>
      </c>
      <c r="F29" s="78" t="s">
        <v>155</v>
      </c>
      <c r="G29" s="38" t="s">
        <v>156</v>
      </c>
      <c r="H29" s="39">
        <v>233319751</v>
      </c>
      <c r="I29" s="78" t="s">
        <v>22</v>
      </c>
      <c r="J29" s="38" t="s">
        <v>11</v>
      </c>
      <c r="K29" s="95">
        <v>30</v>
      </c>
      <c r="L29" s="41">
        <v>42466</v>
      </c>
      <c r="M29" s="38" t="s">
        <v>194</v>
      </c>
      <c r="N29" s="38" t="s">
        <v>186</v>
      </c>
      <c r="O29" s="38" t="s">
        <v>186</v>
      </c>
      <c r="P29" s="68" t="s">
        <v>243</v>
      </c>
      <c r="Q29" s="68" t="s">
        <v>187</v>
      </c>
      <c r="R29" s="68" t="s">
        <v>243</v>
      </c>
      <c r="S29" s="68" t="s">
        <v>186</v>
      </c>
      <c r="T29" s="68" t="s">
        <v>201</v>
      </c>
      <c r="U29" s="119" t="s">
        <v>186</v>
      </c>
    </row>
    <row r="30" spans="1:21" s="68" customFormat="1" x14ac:dyDescent="0.25">
      <c r="A30" s="7">
        <v>64</v>
      </c>
      <c r="B30" s="38" t="s">
        <v>16</v>
      </c>
      <c r="C30" s="38" t="s">
        <v>157</v>
      </c>
      <c r="D30" s="38" t="s">
        <v>158</v>
      </c>
      <c r="E30" s="38" t="s">
        <v>159</v>
      </c>
      <c r="F30" s="78" t="s">
        <v>160</v>
      </c>
      <c r="G30" s="38" t="s">
        <v>161</v>
      </c>
      <c r="H30" s="39">
        <v>240915275</v>
      </c>
      <c r="I30" s="78" t="s">
        <v>22</v>
      </c>
      <c r="J30" s="38"/>
      <c r="K30" s="95">
        <v>30</v>
      </c>
      <c r="L30" s="41">
        <v>42674</v>
      </c>
      <c r="M30" s="38" t="s">
        <v>194</v>
      </c>
      <c r="N30" s="38" t="s">
        <v>186</v>
      </c>
      <c r="O30" s="38" t="s">
        <v>186</v>
      </c>
      <c r="P30" s="68" t="s">
        <v>243</v>
      </c>
      <c r="Q30" s="68" t="s">
        <v>187</v>
      </c>
      <c r="R30" s="68" t="s">
        <v>243</v>
      </c>
      <c r="S30" s="68" t="s">
        <v>187</v>
      </c>
      <c r="T30" s="68" t="s">
        <v>186</v>
      </c>
      <c r="U30" s="119" t="s">
        <v>186</v>
      </c>
    </row>
    <row r="31" spans="1:21" s="68" customFormat="1" x14ac:dyDescent="0.25">
      <c r="A31" s="7">
        <v>69</v>
      </c>
      <c r="B31" s="38" t="s">
        <v>16</v>
      </c>
      <c r="C31" s="38" t="s">
        <v>162</v>
      </c>
      <c r="D31" s="38" t="s">
        <v>163</v>
      </c>
      <c r="E31" s="38" t="s">
        <v>164</v>
      </c>
      <c r="F31" s="78" t="s">
        <v>165</v>
      </c>
      <c r="G31" s="38" t="s">
        <v>166</v>
      </c>
      <c r="H31" s="39">
        <v>297751332</v>
      </c>
      <c r="I31" s="78" t="s">
        <v>22</v>
      </c>
      <c r="J31" s="38" t="s">
        <v>11</v>
      </c>
      <c r="K31" s="95">
        <v>30</v>
      </c>
      <c r="L31" s="41">
        <v>42529</v>
      </c>
      <c r="M31" s="38" t="s">
        <v>194</v>
      </c>
      <c r="N31" s="38" t="s">
        <v>186</v>
      </c>
      <c r="O31" s="38" t="s">
        <v>186</v>
      </c>
      <c r="P31" s="68" t="s">
        <v>243</v>
      </c>
      <c r="Q31" s="68" t="s">
        <v>187</v>
      </c>
      <c r="R31" s="68" t="s">
        <v>243</v>
      </c>
      <c r="S31" s="68" t="s">
        <v>186</v>
      </c>
      <c r="T31" s="68" t="s">
        <v>186</v>
      </c>
      <c r="U31" s="119" t="s">
        <v>186</v>
      </c>
    </row>
    <row r="32" spans="1:21" s="68" customFormat="1" x14ac:dyDescent="0.25">
      <c r="A32" s="7">
        <v>73</v>
      </c>
      <c r="B32" s="38" t="s">
        <v>16</v>
      </c>
      <c r="C32" s="38" t="s">
        <v>167</v>
      </c>
      <c r="D32" s="38" t="s">
        <v>168</v>
      </c>
      <c r="E32" s="38" t="s">
        <v>169</v>
      </c>
      <c r="F32" s="78" t="s">
        <v>51</v>
      </c>
      <c r="G32" s="38" t="s">
        <v>170</v>
      </c>
      <c r="H32" s="39">
        <v>240566793</v>
      </c>
      <c r="I32" s="78" t="s">
        <v>22</v>
      </c>
      <c r="J32" s="38"/>
      <c r="K32" s="95">
        <v>30</v>
      </c>
      <c r="L32" s="41">
        <v>42522</v>
      </c>
      <c r="M32" s="38" t="s">
        <v>224</v>
      </c>
      <c r="N32" s="38" t="s">
        <v>187</v>
      </c>
      <c r="O32" s="38" t="s">
        <v>186</v>
      </c>
      <c r="P32" s="68" t="s">
        <v>244</v>
      </c>
      <c r="Q32" s="68" t="s">
        <v>187</v>
      </c>
      <c r="R32" s="68" t="s">
        <v>249</v>
      </c>
      <c r="S32" s="68" t="s">
        <v>187</v>
      </c>
      <c r="T32" s="68" t="s">
        <v>187</v>
      </c>
      <c r="U32" s="119" t="s">
        <v>186</v>
      </c>
    </row>
    <row r="33" spans="1:21" s="68" customFormat="1" x14ac:dyDescent="0.25">
      <c r="A33" s="7">
        <v>75</v>
      </c>
      <c r="B33" s="38" t="s">
        <v>63</v>
      </c>
      <c r="C33" s="38" t="s">
        <v>171</v>
      </c>
      <c r="D33" s="38" t="s">
        <v>172</v>
      </c>
      <c r="E33" s="38" t="s">
        <v>207</v>
      </c>
      <c r="F33" s="78" t="s">
        <v>225</v>
      </c>
      <c r="G33" s="38" t="s">
        <v>259</v>
      </c>
      <c r="H33" s="39">
        <v>608070812</v>
      </c>
      <c r="I33" s="78" t="s">
        <v>22</v>
      </c>
      <c r="J33" s="38" t="s">
        <v>11</v>
      </c>
      <c r="K33" s="95">
        <v>30</v>
      </c>
      <c r="L33" s="41">
        <v>42452</v>
      </c>
      <c r="M33" s="38" t="s">
        <v>193</v>
      </c>
      <c r="N33" s="38" t="s">
        <v>186</v>
      </c>
      <c r="O33" s="38" t="s">
        <v>186</v>
      </c>
      <c r="P33" s="68" t="s">
        <v>243</v>
      </c>
      <c r="Q33" s="68" t="s">
        <v>193</v>
      </c>
      <c r="R33" s="68" t="s">
        <v>243</v>
      </c>
      <c r="S33" s="68" t="s">
        <v>187</v>
      </c>
      <c r="T33" s="68" t="s">
        <v>187</v>
      </c>
      <c r="U33" s="119" t="s">
        <v>201</v>
      </c>
    </row>
    <row r="34" spans="1:21" s="68" customFormat="1" x14ac:dyDescent="0.25">
      <c r="A34" s="7">
        <v>77</v>
      </c>
      <c r="B34" s="38" t="s">
        <v>16</v>
      </c>
      <c r="C34" s="38" t="s">
        <v>176</v>
      </c>
      <c r="D34" s="38" t="s">
        <v>177</v>
      </c>
      <c r="E34" s="38" t="s">
        <v>203</v>
      </c>
      <c r="F34" s="78" t="s">
        <v>145</v>
      </c>
      <c r="G34" s="38" t="s">
        <v>146</v>
      </c>
      <c r="H34" s="39">
        <v>240010227</v>
      </c>
      <c r="I34" s="78" t="s">
        <v>22</v>
      </c>
      <c r="J34" s="38"/>
      <c r="K34" s="95">
        <v>30</v>
      </c>
      <c r="L34" s="41">
        <v>42471</v>
      </c>
      <c r="M34" s="38" t="s">
        <v>193</v>
      </c>
      <c r="N34" s="38" t="s">
        <v>186</v>
      </c>
      <c r="O34" s="38" t="s">
        <v>186</v>
      </c>
      <c r="P34" s="68" t="s">
        <v>243</v>
      </c>
      <c r="Q34" s="68" t="s">
        <v>193</v>
      </c>
      <c r="R34" s="68" t="s">
        <v>243</v>
      </c>
      <c r="S34" s="68" t="s">
        <v>187</v>
      </c>
      <c r="T34" s="130" t="s">
        <v>187</v>
      </c>
      <c r="U34" s="119" t="s">
        <v>187</v>
      </c>
    </row>
    <row r="35" spans="1:21" s="68" customFormat="1" x14ac:dyDescent="0.25">
      <c r="A35" s="7">
        <v>78</v>
      </c>
      <c r="B35" s="38" t="s">
        <v>16</v>
      </c>
      <c r="C35" s="38" t="s">
        <v>185</v>
      </c>
      <c r="D35" s="38" t="s">
        <v>163</v>
      </c>
      <c r="E35" s="38" t="s">
        <v>178</v>
      </c>
      <c r="F35" s="78" t="s">
        <v>179</v>
      </c>
      <c r="G35" s="38" t="s">
        <v>180</v>
      </c>
      <c r="H35" s="39">
        <v>231627538</v>
      </c>
      <c r="I35" s="78" t="s">
        <v>22</v>
      </c>
      <c r="J35" s="38"/>
      <c r="K35" s="95">
        <v>30</v>
      </c>
      <c r="L35" s="41">
        <v>42453</v>
      </c>
      <c r="M35" s="38" t="s">
        <v>193</v>
      </c>
      <c r="N35" s="38" t="s">
        <v>186</v>
      </c>
      <c r="O35" s="38" t="s">
        <v>186</v>
      </c>
      <c r="P35" s="68" t="s">
        <v>243</v>
      </c>
      <c r="Q35" s="68" t="s">
        <v>187</v>
      </c>
      <c r="R35" s="68" t="s">
        <v>243</v>
      </c>
      <c r="S35" s="68" t="s">
        <v>187</v>
      </c>
      <c r="T35" s="68" t="s">
        <v>187</v>
      </c>
      <c r="U35" s="15" t="s">
        <v>187</v>
      </c>
    </row>
    <row r="36" spans="1:21" s="68" customFormat="1" x14ac:dyDescent="0.25">
      <c r="A36" s="24"/>
      <c r="B36" s="46"/>
      <c r="C36" s="46"/>
      <c r="D36" s="46"/>
      <c r="E36" s="46"/>
      <c r="F36" s="80"/>
      <c r="G36" s="46"/>
      <c r="H36" s="47"/>
      <c r="I36" s="80"/>
      <c r="J36" s="46"/>
      <c r="K36" s="97"/>
      <c r="L36" s="49"/>
      <c r="M36" s="46"/>
      <c r="N36" s="46"/>
      <c r="O36" s="46"/>
    </row>
    <row r="37" spans="1:21" ht="15" customHeight="1" x14ac:dyDescent="0.25">
      <c r="A37" s="15"/>
      <c r="B37" s="68"/>
      <c r="C37" s="68">
        <f>COUNTA(ADVPSC2016[Nom])</f>
        <v>33</v>
      </c>
      <c r="D37" s="68"/>
      <c r="E37" s="68"/>
      <c r="F37" s="91"/>
      <c r="G37" s="68"/>
      <c r="H37" s="68"/>
      <c r="I37" s="68">
        <f>COUNTIF(I3:I35,"av*")</f>
        <v>28</v>
      </c>
      <c r="J37" s="68"/>
      <c r="K37" s="101"/>
      <c r="L37" s="76"/>
      <c r="M37" s="68"/>
      <c r="N37" s="68"/>
      <c r="O37" s="68"/>
      <c r="P37" s="68"/>
      <c r="Q37" s="68">
        <f>COUNTIF(Q3:Q35,"OK")</f>
        <v>13</v>
      </c>
      <c r="R37" s="116">
        <f>COUNTIF(R3:R35,"OUI")</f>
        <v>22</v>
      </c>
      <c r="S37" s="117" t="s">
        <v>250</v>
      </c>
      <c r="T37" s="85"/>
    </row>
    <row r="38" spans="1:21" ht="15" customHeight="1" x14ac:dyDescent="0.25">
      <c r="I38" s="15">
        <f>COUNTIF(I3:I35,"")</f>
        <v>5</v>
      </c>
      <c r="J38" s="15">
        <f>COUNTIF(J3:J35,"Ass*")</f>
        <v>9</v>
      </c>
      <c r="L38" s="64" t="s">
        <v>195</v>
      </c>
      <c r="M38" s="65">
        <f>COUNTIF(M3:M35,"Présent")</f>
        <v>7</v>
      </c>
      <c r="P38" s="15"/>
      <c r="R38" s="116">
        <f>COUNTIF(ADVPSC2016[Fac/BdeC],"")</f>
        <v>0</v>
      </c>
      <c r="S38" s="120" t="s">
        <v>251</v>
      </c>
      <c r="T38" s="124">
        <f>COUNTIF(U3:U35,"Oui")</f>
        <v>12</v>
      </c>
      <c r="U38" s="125" t="s">
        <v>186</v>
      </c>
    </row>
    <row r="39" spans="1:21" x14ac:dyDescent="0.25">
      <c r="I39" s="15"/>
      <c r="J39" s="15"/>
      <c r="K39" s="102">
        <f>SUM(K3:K35)</f>
        <v>980</v>
      </c>
      <c r="L39" s="66" t="s">
        <v>196</v>
      </c>
      <c r="M39" s="67">
        <f>COUNTIF(M4:M35,"OK")</f>
        <v>18</v>
      </c>
      <c r="N39" s="15">
        <f>COUNTIF(ADVPSC2016[Civil],"Oui")</f>
        <v>22</v>
      </c>
      <c r="O39" s="15">
        <f>COUNTIF(O3:O35,"Oui")</f>
        <v>28</v>
      </c>
      <c r="P39" s="74">
        <f>COUNTIF(P3:P35,"oui")</f>
        <v>21</v>
      </c>
      <c r="Q39" s="74" t="s">
        <v>212</v>
      </c>
      <c r="T39" s="5">
        <f>COUNTIF(U3:U35,"Non")</f>
        <v>16</v>
      </c>
      <c r="U39" s="125" t="s">
        <v>187</v>
      </c>
    </row>
    <row r="40" spans="1:21" x14ac:dyDescent="0.25">
      <c r="I40" s="15"/>
      <c r="J40" s="114" t="s">
        <v>262</v>
      </c>
      <c r="K40" s="112">
        <f>COUNTIF(K3:K35,"30")</f>
        <v>30</v>
      </c>
      <c r="L40" s="4"/>
      <c r="M40" s="63" t="s">
        <v>182</v>
      </c>
      <c r="N40" s="70"/>
      <c r="O40" s="73">
        <f>COUNTIFS(N3:N35,"Oui",O3:O35,"Oui")</f>
        <v>22</v>
      </c>
      <c r="P40" s="74">
        <f>COUNTIFS(P3:P35,"Non",O3:O35,"Oui")</f>
        <v>7</v>
      </c>
      <c r="Q40" s="74" t="s">
        <v>211</v>
      </c>
      <c r="S40" s="15">
        <f>COUNTIF(ADVPSC2016[Expertise],"Oui")</f>
        <v>9</v>
      </c>
      <c r="T40" s="15"/>
    </row>
    <row r="41" spans="1:21" x14ac:dyDescent="0.25">
      <c r="J41" s="114" t="s">
        <v>247</v>
      </c>
      <c r="K41" s="113">
        <f>COUNTIF(K3:K35,"")</f>
        <v>0</v>
      </c>
      <c r="L41" s="4"/>
      <c r="N41" s="29" t="s">
        <v>187</v>
      </c>
      <c r="O41" s="30">
        <f>COUNTIF(O3:O35,"Non")</f>
        <v>5</v>
      </c>
      <c r="P41" s="74">
        <f>COUNTIFS(N3:N35,"Oui",P3:P35,"NON")</f>
        <v>1</v>
      </c>
      <c r="Q41" s="74" t="s">
        <v>263</v>
      </c>
    </row>
    <row r="42" spans="1:21" x14ac:dyDescent="0.25">
      <c r="I42" s="75"/>
      <c r="J42" s="115" t="s">
        <v>190</v>
      </c>
      <c r="K42" s="104">
        <f>COUNTIF(K3:K35,"d*")</f>
        <v>1</v>
      </c>
      <c r="L42" s="4"/>
      <c r="Q42" s="202" t="s">
        <v>257</v>
      </c>
      <c r="R42" s="201"/>
      <c r="S42" s="203"/>
      <c r="T42" s="127">
        <f>COUNTIFS(S3:S35,"Non",T3:T35,"Oui",Q3:Q35,"Non")</f>
        <v>2</v>
      </c>
      <c r="U42" s="128"/>
    </row>
    <row r="43" spans="1:21" x14ac:dyDescent="0.25">
      <c r="I43" s="111"/>
      <c r="J43" s="131" t="s">
        <v>261</v>
      </c>
      <c r="K43" s="132">
        <f>COUNTIF(K3:K35,"40")</f>
        <v>2</v>
      </c>
      <c r="L43" s="4"/>
      <c r="M43" s="20">
        <f>SUMPRODUCT((N4:N35="Non")*1,(O4:O35="Oui")*1)</f>
        <v>6</v>
      </c>
      <c r="N43" s="21" t="s">
        <v>183</v>
      </c>
      <c r="O43" s="128"/>
    </row>
    <row r="44" spans="1:21" x14ac:dyDescent="0.25">
      <c r="D44" s="22"/>
      <c r="E44" s="22"/>
      <c r="F44" s="90"/>
    </row>
    <row r="45" spans="1:21" x14ac:dyDescent="0.25">
      <c r="E45" s="72">
        <f>COUNTIF(F3:F35,"75*")</f>
        <v>1</v>
      </c>
      <c r="I45" s="105" t="s">
        <v>205</v>
      </c>
      <c r="J45" s="106"/>
      <c r="K45" s="107">
        <f>COUNTIFS(K3:K35,"",I3:I35,"av*")</f>
        <v>0</v>
      </c>
      <c r="M45" s="33">
        <f>COUNTIFS(O3:O35,"Non",N3:N35,"Oui")</f>
        <v>0</v>
      </c>
      <c r="N45" s="198" t="s">
        <v>197</v>
      </c>
      <c r="O45" s="199"/>
      <c r="P45" s="128"/>
    </row>
    <row r="46" spans="1:21" x14ac:dyDescent="0.25">
      <c r="E46" s="72"/>
      <c r="I46" s="108" t="s">
        <v>206</v>
      </c>
      <c r="J46" s="109"/>
      <c r="K46" s="110">
        <f>COUNTIFS(I3:I35,"",K3:K35,"")</f>
        <v>0</v>
      </c>
      <c r="M46" s="84"/>
      <c r="N46" s="85"/>
      <c r="O46" s="85"/>
      <c r="P46" s="24"/>
    </row>
    <row r="47" spans="1:21" x14ac:dyDescent="0.25">
      <c r="E47" s="72"/>
      <c r="M47" s="84"/>
      <c r="N47" s="85"/>
      <c r="O47" s="85"/>
      <c r="P47" s="24"/>
    </row>
    <row r="48" spans="1:21" x14ac:dyDescent="0.25">
      <c r="E48" s="72"/>
      <c r="K48" s="200" t="s">
        <v>241</v>
      </c>
      <c r="L48" s="201"/>
      <c r="M48" s="92">
        <v>488946</v>
      </c>
      <c r="N48" s="204" t="s">
        <v>260</v>
      </c>
      <c r="O48" s="205"/>
      <c r="P48" s="205"/>
      <c r="Q48" s="205"/>
      <c r="R48" s="205"/>
      <c r="S48" s="205"/>
    </row>
    <row r="49" spans="5:16" x14ac:dyDescent="0.25">
      <c r="E49" s="72">
        <f>COUNTIF(F3:F35,"75*")</f>
        <v>1</v>
      </c>
      <c r="M49" s="84"/>
      <c r="N49" s="85"/>
      <c r="O49" s="85"/>
      <c r="P49" s="24"/>
    </row>
    <row r="50" spans="5:16" x14ac:dyDescent="0.25">
      <c r="E50" s="72"/>
      <c r="M50" s="84"/>
      <c r="N50" s="85"/>
      <c r="O50" s="85"/>
      <c r="P50" s="24"/>
    </row>
    <row r="51" spans="5:16" x14ac:dyDescent="0.25">
      <c r="E51" s="72"/>
      <c r="M51" s="84"/>
      <c r="N51" s="85"/>
      <c r="O51" s="85"/>
      <c r="P51" s="24"/>
    </row>
    <row r="52" spans="5:16" x14ac:dyDescent="0.25">
      <c r="E52" s="72"/>
      <c r="M52" s="84"/>
      <c r="N52" s="85"/>
      <c r="O52" s="85"/>
      <c r="P52" s="24"/>
    </row>
    <row r="53" spans="5:16" x14ac:dyDescent="0.25">
      <c r="E53" s="72"/>
      <c r="M53" s="84"/>
      <c r="N53" s="85"/>
      <c r="O53" s="85"/>
      <c r="P53" s="24"/>
    </row>
    <row r="54" spans="5:16" x14ac:dyDescent="0.25">
      <c r="E54" s="72"/>
      <c r="M54" s="84"/>
      <c r="N54" s="85"/>
      <c r="O54" s="85"/>
      <c r="P54" s="24"/>
    </row>
    <row r="55" spans="5:16" x14ac:dyDescent="0.25">
      <c r="E55" s="72"/>
      <c r="M55" s="84"/>
      <c r="N55" s="85"/>
      <c r="O55" s="85"/>
      <c r="P55" s="24"/>
    </row>
    <row r="61" spans="5:16" x14ac:dyDescent="0.25">
      <c r="I61" s="3"/>
    </row>
  </sheetData>
  <sortState ref="A39:B51">
    <sortCondition descending="1" ref="B39:B51"/>
  </sortState>
  <mergeCells count="4">
    <mergeCell ref="N45:O45"/>
    <mergeCell ref="K48:L48"/>
    <mergeCell ref="Q42:S42"/>
    <mergeCell ref="N48:S48"/>
  </mergeCells>
  <printOptions horizontalCentered="1" verticalCentered="1"/>
  <pageMargins left="0.11811023622047245" right="0.11811023622047245" top="0.15748031496062992" bottom="0.15748031496062992" header="0.70866141732283472" footer="0.70866141732283472"/>
  <pageSetup paperSize="9" scale="47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V47"/>
  <sheetViews>
    <sheetView workbookViewId="0">
      <pane xSplit="4" ySplit="2" topLeftCell="H3" activePane="bottomRight" state="frozen"/>
      <selection pane="topRight" activeCell="E1" sqref="E1"/>
      <selection pane="bottomLeft" activeCell="A3" sqref="A3"/>
      <selection pane="bottomRight" activeCell="A3" sqref="A3:V33"/>
    </sheetView>
  </sheetViews>
  <sheetFormatPr baseColWidth="10" defaultRowHeight="15" x14ac:dyDescent="0.25"/>
  <cols>
    <col min="3" max="3" width="18.42578125" bestFit="1" customWidth="1"/>
    <col min="4" max="4" width="16.42578125" bestFit="1" customWidth="1"/>
    <col min="5" max="5" width="31.140625" bestFit="1" customWidth="1"/>
    <col min="7" max="7" width="25.7109375" bestFit="1" customWidth="1"/>
    <col min="8" max="8" width="14.140625" bestFit="1" customWidth="1"/>
    <col min="10" max="10" width="15" bestFit="1" customWidth="1"/>
    <col min="13" max="13" width="13.140625" bestFit="1" customWidth="1"/>
    <col min="17" max="17" width="15" bestFit="1" customWidth="1"/>
    <col min="19" max="19" width="13.85546875" bestFit="1" customWidth="1"/>
    <col min="20" max="20" width="16.5703125" bestFit="1" customWidth="1"/>
  </cols>
  <sheetData>
    <row r="1" spans="1:22" x14ac:dyDescent="0.25">
      <c r="A1" t="s">
        <v>0</v>
      </c>
      <c r="B1" s="2"/>
      <c r="C1" s="2"/>
      <c r="D1" s="2"/>
      <c r="E1" s="2" t="s">
        <v>1</v>
      </c>
      <c r="F1" s="87" t="s">
        <v>272</v>
      </c>
      <c r="G1" s="2"/>
      <c r="H1" s="2"/>
      <c r="K1" s="93"/>
      <c r="L1" s="4"/>
      <c r="Q1" s="15"/>
    </row>
    <row r="2" spans="1:22" x14ac:dyDescent="0.25">
      <c r="A2" s="7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118" t="s">
        <v>7</v>
      </c>
      <c r="G2" s="5" t="s">
        <v>8</v>
      </c>
      <c r="H2" s="5" t="s">
        <v>9</v>
      </c>
      <c r="I2" s="25" t="s">
        <v>10</v>
      </c>
      <c r="J2" s="5" t="s">
        <v>11</v>
      </c>
      <c r="K2" s="94" t="s">
        <v>273</v>
      </c>
      <c r="L2" s="23" t="s">
        <v>12</v>
      </c>
      <c r="M2" s="5" t="s">
        <v>13</v>
      </c>
      <c r="N2" s="5" t="s">
        <v>14</v>
      </c>
      <c r="O2" s="5" t="s">
        <v>15</v>
      </c>
      <c r="P2" s="68" t="s">
        <v>210</v>
      </c>
      <c r="Q2" s="15" t="s">
        <v>248</v>
      </c>
      <c r="R2" t="s">
        <v>252</v>
      </c>
      <c r="S2" s="15" t="s">
        <v>254</v>
      </c>
      <c r="T2" s="15" t="s">
        <v>255</v>
      </c>
      <c r="U2" s="15" t="s">
        <v>258</v>
      </c>
      <c r="V2" t="s">
        <v>274</v>
      </c>
    </row>
    <row r="3" spans="1:22" x14ac:dyDescent="0.25">
      <c r="A3" s="7">
        <v>3</v>
      </c>
      <c r="B3" s="38" t="s">
        <v>16</v>
      </c>
      <c r="C3" s="38" t="s">
        <v>17</v>
      </c>
      <c r="D3" s="38" t="s">
        <v>18</v>
      </c>
      <c r="E3" s="38" t="s">
        <v>245</v>
      </c>
      <c r="F3" s="78" t="s">
        <v>20</v>
      </c>
      <c r="G3" s="38" t="s">
        <v>246</v>
      </c>
      <c r="H3" s="39">
        <v>233343382</v>
      </c>
      <c r="I3" s="38" t="s">
        <v>22</v>
      </c>
      <c r="J3" s="38"/>
      <c r="K3" s="95">
        <v>30</v>
      </c>
      <c r="L3" s="41">
        <v>42783</v>
      </c>
      <c r="M3" s="38" t="s">
        <v>193</v>
      </c>
      <c r="N3" s="38" t="s">
        <v>186</v>
      </c>
      <c r="O3" s="38" t="s">
        <v>186</v>
      </c>
      <c r="P3" s="68" t="s">
        <v>243</v>
      </c>
      <c r="Q3" s="68" t="s">
        <v>193</v>
      </c>
      <c r="R3" s="68" t="s">
        <v>243</v>
      </c>
      <c r="S3" s="68" t="s">
        <v>186</v>
      </c>
      <c r="T3" s="68" t="s">
        <v>186</v>
      </c>
      <c r="U3" s="138" t="s">
        <v>201</v>
      </c>
      <c r="V3" s="68"/>
    </row>
    <row r="4" spans="1:22" x14ac:dyDescent="0.25">
      <c r="A4" s="7">
        <v>4</v>
      </c>
      <c r="B4" s="38" t="s">
        <v>23</v>
      </c>
      <c r="C4" s="38" t="s">
        <v>24</v>
      </c>
      <c r="D4" s="38" t="s">
        <v>25</v>
      </c>
      <c r="E4" s="38" t="s">
        <v>26</v>
      </c>
      <c r="F4" s="78" t="s">
        <v>27</v>
      </c>
      <c r="G4" s="38" t="s">
        <v>28</v>
      </c>
      <c r="H4" s="39">
        <v>299071409</v>
      </c>
      <c r="I4" s="78" t="s">
        <v>22</v>
      </c>
      <c r="J4" s="38"/>
      <c r="K4" s="95">
        <v>30</v>
      </c>
      <c r="L4" s="41">
        <v>42815</v>
      </c>
      <c r="M4" s="38" t="s">
        <v>193</v>
      </c>
      <c r="N4" s="38" t="s">
        <v>186</v>
      </c>
      <c r="O4" s="38" t="s">
        <v>186</v>
      </c>
      <c r="P4" s="68" t="s">
        <v>243</v>
      </c>
      <c r="Q4" s="68" t="s">
        <v>187</v>
      </c>
      <c r="R4" s="68" t="s">
        <v>243</v>
      </c>
      <c r="S4" s="68" t="s">
        <v>186</v>
      </c>
      <c r="T4" s="68" t="s">
        <v>186</v>
      </c>
      <c r="U4" s="119" t="s">
        <v>187</v>
      </c>
      <c r="V4" s="68"/>
    </row>
    <row r="5" spans="1:22" x14ac:dyDescent="0.25">
      <c r="A5" s="7">
        <v>8</v>
      </c>
      <c r="B5" s="38" t="s">
        <v>16</v>
      </c>
      <c r="C5" s="38" t="s">
        <v>34</v>
      </c>
      <c r="D5" s="38" t="s">
        <v>35</v>
      </c>
      <c r="E5" s="38" t="s">
        <v>36</v>
      </c>
      <c r="F5" s="78" t="s">
        <v>37</v>
      </c>
      <c r="G5" s="38" t="s">
        <v>38</v>
      </c>
      <c r="H5" s="39">
        <v>240288829</v>
      </c>
      <c r="I5" s="78"/>
      <c r="J5" s="38"/>
      <c r="K5" s="95">
        <v>30</v>
      </c>
      <c r="L5" s="41" t="s">
        <v>275</v>
      </c>
      <c r="M5" s="38" t="s">
        <v>193</v>
      </c>
      <c r="N5" s="38" t="s">
        <v>187</v>
      </c>
      <c r="O5" s="38" t="s">
        <v>187</v>
      </c>
      <c r="P5" s="68" t="s">
        <v>244</v>
      </c>
      <c r="Q5" s="68" t="s">
        <v>187</v>
      </c>
      <c r="R5" s="68" t="s">
        <v>243</v>
      </c>
      <c r="S5" s="68" t="s">
        <v>187</v>
      </c>
      <c r="T5" s="68" t="s">
        <v>187</v>
      </c>
      <c r="U5" s="119" t="s">
        <v>186</v>
      </c>
      <c r="V5" s="68"/>
    </row>
    <row r="6" spans="1:22" x14ac:dyDescent="0.25">
      <c r="A6" s="7">
        <v>9</v>
      </c>
      <c r="B6" s="38" t="s">
        <v>16</v>
      </c>
      <c r="C6" s="38" t="s">
        <v>39</v>
      </c>
      <c r="D6" s="38" t="s">
        <v>40</v>
      </c>
      <c r="E6" s="38" t="s">
        <v>41</v>
      </c>
      <c r="F6" s="78" t="s">
        <v>42</v>
      </c>
      <c r="G6" s="38" t="s">
        <v>43</v>
      </c>
      <c r="H6" s="39" t="s">
        <v>213</v>
      </c>
      <c r="I6" s="78" t="s">
        <v>22</v>
      </c>
      <c r="J6" s="38" t="s">
        <v>11</v>
      </c>
      <c r="K6" s="95">
        <v>30</v>
      </c>
      <c r="L6" s="41">
        <v>42797</v>
      </c>
      <c r="M6" s="38" t="s">
        <v>193</v>
      </c>
      <c r="N6" s="38" t="s">
        <v>186</v>
      </c>
      <c r="O6" s="38" t="s">
        <v>186</v>
      </c>
      <c r="P6" s="68" t="s">
        <v>243</v>
      </c>
      <c r="Q6" s="68" t="s">
        <v>193</v>
      </c>
      <c r="R6" s="68" t="s">
        <v>243</v>
      </c>
      <c r="S6" s="68" t="s">
        <v>187</v>
      </c>
      <c r="T6" s="68" t="s">
        <v>186</v>
      </c>
      <c r="U6" s="119" t="s">
        <v>201</v>
      </c>
      <c r="V6" s="68"/>
    </row>
    <row r="7" spans="1:22" x14ac:dyDescent="0.25">
      <c r="A7" s="8">
        <v>10</v>
      </c>
      <c r="B7" s="42" t="s">
        <v>16</v>
      </c>
      <c r="C7" s="42" t="s">
        <v>44</v>
      </c>
      <c r="D7" s="42" t="s">
        <v>45</v>
      </c>
      <c r="E7" s="42" t="s">
        <v>46</v>
      </c>
      <c r="F7" s="79" t="s">
        <v>47</v>
      </c>
      <c r="G7" s="42" t="s">
        <v>48</v>
      </c>
      <c r="H7" s="43">
        <v>389587454</v>
      </c>
      <c r="I7" s="79" t="s">
        <v>22</v>
      </c>
      <c r="J7" s="42"/>
      <c r="K7" s="96">
        <v>30</v>
      </c>
      <c r="L7" s="45">
        <v>42760</v>
      </c>
      <c r="M7" s="42"/>
      <c r="N7" s="38" t="s">
        <v>186</v>
      </c>
      <c r="O7" s="38" t="s">
        <v>186</v>
      </c>
      <c r="P7" s="68" t="s">
        <v>243</v>
      </c>
      <c r="Q7" s="68" t="s">
        <v>193</v>
      </c>
      <c r="R7" s="68" t="s">
        <v>243</v>
      </c>
      <c r="S7" s="68" t="s">
        <v>187</v>
      </c>
      <c r="T7" s="68" t="s">
        <v>187</v>
      </c>
      <c r="U7" s="119" t="s">
        <v>186</v>
      </c>
      <c r="V7" s="68"/>
    </row>
    <row r="8" spans="1:22" x14ac:dyDescent="0.25">
      <c r="A8" s="24">
        <v>11</v>
      </c>
      <c r="B8" s="46" t="s">
        <v>16</v>
      </c>
      <c r="C8" s="46" t="s">
        <v>199</v>
      </c>
      <c r="D8" s="46" t="s">
        <v>49</v>
      </c>
      <c r="E8" s="46" t="s">
        <v>50</v>
      </c>
      <c r="F8" s="80" t="s">
        <v>51</v>
      </c>
      <c r="G8" s="46" t="s">
        <v>52</v>
      </c>
      <c r="H8" s="47"/>
      <c r="I8" s="80" t="s">
        <v>22</v>
      </c>
      <c r="J8" s="46"/>
      <c r="K8" s="97">
        <v>30</v>
      </c>
      <c r="L8" s="49">
        <v>42760</v>
      </c>
      <c r="M8" s="46" t="s">
        <v>193</v>
      </c>
      <c r="N8" s="46" t="s">
        <v>187</v>
      </c>
      <c r="O8" s="38" t="s">
        <v>186</v>
      </c>
      <c r="P8" s="68" t="s">
        <v>244</v>
      </c>
      <c r="Q8" s="68" t="s">
        <v>187</v>
      </c>
      <c r="R8" s="68" t="s">
        <v>249</v>
      </c>
      <c r="S8" s="68" t="s">
        <v>187</v>
      </c>
      <c r="T8" s="68" t="s">
        <v>187</v>
      </c>
      <c r="U8" s="119" t="s">
        <v>187</v>
      </c>
      <c r="V8" s="68"/>
    </row>
    <row r="9" spans="1:22" x14ac:dyDescent="0.25">
      <c r="A9" s="14">
        <v>13</v>
      </c>
      <c r="B9" s="50" t="s">
        <v>16</v>
      </c>
      <c r="C9" s="50" t="s">
        <v>53</v>
      </c>
      <c r="D9" s="50" t="s">
        <v>54</v>
      </c>
      <c r="E9" s="50" t="s">
        <v>55</v>
      </c>
      <c r="F9" s="81" t="s">
        <v>56</v>
      </c>
      <c r="G9" s="50" t="s">
        <v>57</v>
      </c>
      <c r="H9" s="51">
        <v>233582305</v>
      </c>
      <c r="I9" s="81" t="s">
        <v>22</v>
      </c>
      <c r="J9" s="50"/>
      <c r="K9" s="98">
        <v>30</v>
      </c>
      <c r="L9" s="53">
        <v>42754</v>
      </c>
      <c r="M9" s="50" t="s">
        <v>193</v>
      </c>
      <c r="N9" s="38" t="s">
        <v>186</v>
      </c>
      <c r="O9" s="38" t="s">
        <v>186</v>
      </c>
      <c r="P9" s="68" t="s">
        <v>243</v>
      </c>
      <c r="Q9" s="68" t="s">
        <v>193</v>
      </c>
      <c r="R9" s="68" t="s">
        <v>243</v>
      </c>
      <c r="S9" s="68" t="s">
        <v>187</v>
      </c>
      <c r="T9" s="68" t="s">
        <v>186</v>
      </c>
      <c r="U9" s="119" t="s">
        <v>187</v>
      </c>
      <c r="V9" s="68"/>
    </row>
    <row r="10" spans="1:22" x14ac:dyDescent="0.25">
      <c r="A10" s="7">
        <v>16</v>
      </c>
      <c r="B10" s="38" t="s">
        <v>16</v>
      </c>
      <c r="C10" s="38" t="s">
        <v>58</v>
      </c>
      <c r="D10" s="38" t="s">
        <v>59</v>
      </c>
      <c r="E10" s="38" t="s">
        <v>60</v>
      </c>
      <c r="F10" s="78" t="s">
        <v>61</v>
      </c>
      <c r="G10" s="38" t="s">
        <v>62</v>
      </c>
      <c r="H10" s="39">
        <v>240869588</v>
      </c>
      <c r="I10" s="78" t="s">
        <v>22</v>
      </c>
      <c r="J10" s="38"/>
      <c r="K10" s="95">
        <v>30</v>
      </c>
      <c r="L10" s="41">
        <v>42805</v>
      </c>
      <c r="M10" s="38" t="s">
        <v>194</v>
      </c>
      <c r="N10" s="38" t="s">
        <v>186</v>
      </c>
      <c r="O10" s="38" t="s">
        <v>186</v>
      </c>
      <c r="P10" s="68" t="s">
        <v>243</v>
      </c>
      <c r="Q10" s="68" t="s">
        <v>193</v>
      </c>
      <c r="R10" s="68" t="s">
        <v>243</v>
      </c>
      <c r="S10" s="68" t="s">
        <v>186</v>
      </c>
      <c r="T10" s="68" t="s">
        <v>187</v>
      </c>
      <c r="U10" s="138" t="s">
        <v>187</v>
      </c>
      <c r="V10" s="68"/>
    </row>
    <row r="11" spans="1:22" x14ac:dyDescent="0.25">
      <c r="A11" s="7">
        <v>17</v>
      </c>
      <c r="B11" s="38" t="s">
        <v>63</v>
      </c>
      <c r="C11" s="38" t="s">
        <v>64</v>
      </c>
      <c r="D11" s="38" t="s">
        <v>65</v>
      </c>
      <c r="E11" s="38" t="s">
        <v>66</v>
      </c>
      <c r="F11" s="78" t="s">
        <v>37</v>
      </c>
      <c r="G11" s="38" t="s">
        <v>67</v>
      </c>
      <c r="H11" s="39">
        <v>240288511</v>
      </c>
      <c r="I11" s="78" t="s">
        <v>22</v>
      </c>
      <c r="J11" s="38" t="s">
        <v>11</v>
      </c>
      <c r="K11" s="95">
        <v>30</v>
      </c>
      <c r="L11" s="41">
        <v>42752</v>
      </c>
      <c r="M11" s="38" t="s">
        <v>193</v>
      </c>
      <c r="N11" s="38" t="s">
        <v>186</v>
      </c>
      <c r="O11" s="38" t="s">
        <v>186</v>
      </c>
      <c r="P11" s="46" t="s">
        <v>243</v>
      </c>
      <c r="Q11" s="46" t="s">
        <v>193</v>
      </c>
      <c r="R11" s="68" t="s">
        <v>243</v>
      </c>
      <c r="S11" s="68" t="s">
        <v>186</v>
      </c>
      <c r="T11" s="68" t="s">
        <v>187</v>
      </c>
      <c r="U11" s="138" t="s">
        <v>186</v>
      </c>
      <c r="V11" s="68"/>
    </row>
    <row r="12" spans="1:22" x14ac:dyDescent="0.25">
      <c r="A12" s="7">
        <v>19</v>
      </c>
      <c r="B12" s="38" t="s">
        <v>16</v>
      </c>
      <c r="C12" s="38" t="s">
        <v>68</v>
      </c>
      <c r="D12" s="38" t="s">
        <v>69</v>
      </c>
      <c r="E12" s="38" t="s">
        <v>70</v>
      </c>
      <c r="F12" s="78" t="s">
        <v>71</v>
      </c>
      <c r="G12" s="38" t="s">
        <v>72</v>
      </c>
      <c r="H12" s="39">
        <v>233599971</v>
      </c>
      <c r="I12" s="78" t="s">
        <v>22</v>
      </c>
      <c r="J12" s="38"/>
      <c r="K12" s="95">
        <v>30</v>
      </c>
      <c r="L12" s="41">
        <v>42828</v>
      </c>
      <c r="M12" s="38" t="s">
        <v>193</v>
      </c>
      <c r="N12" s="38" t="s">
        <v>187</v>
      </c>
      <c r="O12" s="38" t="s">
        <v>186</v>
      </c>
      <c r="P12" s="68" t="s">
        <v>244</v>
      </c>
      <c r="Q12" s="15" t="s">
        <v>187</v>
      </c>
      <c r="R12" s="68" t="s">
        <v>249</v>
      </c>
      <c r="S12" s="68" t="s">
        <v>187</v>
      </c>
      <c r="T12" s="68" t="s">
        <v>187</v>
      </c>
      <c r="U12" s="138" t="s">
        <v>187</v>
      </c>
      <c r="V12" s="68"/>
    </row>
    <row r="13" spans="1:22" x14ac:dyDescent="0.25">
      <c r="A13" s="7">
        <v>27</v>
      </c>
      <c r="B13" s="38" t="s">
        <v>16</v>
      </c>
      <c r="C13" s="38" t="s">
        <v>73</v>
      </c>
      <c r="D13" s="38" t="s">
        <v>74</v>
      </c>
      <c r="E13" s="38" t="s">
        <v>75</v>
      </c>
      <c r="F13" s="78" t="s">
        <v>76</v>
      </c>
      <c r="G13" s="38" t="s">
        <v>77</v>
      </c>
      <c r="H13" s="39">
        <v>240217566</v>
      </c>
      <c r="I13" s="78" t="s">
        <v>22</v>
      </c>
      <c r="J13" s="38"/>
      <c r="K13" s="95">
        <v>30</v>
      </c>
      <c r="L13" s="41">
        <v>42798</v>
      </c>
      <c r="M13" s="38" t="s">
        <v>194</v>
      </c>
      <c r="N13" s="38" t="s">
        <v>187</v>
      </c>
      <c r="O13" s="38" t="s">
        <v>186</v>
      </c>
      <c r="P13" s="68" t="s">
        <v>244</v>
      </c>
      <c r="Q13" s="68" t="s">
        <v>187</v>
      </c>
      <c r="R13" s="68" t="s">
        <v>243</v>
      </c>
      <c r="S13" s="68" t="s">
        <v>186</v>
      </c>
      <c r="T13" s="68" t="s">
        <v>187</v>
      </c>
      <c r="U13" s="138" t="s">
        <v>187</v>
      </c>
      <c r="V13" s="68"/>
    </row>
    <row r="14" spans="1:22" x14ac:dyDescent="0.25">
      <c r="A14" s="7">
        <v>25</v>
      </c>
      <c r="B14" s="38" t="s">
        <v>63</v>
      </c>
      <c r="C14" s="38" t="s">
        <v>189</v>
      </c>
      <c r="D14" s="38" t="s">
        <v>83</v>
      </c>
      <c r="E14" s="38" t="s">
        <v>84</v>
      </c>
      <c r="F14" s="78" t="s">
        <v>85</v>
      </c>
      <c r="G14" s="38" t="s">
        <v>86</v>
      </c>
      <c r="H14" s="39">
        <v>659910577</v>
      </c>
      <c r="I14" s="78" t="s">
        <v>22</v>
      </c>
      <c r="J14" s="38"/>
      <c r="K14" s="95">
        <v>30</v>
      </c>
      <c r="L14" s="41">
        <v>42768</v>
      </c>
      <c r="M14" s="38"/>
      <c r="N14" s="38" t="s">
        <v>186</v>
      </c>
      <c r="O14" s="38" t="s">
        <v>186</v>
      </c>
      <c r="P14" s="68" t="s">
        <v>243</v>
      </c>
      <c r="Q14" s="68" t="s">
        <v>193</v>
      </c>
      <c r="R14" s="68" t="s">
        <v>243</v>
      </c>
      <c r="S14" s="68" t="s">
        <v>187</v>
      </c>
      <c r="T14" s="68" t="s">
        <v>201</v>
      </c>
      <c r="U14" s="119" t="s">
        <v>186</v>
      </c>
      <c r="V14" s="68"/>
    </row>
    <row r="15" spans="1:22" s="154" customFormat="1" x14ac:dyDescent="0.25">
      <c r="A15" s="146">
        <v>28</v>
      </c>
      <c r="B15" s="147" t="s">
        <v>16</v>
      </c>
      <c r="C15" s="147" t="s">
        <v>87</v>
      </c>
      <c r="D15" s="147" t="s">
        <v>35</v>
      </c>
      <c r="E15" s="147" t="s">
        <v>88</v>
      </c>
      <c r="F15" s="148" t="s">
        <v>89</v>
      </c>
      <c r="G15" s="147" t="s">
        <v>90</v>
      </c>
      <c r="H15" s="149">
        <v>240247803</v>
      </c>
      <c r="I15" s="148" t="s">
        <v>22</v>
      </c>
      <c r="J15" s="147"/>
      <c r="K15" s="150">
        <v>40</v>
      </c>
      <c r="L15" s="151">
        <v>42890</v>
      </c>
      <c r="M15" s="147"/>
      <c r="N15" s="147" t="s">
        <v>187</v>
      </c>
      <c r="O15" s="147" t="s">
        <v>186</v>
      </c>
      <c r="P15" s="152" t="s">
        <v>244</v>
      </c>
      <c r="Q15" s="152" t="s">
        <v>187</v>
      </c>
      <c r="R15" s="152" t="s">
        <v>249</v>
      </c>
      <c r="S15" s="152" t="s">
        <v>187</v>
      </c>
      <c r="T15" s="152" t="s">
        <v>187</v>
      </c>
      <c r="U15" s="153" t="s">
        <v>187</v>
      </c>
      <c r="V15" s="152"/>
    </row>
    <row r="16" spans="1:22" x14ac:dyDescent="0.25">
      <c r="A16" s="7">
        <v>29</v>
      </c>
      <c r="B16" s="38" t="s">
        <v>16</v>
      </c>
      <c r="C16" s="38" t="s">
        <v>91</v>
      </c>
      <c r="D16" s="38" t="s">
        <v>30</v>
      </c>
      <c r="E16" s="38" t="s">
        <v>92</v>
      </c>
      <c r="F16" s="78" t="s">
        <v>93</v>
      </c>
      <c r="G16" s="38" t="s">
        <v>94</v>
      </c>
      <c r="H16" s="39">
        <v>298283516</v>
      </c>
      <c r="I16" s="78" t="s">
        <v>22</v>
      </c>
      <c r="J16" s="38" t="s">
        <v>11</v>
      </c>
      <c r="K16" s="95">
        <v>30</v>
      </c>
      <c r="L16" s="41">
        <v>42749</v>
      </c>
      <c r="M16" s="38" t="s">
        <v>193</v>
      </c>
      <c r="N16" s="38" t="s">
        <v>186</v>
      </c>
      <c r="O16" s="38" t="s">
        <v>186</v>
      </c>
      <c r="P16" s="68" t="s">
        <v>243</v>
      </c>
      <c r="Q16" s="68" t="s">
        <v>193</v>
      </c>
      <c r="R16" s="68" t="s">
        <v>243</v>
      </c>
      <c r="S16" s="68" t="s">
        <v>186</v>
      </c>
      <c r="T16" s="68" t="s">
        <v>187</v>
      </c>
      <c r="U16" s="119" t="s">
        <v>186</v>
      </c>
      <c r="V16" s="68" t="s">
        <v>198</v>
      </c>
    </row>
    <row r="17" spans="1:22" x14ac:dyDescent="0.25">
      <c r="A17" s="7">
        <v>32</v>
      </c>
      <c r="B17" s="38" t="s">
        <v>16</v>
      </c>
      <c r="C17" s="38" t="s">
        <v>95</v>
      </c>
      <c r="D17" s="38" t="s">
        <v>96</v>
      </c>
      <c r="E17" s="38" t="s">
        <v>97</v>
      </c>
      <c r="F17" s="78" t="s">
        <v>98</v>
      </c>
      <c r="G17" s="38" t="s">
        <v>99</v>
      </c>
      <c r="H17" s="39">
        <v>381931579</v>
      </c>
      <c r="I17" s="78" t="s">
        <v>22</v>
      </c>
      <c r="J17" s="38"/>
      <c r="K17" s="95">
        <v>30</v>
      </c>
      <c r="L17" s="41">
        <v>42762</v>
      </c>
      <c r="M17" s="38" t="s">
        <v>193</v>
      </c>
      <c r="N17" s="38" t="s">
        <v>186</v>
      </c>
      <c r="O17" s="38" t="s">
        <v>186</v>
      </c>
      <c r="P17" s="68" t="s">
        <v>243</v>
      </c>
      <c r="Q17" s="68" t="s">
        <v>187</v>
      </c>
      <c r="R17" s="68" t="s">
        <v>243</v>
      </c>
      <c r="S17" s="68" t="s">
        <v>186</v>
      </c>
      <c r="T17" s="68" t="s">
        <v>186</v>
      </c>
      <c r="U17" s="119" t="s">
        <v>187</v>
      </c>
      <c r="V17" s="68"/>
    </row>
    <row r="18" spans="1:22" x14ac:dyDescent="0.25">
      <c r="A18" s="8">
        <v>40</v>
      </c>
      <c r="B18" s="42" t="s">
        <v>16</v>
      </c>
      <c r="C18" s="42" t="s">
        <v>100</v>
      </c>
      <c r="D18" s="42" t="s">
        <v>101</v>
      </c>
      <c r="E18" s="42" t="s">
        <v>102</v>
      </c>
      <c r="F18" s="79" t="s">
        <v>51</v>
      </c>
      <c r="G18" s="42" t="s">
        <v>103</v>
      </c>
      <c r="H18" s="43">
        <v>240566952</v>
      </c>
      <c r="I18" s="79" t="s">
        <v>22</v>
      </c>
      <c r="J18" s="42"/>
      <c r="K18" s="96">
        <v>30</v>
      </c>
      <c r="L18" s="45">
        <v>42754</v>
      </c>
      <c r="M18" s="42" t="s">
        <v>193</v>
      </c>
      <c r="N18" s="42" t="s">
        <v>187</v>
      </c>
      <c r="O18" s="38" t="s">
        <v>186</v>
      </c>
      <c r="P18" s="68" t="s">
        <v>244</v>
      </c>
      <c r="Q18" s="68" t="s">
        <v>187</v>
      </c>
      <c r="R18" s="68" t="s">
        <v>249</v>
      </c>
      <c r="S18" s="68" t="s">
        <v>187</v>
      </c>
      <c r="T18" s="68" t="s">
        <v>187</v>
      </c>
      <c r="U18" s="119" t="s">
        <v>201</v>
      </c>
      <c r="V18" s="68"/>
    </row>
    <row r="19" spans="1:22" x14ac:dyDescent="0.25">
      <c r="A19" s="11">
        <v>41</v>
      </c>
      <c r="B19" s="59" t="s">
        <v>16</v>
      </c>
      <c r="C19" s="59" t="s">
        <v>104</v>
      </c>
      <c r="D19" s="59" t="s">
        <v>105</v>
      </c>
      <c r="E19" s="59" t="s">
        <v>106</v>
      </c>
      <c r="F19" s="82" t="s">
        <v>107</v>
      </c>
      <c r="G19" s="59" t="s">
        <v>108</v>
      </c>
      <c r="H19" s="60" t="s">
        <v>253</v>
      </c>
      <c r="I19" s="82"/>
      <c r="J19" s="59"/>
      <c r="K19" s="99">
        <v>30</v>
      </c>
      <c r="L19" s="62">
        <v>42754</v>
      </c>
      <c r="M19" s="59"/>
      <c r="N19" s="42" t="s">
        <v>187</v>
      </c>
      <c r="O19" s="38" t="s">
        <v>187</v>
      </c>
      <c r="P19" s="68" t="s">
        <v>244</v>
      </c>
      <c r="Q19" s="68" t="s">
        <v>187</v>
      </c>
      <c r="R19" s="68" t="s">
        <v>249</v>
      </c>
      <c r="S19" s="68" t="s">
        <v>187</v>
      </c>
      <c r="T19" s="68" t="s">
        <v>187</v>
      </c>
      <c r="U19" s="119" t="s">
        <v>186</v>
      </c>
      <c r="V19" s="68"/>
    </row>
    <row r="20" spans="1:22" x14ac:dyDescent="0.25">
      <c r="A20" s="11">
        <v>45</v>
      </c>
      <c r="B20" s="59" t="s">
        <v>16</v>
      </c>
      <c r="C20" s="59" t="s">
        <v>109</v>
      </c>
      <c r="D20" s="59" t="s">
        <v>110</v>
      </c>
      <c r="E20" s="59" t="s">
        <v>111</v>
      </c>
      <c r="F20" s="82" t="s">
        <v>112</v>
      </c>
      <c r="G20" s="59" t="s">
        <v>113</v>
      </c>
      <c r="H20" s="60">
        <v>297607398</v>
      </c>
      <c r="I20" s="82" t="s">
        <v>22</v>
      </c>
      <c r="J20" s="59" t="s">
        <v>11</v>
      </c>
      <c r="K20" s="99">
        <v>30</v>
      </c>
      <c r="L20" s="62">
        <v>42756</v>
      </c>
      <c r="M20" s="59" t="s">
        <v>193</v>
      </c>
      <c r="N20" s="38" t="s">
        <v>186</v>
      </c>
      <c r="O20" s="38" t="s">
        <v>186</v>
      </c>
      <c r="P20" s="68" t="s">
        <v>243</v>
      </c>
      <c r="Q20" s="68" t="s">
        <v>193</v>
      </c>
      <c r="R20" s="68" t="s">
        <v>243</v>
      </c>
      <c r="S20" s="68" t="s">
        <v>186</v>
      </c>
      <c r="T20" s="68" t="s">
        <v>186</v>
      </c>
      <c r="U20" s="119" t="s">
        <v>187</v>
      </c>
      <c r="V20" s="68" t="s">
        <v>198</v>
      </c>
    </row>
    <row r="21" spans="1:22" x14ac:dyDescent="0.25">
      <c r="A21" s="11">
        <v>47</v>
      </c>
      <c r="B21" s="59" t="s">
        <v>16</v>
      </c>
      <c r="C21" s="59" t="s">
        <v>118</v>
      </c>
      <c r="D21" s="59" t="s">
        <v>105</v>
      </c>
      <c r="E21" s="59" t="s">
        <v>119</v>
      </c>
      <c r="F21" s="82" t="s">
        <v>120</v>
      </c>
      <c r="G21" s="59" t="s">
        <v>121</v>
      </c>
      <c r="H21" s="60">
        <v>326039670</v>
      </c>
      <c r="I21" s="82" t="s">
        <v>22</v>
      </c>
      <c r="J21" s="59" t="s">
        <v>11</v>
      </c>
      <c r="K21" s="99">
        <v>30</v>
      </c>
      <c r="L21" s="62">
        <v>42753</v>
      </c>
      <c r="M21" s="59" t="s">
        <v>193</v>
      </c>
      <c r="N21" s="38" t="s">
        <v>186</v>
      </c>
      <c r="O21" s="38" t="s">
        <v>186</v>
      </c>
      <c r="P21" s="68" t="s">
        <v>243</v>
      </c>
      <c r="Q21" s="68" t="s">
        <v>187</v>
      </c>
      <c r="R21" s="68" t="s">
        <v>243</v>
      </c>
      <c r="S21" s="68" t="s">
        <v>187</v>
      </c>
      <c r="T21" s="68" t="s">
        <v>187</v>
      </c>
      <c r="U21" s="119" t="s">
        <v>187</v>
      </c>
      <c r="V21" s="68" t="s">
        <v>198</v>
      </c>
    </row>
    <row r="22" spans="1:22" x14ac:dyDescent="0.25">
      <c r="A22" s="24">
        <v>53</v>
      </c>
      <c r="B22" s="24" t="s">
        <v>63</v>
      </c>
      <c r="C22" s="24" t="s">
        <v>122</v>
      </c>
      <c r="D22" s="24" t="s">
        <v>123</v>
      </c>
      <c r="E22" s="24" t="s">
        <v>124</v>
      </c>
      <c r="F22" s="83" t="s">
        <v>125</v>
      </c>
      <c r="G22" s="24" t="s">
        <v>126</v>
      </c>
      <c r="H22" s="77">
        <v>233606454</v>
      </c>
      <c r="I22" s="24"/>
      <c r="J22" s="24"/>
      <c r="K22" s="100">
        <v>30</v>
      </c>
      <c r="L22" s="103">
        <v>42826</v>
      </c>
      <c r="M22" s="24" t="s">
        <v>193</v>
      </c>
      <c r="N22" s="24" t="s">
        <v>187</v>
      </c>
      <c r="O22" s="24" t="s">
        <v>187</v>
      </c>
      <c r="P22" s="15" t="s">
        <v>244</v>
      </c>
      <c r="Q22" s="68" t="s">
        <v>187</v>
      </c>
      <c r="R22" s="68" t="s">
        <v>249</v>
      </c>
      <c r="S22" s="68" t="s">
        <v>187</v>
      </c>
      <c r="T22" s="68" t="s">
        <v>187</v>
      </c>
      <c r="U22" s="119" t="s">
        <v>187</v>
      </c>
      <c r="V22" s="68"/>
    </row>
    <row r="23" spans="1:22" x14ac:dyDescent="0.25">
      <c r="A23" s="14">
        <v>54</v>
      </c>
      <c r="B23" s="50" t="s">
        <v>16</v>
      </c>
      <c r="C23" s="50" t="s">
        <v>127</v>
      </c>
      <c r="D23" s="50" t="s">
        <v>128</v>
      </c>
      <c r="E23" s="50" t="s">
        <v>129</v>
      </c>
      <c r="F23" s="81" t="s">
        <v>130</v>
      </c>
      <c r="G23" s="50" t="s">
        <v>131</v>
      </c>
      <c r="H23" s="51">
        <v>389409150</v>
      </c>
      <c r="I23" s="81" t="s">
        <v>22</v>
      </c>
      <c r="J23" s="50"/>
      <c r="K23" s="98">
        <v>30</v>
      </c>
      <c r="L23" s="53">
        <v>42752</v>
      </c>
      <c r="M23" s="50" t="s">
        <v>193</v>
      </c>
      <c r="N23" s="38" t="s">
        <v>186</v>
      </c>
      <c r="O23" s="38" t="s">
        <v>186</v>
      </c>
      <c r="P23" s="68" t="s">
        <v>243</v>
      </c>
      <c r="Q23" s="68" t="s">
        <v>193</v>
      </c>
      <c r="R23" s="68" t="s">
        <v>243</v>
      </c>
      <c r="S23" s="68" t="s">
        <v>186</v>
      </c>
      <c r="T23" s="68" t="s">
        <v>186</v>
      </c>
      <c r="U23" s="119" t="s">
        <v>187</v>
      </c>
      <c r="V23" s="68"/>
    </row>
    <row r="24" spans="1:22" x14ac:dyDescent="0.25">
      <c r="A24" s="7">
        <v>56</v>
      </c>
      <c r="B24" s="38" t="s">
        <v>16</v>
      </c>
      <c r="C24" s="38" t="s">
        <v>132</v>
      </c>
      <c r="D24" s="38" t="s">
        <v>133</v>
      </c>
      <c r="E24" s="38" t="s">
        <v>134</v>
      </c>
      <c r="F24" s="78" t="s">
        <v>135</v>
      </c>
      <c r="G24" s="38" t="s">
        <v>136</v>
      </c>
      <c r="H24" s="39">
        <v>344733400</v>
      </c>
      <c r="I24" s="78"/>
      <c r="J24" s="38"/>
      <c r="K24" s="95">
        <v>30</v>
      </c>
      <c r="L24" s="41">
        <v>42782</v>
      </c>
      <c r="M24" s="38"/>
      <c r="N24" s="38" t="s">
        <v>187</v>
      </c>
      <c r="O24" s="38" t="s">
        <v>187</v>
      </c>
      <c r="P24" s="68" t="s">
        <v>244</v>
      </c>
      <c r="Q24" s="68" t="s">
        <v>187</v>
      </c>
      <c r="R24" s="68" t="s">
        <v>249</v>
      </c>
      <c r="S24" s="68" t="s">
        <v>187</v>
      </c>
      <c r="T24" s="68" t="s">
        <v>187</v>
      </c>
      <c r="U24" s="119" t="s">
        <v>187</v>
      </c>
      <c r="V24" s="68"/>
    </row>
    <row r="25" spans="1:22" x14ac:dyDescent="0.25">
      <c r="A25" s="7">
        <v>57</v>
      </c>
      <c r="B25" s="38" t="s">
        <v>16</v>
      </c>
      <c r="C25" s="38" t="s">
        <v>137</v>
      </c>
      <c r="D25" s="38" t="s">
        <v>138</v>
      </c>
      <c r="E25" s="38" t="s">
        <v>139</v>
      </c>
      <c r="F25" s="78" t="s">
        <v>140</v>
      </c>
      <c r="G25" s="38" t="s">
        <v>141</v>
      </c>
      <c r="H25" s="39">
        <v>344087305</v>
      </c>
      <c r="I25" s="78" t="s">
        <v>22</v>
      </c>
      <c r="J25" s="38" t="s">
        <v>11</v>
      </c>
      <c r="K25" s="95">
        <v>30</v>
      </c>
      <c r="L25" s="41">
        <v>42758</v>
      </c>
      <c r="M25" s="38" t="s">
        <v>193</v>
      </c>
      <c r="N25" s="38" t="s">
        <v>186</v>
      </c>
      <c r="O25" s="38" t="s">
        <v>186</v>
      </c>
      <c r="P25" s="68" t="s">
        <v>243</v>
      </c>
      <c r="Q25" s="68" t="s">
        <v>187</v>
      </c>
      <c r="R25" s="68" t="s">
        <v>256</v>
      </c>
      <c r="S25" s="68" t="s">
        <v>187</v>
      </c>
      <c r="T25" s="68" t="s">
        <v>256</v>
      </c>
      <c r="U25" s="119" t="s">
        <v>187</v>
      </c>
      <c r="V25" s="68"/>
    </row>
    <row r="26" spans="1:22" x14ac:dyDescent="0.25">
      <c r="A26" s="7">
        <v>58</v>
      </c>
      <c r="B26" s="38" t="s">
        <v>16</v>
      </c>
      <c r="C26" s="38" t="s">
        <v>142</v>
      </c>
      <c r="D26" s="38" t="s">
        <v>143</v>
      </c>
      <c r="E26" s="38" t="s">
        <v>144</v>
      </c>
      <c r="F26" s="78" t="s">
        <v>145</v>
      </c>
      <c r="G26" s="38" t="s">
        <v>146</v>
      </c>
      <c r="H26" s="39">
        <v>240010338</v>
      </c>
      <c r="I26" s="78" t="s">
        <v>22</v>
      </c>
      <c r="J26" s="38"/>
      <c r="K26" s="95">
        <v>30</v>
      </c>
      <c r="L26" s="41">
        <v>42783</v>
      </c>
      <c r="M26" s="38" t="s">
        <v>194</v>
      </c>
      <c r="N26" s="38" t="s">
        <v>186</v>
      </c>
      <c r="O26" s="38" t="s">
        <v>186</v>
      </c>
      <c r="P26" s="68" t="s">
        <v>243</v>
      </c>
      <c r="Q26" s="68" t="s">
        <v>193</v>
      </c>
      <c r="R26" s="68" t="s">
        <v>243</v>
      </c>
      <c r="S26" s="68" t="s">
        <v>186</v>
      </c>
      <c r="T26" s="68" t="s">
        <v>187</v>
      </c>
      <c r="U26" s="119" t="s">
        <v>186</v>
      </c>
      <c r="V26" s="68"/>
    </row>
    <row r="27" spans="1:22" x14ac:dyDescent="0.25">
      <c r="A27" s="7">
        <v>62</v>
      </c>
      <c r="B27" s="38" t="s">
        <v>16</v>
      </c>
      <c r="C27" s="38" t="s">
        <v>152</v>
      </c>
      <c r="D27" s="38" t="s">
        <v>153</v>
      </c>
      <c r="E27" s="38" t="s">
        <v>154</v>
      </c>
      <c r="F27" s="78" t="s">
        <v>155</v>
      </c>
      <c r="G27" s="38" t="s">
        <v>156</v>
      </c>
      <c r="H27" s="39">
        <v>233319751</v>
      </c>
      <c r="I27" s="78" t="s">
        <v>22</v>
      </c>
      <c r="J27" s="38"/>
      <c r="K27" s="95">
        <v>30</v>
      </c>
      <c r="L27" s="41">
        <v>42767</v>
      </c>
      <c r="M27" s="38" t="s">
        <v>194</v>
      </c>
      <c r="N27" s="38" t="s">
        <v>186</v>
      </c>
      <c r="O27" s="38" t="s">
        <v>186</v>
      </c>
      <c r="P27" s="68" t="s">
        <v>243</v>
      </c>
      <c r="Q27" s="68" t="s">
        <v>187</v>
      </c>
      <c r="R27" s="68" t="s">
        <v>243</v>
      </c>
      <c r="S27" s="68" t="s">
        <v>186</v>
      </c>
      <c r="T27" s="68" t="s">
        <v>186</v>
      </c>
      <c r="U27" s="119" t="s">
        <v>186</v>
      </c>
      <c r="V27" s="68"/>
    </row>
    <row r="28" spans="1:22" x14ac:dyDescent="0.25">
      <c r="A28" s="7">
        <v>64</v>
      </c>
      <c r="B28" s="38" t="s">
        <v>16</v>
      </c>
      <c r="C28" s="38" t="s">
        <v>157</v>
      </c>
      <c r="D28" s="38" t="s">
        <v>158</v>
      </c>
      <c r="E28" s="38" t="s">
        <v>159</v>
      </c>
      <c r="F28" s="78" t="s">
        <v>160</v>
      </c>
      <c r="G28" s="38" t="s">
        <v>161</v>
      </c>
      <c r="H28" s="39">
        <v>240915275</v>
      </c>
      <c r="I28" s="78" t="s">
        <v>22</v>
      </c>
      <c r="J28" s="38"/>
      <c r="K28" s="95">
        <v>30</v>
      </c>
      <c r="L28" s="41">
        <v>42798</v>
      </c>
      <c r="M28" s="38" t="s">
        <v>194</v>
      </c>
      <c r="N28" s="38" t="s">
        <v>186</v>
      </c>
      <c r="O28" s="38" t="s">
        <v>186</v>
      </c>
      <c r="P28" s="68" t="s">
        <v>243</v>
      </c>
      <c r="Q28" s="68" t="s">
        <v>187</v>
      </c>
      <c r="R28" s="68" t="s">
        <v>243</v>
      </c>
      <c r="S28" s="68" t="s">
        <v>186</v>
      </c>
      <c r="T28" s="68" t="s">
        <v>186</v>
      </c>
      <c r="U28" s="119" t="s">
        <v>186</v>
      </c>
      <c r="V28" s="68"/>
    </row>
    <row r="29" spans="1:22" x14ac:dyDescent="0.25">
      <c r="A29" s="7">
        <v>69</v>
      </c>
      <c r="B29" s="38" t="s">
        <v>16</v>
      </c>
      <c r="C29" s="38" t="s">
        <v>162</v>
      </c>
      <c r="D29" s="38" t="s">
        <v>163</v>
      </c>
      <c r="E29" s="38" t="s">
        <v>164</v>
      </c>
      <c r="F29" s="78" t="s">
        <v>165</v>
      </c>
      <c r="G29" s="38" t="s">
        <v>166</v>
      </c>
      <c r="H29" s="39">
        <v>297751332</v>
      </c>
      <c r="I29" s="78" t="s">
        <v>22</v>
      </c>
      <c r="J29" s="38" t="s">
        <v>11</v>
      </c>
      <c r="K29" s="95">
        <v>30</v>
      </c>
      <c r="L29" s="41">
        <v>42763</v>
      </c>
      <c r="M29" s="38" t="s">
        <v>194</v>
      </c>
      <c r="N29" s="38" t="s">
        <v>186</v>
      </c>
      <c r="O29" s="38" t="s">
        <v>186</v>
      </c>
      <c r="P29" s="68" t="s">
        <v>243</v>
      </c>
      <c r="Q29" s="68" t="s">
        <v>187</v>
      </c>
      <c r="R29" s="68" t="s">
        <v>243</v>
      </c>
      <c r="S29" s="68" t="s">
        <v>186</v>
      </c>
      <c r="T29" s="68" t="s">
        <v>186</v>
      </c>
      <c r="U29" s="119" t="s">
        <v>186</v>
      </c>
      <c r="V29" s="68"/>
    </row>
    <row r="30" spans="1:22" x14ac:dyDescent="0.25">
      <c r="A30" s="7">
        <v>73</v>
      </c>
      <c r="B30" s="38" t="s">
        <v>16</v>
      </c>
      <c r="C30" s="38" t="s">
        <v>167</v>
      </c>
      <c r="D30" s="38" t="s">
        <v>168</v>
      </c>
      <c r="E30" s="38" t="s">
        <v>169</v>
      </c>
      <c r="F30" s="78" t="s">
        <v>51</v>
      </c>
      <c r="G30" s="38" t="s">
        <v>170</v>
      </c>
      <c r="H30" s="39">
        <v>240566793</v>
      </c>
      <c r="I30" s="78" t="s">
        <v>22</v>
      </c>
      <c r="J30" s="38"/>
      <c r="K30" s="95">
        <v>30</v>
      </c>
      <c r="L30" s="41">
        <v>42815</v>
      </c>
      <c r="M30" s="38" t="s">
        <v>193</v>
      </c>
      <c r="N30" s="38" t="s">
        <v>187</v>
      </c>
      <c r="O30" s="38" t="s">
        <v>186</v>
      </c>
      <c r="P30" s="68" t="s">
        <v>244</v>
      </c>
      <c r="Q30" s="68" t="s">
        <v>187</v>
      </c>
      <c r="R30" s="68" t="s">
        <v>249</v>
      </c>
      <c r="S30" s="68" t="s">
        <v>187</v>
      </c>
      <c r="T30" s="68" t="s">
        <v>187</v>
      </c>
      <c r="U30" s="119" t="s">
        <v>186</v>
      </c>
      <c r="V30" s="68"/>
    </row>
    <row r="31" spans="1:22" x14ac:dyDescent="0.25">
      <c r="A31" s="7">
        <v>75</v>
      </c>
      <c r="B31" s="38" t="s">
        <v>63</v>
      </c>
      <c r="C31" s="38" t="s">
        <v>171</v>
      </c>
      <c r="D31" s="38" t="s">
        <v>172</v>
      </c>
      <c r="E31" s="38" t="s">
        <v>207</v>
      </c>
      <c r="F31" s="78" t="s">
        <v>225</v>
      </c>
      <c r="G31" s="38" t="s">
        <v>259</v>
      </c>
      <c r="H31" s="39">
        <v>608070812</v>
      </c>
      <c r="I31" s="78" t="s">
        <v>22</v>
      </c>
      <c r="J31" s="38" t="s">
        <v>11</v>
      </c>
      <c r="K31" s="95">
        <v>30</v>
      </c>
      <c r="L31" s="41">
        <v>42756</v>
      </c>
      <c r="M31" s="38"/>
      <c r="N31" s="38" t="s">
        <v>186</v>
      </c>
      <c r="O31" s="38" t="s">
        <v>186</v>
      </c>
      <c r="P31" s="68" t="s">
        <v>243</v>
      </c>
      <c r="Q31" s="68" t="s">
        <v>193</v>
      </c>
      <c r="R31" s="68" t="s">
        <v>243</v>
      </c>
      <c r="S31" s="68" t="s">
        <v>187</v>
      </c>
      <c r="T31" s="68" t="s">
        <v>187</v>
      </c>
      <c r="U31" s="119" t="s">
        <v>201</v>
      </c>
      <c r="V31" s="68"/>
    </row>
    <row r="32" spans="1:22" x14ac:dyDescent="0.25">
      <c r="A32" s="7">
        <v>77</v>
      </c>
      <c r="B32" s="38" t="s">
        <v>16</v>
      </c>
      <c r="C32" s="38" t="s">
        <v>176</v>
      </c>
      <c r="D32" s="38" t="s">
        <v>177</v>
      </c>
      <c r="E32" s="38" t="s">
        <v>203</v>
      </c>
      <c r="F32" s="78" t="s">
        <v>145</v>
      </c>
      <c r="G32" s="38" t="s">
        <v>146</v>
      </c>
      <c r="H32" s="39">
        <v>240010227</v>
      </c>
      <c r="I32" s="78" t="s">
        <v>22</v>
      </c>
      <c r="J32" s="38"/>
      <c r="K32" s="95">
        <v>30</v>
      </c>
      <c r="L32" s="41">
        <v>42796</v>
      </c>
      <c r="M32" s="38" t="s">
        <v>193</v>
      </c>
      <c r="N32" s="38" t="s">
        <v>186</v>
      </c>
      <c r="O32" s="38" t="s">
        <v>186</v>
      </c>
      <c r="P32" s="68" t="s">
        <v>243</v>
      </c>
      <c r="Q32" s="68" t="s">
        <v>193</v>
      </c>
      <c r="R32" s="68" t="s">
        <v>243</v>
      </c>
      <c r="S32" s="68" t="s">
        <v>187</v>
      </c>
      <c r="T32" s="130" t="s">
        <v>187</v>
      </c>
      <c r="U32" s="119" t="s">
        <v>187</v>
      </c>
      <c r="V32" s="68"/>
    </row>
    <row r="33" spans="1:22" x14ac:dyDescent="0.25">
      <c r="A33" s="7">
        <v>78</v>
      </c>
      <c r="B33" s="38" t="s">
        <v>16</v>
      </c>
      <c r="C33" s="38" t="s">
        <v>185</v>
      </c>
      <c r="D33" s="38" t="s">
        <v>163</v>
      </c>
      <c r="E33" s="38" t="s">
        <v>178</v>
      </c>
      <c r="F33" s="78" t="s">
        <v>179</v>
      </c>
      <c r="G33" s="38" t="s">
        <v>180</v>
      </c>
      <c r="H33" s="39">
        <v>231627538</v>
      </c>
      <c r="I33" s="78" t="s">
        <v>22</v>
      </c>
      <c r="J33" s="38" t="s">
        <v>11</v>
      </c>
      <c r="K33" s="95">
        <v>30</v>
      </c>
      <c r="L33" s="41">
        <v>42798</v>
      </c>
      <c r="M33" s="38" t="s">
        <v>194</v>
      </c>
      <c r="N33" s="38" t="s">
        <v>186</v>
      </c>
      <c r="O33" s="38" t="s">
        <v>186</v>
      </c>
      <c r="P33" s="68" t="s">
        <v>243</v>
      </c>
      <c r="Q33" s="68" t="s">
        <v>187</v>
      </c>
      <c r="R33" s="68" t="s">
        <v>243</v>
      </c>
      <c r="S33" s="68" t="s">
        <v>186</v>
      </c>
      <c r="T33" s="68" t="s">
        <v>186</v>
      </c>
      <c r="U33" s="15" t="s">
        <v>186</v>
      </c>
      <c r="V33" s="68" t="s">
        <v>198</v>
      </c>
    </row>
    <row r="34" spans="1:22" x14ac:dyDescent="0.25">
      <c r="A34" s="24"/>
      <c r="B34" s="46"/>
      <c r="C34" s="46"/>
      <c r="D34" s="46"/>
      <c r="E34" s="46"/>
      <c r="F34" s="80"/>
      <c r="G34" s="46"/>
      <c r="H34" s="47"/>
      <c r="I34" s="80"/>
      <c r="J34" s="46"/>
      <c r="K34" s="97"/>
      <c r="L34" s="49"/>
      <c r="M34" s="46"/>
      <c r="N34" s="46"/>
      <c r="O34" s="46"/>
      <c r="P34" s="68"/>
      <c r="Q34" s="68"/>
      <c r="R34" s="68"/>
      <c r="S34" s="68"/>
      <c r="T34" s="68"/>
      <c r="U34" s="68"/>
      <c r="V34" s="68"/>
    </row>
    <row r="35" spans="1:22" x14ac:dyDescent="0.25">
      <c r="A35" s="15"/>
      <c r="B35" s="68"/>
      <c r="C35" s="68">
        <f>COUNTA(ADVPSC20164[Nom])</f>
        <v>31</v>
      </c>
      <c r="D35" s="68"/>
      <c r="E35" s="68"/>
      <c r="F35" s="91"/>
      <c r="G35" s="68"/>
      <c r="H35" s="68"/>
      <c r="I35" s="68">
        <f>COUNTIF(I3:I33,"av*")</f>
        <v>27</v>
      </c>
      <c r="J35" s="68"/>
      <c r="K35" s="141">
        <f>COUNTA(ADVPSC20164[Cot 2017])</f>
        <v>31</v>
      </c>
      <c r="L35" s="76"/>
      <c r="M35" s="68"/>
      <c r="N35" s="68"/>
      <c r="O35" s="68"/>
      <c r="P35" s="68"/>
      <c r="Q35" s="68">
        <f>COUNTIF(Q3:Q33,"OK")</f>
        <v>13</v>
      </c>
      <c r="R35" s="116">
        <f>COUNTIF(R3:R33,"OUI")</f>
        <v>22</v>
      </c>
      <c r="S35" s="117" t="s">
        <v>250</v>
      </c>
      <c r="T35" s="85"/>
    </row>
    <row r="36" spans="1:22" x14ac:dyDescent="0.25">
      <c r="F36" s="89"/>
      <c r="I36" s="15">
        <f>COUNTIF(I3:I33,"")</f>
        <v>4</v>
      </c>
      <c r="J36" s="15">
        <f>COUNTIF(J3:J33,"Ass*")</f>
        <v>9</v>
      </c>
      <c r="K36" s="142">
        <f>COUNTIF(ADVPSC20164[Cot 2017],"")</f>
        <v>0</v>
      </c>
      <c r="L36" s="64" t="s">
        <v>195</v>
      </c>
      <c r="M36" s="65">
        <f>COUNTIF(M3:M33,"Présent")</f>
        <v>7</v>
      </c>
      <c r="P36" s="15"/>
      <c r="Q36" s="15"/>
      <c r="R36" s="116">
        <f>COUNTIF(ADVPSC20164[Fac/BdeC],"")</f>
        <v>0</v>
      </c>
      <c r="S36" s="120" t="s">
        <v>251</v>
      </c>
      <c r="T36" s="124">
        <f>COUNTIF(U3:U33,"Oui")</f>
        <v>12</v>
      </c>
      <c r="U36" s="125" t="s">
        <v>186</v>
      </c>
    </row>
    <row r="37" spans="1:22" x14ac:dyDescent="0.25">
      <c r="F37" s="89"/>
      <c r="I37" s="15"/>
      <c r="J37" s="15"/>
      <c r="K37" s="102">
        <f>SUM(K3:K33)</f>
        <v>940</v>
      </c>
      <c r="L37" s="66" t="s">
        <v>196</v>
      </c>
      <c r="M37" s="67">
        <f>COUNTIF(M3:M33,"OK")</f>
        <v>18</v>
      </c>
      <c r="N37" s="15">
        <f>COUNTIF(ADVPSC20164[Civil],"Oui")</f>
        <v>21</v>
      </c>
      <c r="O37" s="15">
        <f>COUNTIF(O3:O33,"Oui")</f>
        <v>27</v>
      </c>
      <c r="P37" s="74">
        <f>COUNTIF(P3:P33,"oui")</f>
        <v>21</v>
      </c>
      <c r="Q37" s="74" t="s">
        <v>212</v>
      </c>
      <c r="T37" s="5">
        <f>COUNTIF(U3:U33,"Non")</f>
        <v>15</v>
      </c>
      <c r="U37" s="125" t="s">
        <v>187</v>
      </c>
    </row>
    <row r="38" spans="1:22" x14ac:dyDescent="0.25">
      <c r="F38" s="89"/>
      <c r="I38" s="15"/>
      <c r="J38" s="114" t="s">
        <v>262</v>
      </c>
      <c r="K38" s="112">
        <f>COUNTIF(K3:K33,"30")</f>
        <v>30</v>
      </c>
      <c r="L38" s="4"/>
      <c r="M38" s="63" t="s">
        <v>182</v>
      </c>
      <c r="N38" s="70"/>
      <c r="O38" s="73">
        <f>COUNTIFS(N3:N33,"Oui",O3:O33,"Oui")</f>
        <v>21</v>
      </c>
      <c r="P38" s="74">
        <f>COUNTIFS(P3:P33,"Non",O3:O33,"Oui")</f>
        <v>6</v>
      </c>
      <c r="Q38" s="74" t="s">
        <v>211</v>
      </c>
      <c r="S38" s="15">
        <f>COUNTIF(ADVPSC20164[Expertise],"Oui")</f>
        <v>14</v>
      </c>
      <c r="T38" s="15"/>
    </row>
    <row r="39" spans="1:22" x14ac:dyDescent="0.25">
      <c r="F39" s="89"/>
      <c r="J39" s="114" t="s">
        <v>247</v>
      </c>
      <c r="K39" s="113">
        <f>COUNTIF(K3:K33,"")</f>
        <v>0</v>
      </c>
      <c r="L39" s="4"/>
      <c r="N39" s="29" t="s">
        <v>187</v>
      </c>
      <c r="O39" s="30">
        <f>COUNTIF(O3:O33,"Non")</f>
        <v>4</v>
      </c>
      <c r="P39" s="74">
        <f>COUNTIFS(N3:N33,"Oui",P3:P33,"NON")</f>
        <v>0</v>
      </c>
      <c r="Q39" s="74" t="s">
        <v>263</v>
      </c>
    </row>
    <row r="40" spans="1:22" x14ac:dyDescent="0.25">
      <c r="F40" s="89"/>
      <c r="I40" s="75"/>
      <c r="J40" s="115" t="s">
        <v>190</v>
      </c>
      <c r="K40" s="104">
        <f>COUNTIF(K3:K33,"d*")</f>
        <v>0</v>
      </c>
      <c r="L40" s="4"/>
      <c r="Q40" s="202" t="s">
        <v>257</v>
      </c>
      <c r="R40" s="201"/>
      <c r="S40" s="203"/>
      <c r="T40" s="139">
        <f>COUNTIFS(S3:S33,"Non",T3:T33,"Oui",Q3:Q33,"Non")</f>
        <v>0</v>
      </c>
      <c r="U40" s="128"/>
    </row>
    <row r="41" spans="1:22" x14ac:dyDescent="0.25">
      <c r="F41" s="89"/>
      <c r="I41" s="111"/>
      <c r="J41" s="131" t="s">
        <v>261</v>
      </c>
      <c r="K41" s="132">
        <f>COUNTIF(K3:K33,"40")</f>
        <v>1</v>
      </c>
      <c r="L41" s="4"/>
      <c r="M41" s="20">
        <f>SUMPRODUCT((N4:N33="Non")*1,(O4:O33="Oui")*1)</f>
        <v>6</v>
      </c>
      <c r="N41" s="21" t="s">
        <v>183</v>
      </c>
      <c r="O41" s="128"/>
      <c r="Q41" s="15"/>
    </row>
    <row r="42" spans="1:22" x14ac:dyDescent="0.25">
      <c r="D42" s="22"/>
      <c r="E42" s="22"/>
      <c r="F42" s="90"/>
      <c r="K42" s="93"/>
      <c r="L42" s="126"/>
      <c r="Q42" s="15"/>
    </row>
    <row r="43" spans="1:22" x14ac:dyDescent="0.25">
      <c r="E43" s="72">
        <f>COUNTIF(F3:F33,"75*")</f>
        <v>1</v>
      </c>
      <c r="F43" s="89"/>
      <c r="I43" s="105" t="s">
        <v>205</v>
      </c>
      <c r="J43" s="106"/>
      <c r="K43" s="107">
        <f>COUNTIFS(K3:K33,"",I3:I33,"av*")</f>
        <v>0</v>
      </c>
      <c r="L43" s="126"/>
      <c r="M43" s="33">
        <f>COUNTIFS(O3:O33,"Non",N3:N33,"Oui")</f>
        <v>0</v>
      </c>
      <c r="N43" s="198" t="s">
        <v>197</v>
      </c>
      <c r="O43" s="199"/>
      <c r="P43" s="128"/>
      <c r="Q43" s="15"/>
    </row>
    <row r="44" spans="1:22" x14ac:dyDescent="0.25">
      <c r="E44" s="72"/>
      <c r="F44" s="89"/>
      <c r="I44" s="108" t="s">
        <v>206</v>
      </c>
      <c r="J44" s="109"/>
      <c r="K44" s="110">
        <f>COUNTIFS(I3:I33,"",K3:K33,"")</f>
        <v>0</v>
      </c>
      <c r="L44" s="126"/>
      <c r="M44" s="84"/>
      <c r="N44" s="85"/>
      <c r="O44" s="85"/>
      <c r="P44" s="24"/>
      <c r="Q44" s="15"/>
    </row>
    <row r="45" spans="1:22" x14ac:dyDescent="0.25">
      <c r="E45" s="72"/>
      <c r="F45" s="89"/>
      <c r="K45" s="93"/>
      <c r="L45" s="126"/>
      <c r="M45" s="84"/>
      <c r="N45" s="85"/>
      <c r="O45" s="85"/>
      <c r="P45" s="24"/>
      <c r="Q45" s="15"/>
    </row>
    <row r="46" spans="1:22" x14ac:dyDescent="0.25">
      <c r="E46" s="72"/>
      <c r="F46" s="89"/>
      <c r="K46" s="200" t="s">
        <v>241</v>
      </c>
      <c r="L46" s="201"/>
      <c r="M46" s="92">
        <v>488946</v>
      </c>
      <c r="N46" s="204" t="s">
        <v>260</v>
      </c>
      <c r="O46" s="205"/>
      <c r="P46" s="205"/>
      <c r="Q46" s="205"/>
      <c r="R46" s="205"/>
      <c r="S46" s="205"/>
    </row>
    <row r="47" spans="1:22" x14ac:dyDescent="0.25">
      <c r="E47" s="72">
        <f>COUNTIF(F3:F33,"75*")</f>
        <v>1</v>
      </c>
      <c r="F47" s="89"/>
      <c r="K47" s="93"/>
      <c r="L47" s="126"/>
      <c r="M47" s="84"/>
      <c r="N47" s="85"/>
      <c r="O47" s="85"/>
      <c r="P47" s="24"/>
      <c r="Q47" s="15"/>
    </row>
  </sheetData>
  <mergeCells count="4">
    <mergeCell ref="Q40:S40"/>
    <mergeCell ref="N43:O43"/>
    <mergeCell ref="K46:L46"/>
    <mergeCell ref="N46:S46"/>
  </mergeCells>
  <pageMargins left="0.70866141732283472" right="0.70866141732283472" top="0.74803149606299213" bottom="0.74803149606299213" header="0.31496062992125984" footer="0.31496062992125984"/>
  <pageSetup paperSize="9" scale="41" fitToHeight="2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>
    <pageSetUpPr fitToPage="1"/>
  </sheetPr>
  <dimension ref="A6:BG59"/>
  <sheetViews>
    <sheetView showGridLines="0" tabSelected="1" zoomScale="110" zoomScaleNormal="110" workbookViewId="0"/>
  </sheetViews>
  <sheetFormatPr baseColWidth="10" defaultRowHeight="15" x14ac:dyDescent="0.25"/>
  <cols>
    <col min="1" max="1" width="12.42578125" customWidth="1"/>
    <col min="2" max="2" width="12.7109375" bestFit="1" customWidth="1"/>
    <col min="3" max="3" width="18.42578125" bestFit="1" customWidth="1"/>
    <col min="4" max="4" width="16.42578125" bestFit="1" customWidth="1"/>
    <col min="5" max="5" width="31.140625" bestFit="1" customWidth="1"/>
    <col min="7" max="7" width="25" bestFit="1" customWidth="1"/>
    <col min="8" max="8" width="14.140625" bestFit="1" customWidth="1"/>
    <col min="9" max="9" width="12.140625" customWidth="1"/>
    <col min="10" max="10" width="15" bestFit="1" customWidth="1"/>
    <col min="12" max="12" width="15" style="126" customWidth="1"/>
    <col min="13" max="13" width="11.85546875" bestFit="1" customWidth="1"/>
    <col min="14" max="14" width="12" bestFit="1" customWidth="1"/>
    <col min="15" max="15" width="12.7109375" bestFit="1" customWidth="1"/>
    <col min="21" max="21" width="14.42578125" bestFit="1" customWidth="1"/>
    <col min="23" max="23" width="32.7109375" bestFit="1" customWidth="1"/>
  </cols>
  <sheetData>
    <row r="6" spans="1:59" ht="15.75" thickBot="1" x14ac:dyDescent="0.3"/>
    <row r="7" spans="1:59" ht="16.5" thickTop="1" thickBot="1" x14ac:dyDescent="0.3">
      <c r="A7" s="159" t="s">
        <v>10</v>
      </c>
      <c r="B7" s="159" t="s">
        <v>11</v>
      </c>
      <c r="C7" s="162" t="s">
        <v>291</v>
      </c>
      <c r="D7" s="159" t="s">
        <v>13</v>
      </c>
      <c r="E7" s="159" t="s">
        <v>14</v>
      </c>
      <c r="F7" s="159" t="s">
        <v>15</v>
      </c>
      <c r="G7" s="159" t="s">
        <v>210</v>
      </c>
      <c r="H7" s="159" t="s">
        <v>248</v>
      </c>
      <c r="I7" s="159" t="s">
        <v>252</v>
      </c>
      <c r="J7" s="159" t="s">
        <v>254</v>
      </c>
      <c r="K7" s="159" t="s">
        <v>255</v>
      </c>
      <c r="L7" s="189" t="s">
        <v>258</v>
      </c>
      <c r="M7" s="159" t="s">
        <v>277</v>
      </c>
      <c r="N7" s="165"/>
      <c r="O7" s="165"/>
      <c r="P7" s="165"/>
      <c r="Q7" s="165"/>
      <c r="R7" s="165"/>
      <c r="S7" s="165"/>
      <c r="T7" s="165"/>
      <c r="U7" s="165"/>
      <c r="V7" s="165"/>
      <c r="W7" s="165"/>
    </row>
    <row r="8" spans="1:59" ht="16.5" thickTop="1" thickBot="1" x14ac:dyDescent="0.3">
      <c r="A8" s="160" t="s">
        <v>22</v>
      </c>
      <c r="B8" s="160"/>
      <c r="C8" s="161" t="s">
        <v>329</v>
      </c>
      <c r="D8" s="160"/>
      <c r="E8" s="160"/>
      <c r="F8" s="160"/>
      <c r="G8" s="160"/>
      <c r="H8" s="160"/>
      <c r="I8" s="160"/>
      <c r="J8" s="160"/>
      <c r="K8" s="160"/>
      <c r="L8" s="190"/>
      <c r="M8" s="161"/>
      <c r="N8" s="165"/>
      <c r="O8" s="165"/>
      <c r="P8" s="165"/>
      <c r="Q8" s="165"/>
      <c r="R8" s="165"/>
      <c r="S8" s="165"/>
      <c r="T8" s="165"/>
      <c r="U8" s="165"/>
      <c r="V8" s="165"/>
      <c r="W8" s="165"/>
    </row>
    <row r="9" spans="1:59" ht="15.75" thickTop="1" x14ac:dyDescent="0.25">
      <c r="A9" s="206" t="s">
        <v>322</v>
      </c>
      <c r="B9" s="206"/>
      <c r="C9" s="206"/>
      <c r="D9" s="206"/>
      <c r="E9" s="206"/>
      <c r="F9" s="165"/>
      <c r="G9" s="165"/>
      <c r="H9" s="165"/>
      <c r="I9" s="165"/>
      <c r="J9" s="165"/>
      <c r="K9" s="165"/>
      <c r="L9" s="191"/>
      <c r="M9" s="165"/>
      <c r="N9" s="165"/>
      <c r="O9" s="165"/>
      <c r="P9" s="165"/>
      <c r="Q9" s="165"/>
      <c r="R9" s="165"/>
      <c r="S9" s="165"/>
      <c r="T9" s="165"/>
      <c r="U9" s="165"/>
      <c r="V9" s="165"/>
      <c r="W9" s="165"/>
    </row>
    <row r="10" spans="1:59" x14ac:dyDescent="0.25">
      <c r="A10" s="165"/>
      <c r="B10" s="165"/>
      <c r="C10" s="165"/>
      <c r="D10" s="165"/>
      <c r="E10" s="165"/>
      <c r="F10" s="165"/>
      <c r="G10" s="165"/>
      <c r="H10" s="165"/>
      <c r="I10" s="165"/>
      <c r="J10" s="165"/>
      <c r="K10" s="165"/>
      <c r="L10" s="191"/>
      <c r="M10" s="165"/>
      <c r="N10" s="165"/>
      <c r="O10" s="165"/>
      <c r="P10" s="165"/>
      <c r="Q10" s="165"/>
      <c r="R10" s="165"/>
      <c r="S10" s="165"/>
      <c r="T10" s="165"/>
      <c r="U10" s="165"/>
      <c r="V10" s="165"/>
      <c r="W10" s="165"/>
    </row>
    <row r="11" spans="1:59" ht="23.25" x14ac:dyDescent="0.25">
      <c r="A11" s="165"/>
      <c r="B11" s="165"/>
      <c r="C11" s="165"/>
      <c r="D11" s="165"/>
      <c r="E11" s="165"/>
      <c r="F11" s="165"/>
      <c r="G11" s="165"/>
      <c r="H11" s="208" t="s">
        <v>292</v>
      </c>
      <c r="I11" s="209"/>
      <c r="J11" s="171">
        <f>SUBTOTAL(3,advpsc2018[Nom])</f>
        <v>2</v>
      </c>
      <c r="K11" s="165"/>
      <c r="L11" s="191"/>
      <c r="M11" s="165"/>
      <c r="N11" s="165"/>
      <c r="O11" s="165"/>
      <c r="P11" s="165"/>
      <c r="Q11" s="165"/>
      <c r="R11" s="165"/>
      <c r="S11" s="165"/>
      <c r="T11" s="165"/>
      <c r="U11" s="165"/>
      <c r="V11" s="165"/>
      <c r="W11" s="165"/>
    </row>
    <row r="12" spans="1:59" x14ac:dyDescent="0.25">
      <c r="A12" s="165"/>
      <c r="B12" s="165"/>
      <c r="C12" s="165"/>
      <c r="D12" s="165"/>
      <c r="E12" s="165"/>
      <c r="F12" s="165"/>
      <c r="G12" s="165"/>
      <c r="H12" s="165"/>
      <c r="I12" s="165"/>
      <c r="J12" s="165"/>
      <c r="K12" s="165"/>
      <c r="L12" s="169"/>
      <c r="M12" s="165"/>
      <c r="N12" s="165"/>
      <c r="O12" s="165"/>
      <c r="P12" s="165"/>
      <c r="Q12" s="165"/>
      <c r="R12" s="165"/>
      <c r="S12" s="165"/>
      <c r="T12" s="165"/>
      <c r="U12" s="165"/>
      <c r="V12" s="165"/>
      <c r="W12" s="165"/>
    </row>
    <row r="13" spans="1:59" x14ac:dyDescent="0.25">
      <c r="A13" s="177" t="s">
        <v>293</v>
      </c>
      <c r="B13" s="177"/>
      <c r="C13" s="177"/>
      <c r="D13" s="177"/>
      <c r="E13" s="177"/>
      <c r="F13" s="165"/>
      <c r="G13" s="165"/>
      <c r="H13" s="165"/>
      <c r="I13" s="165"/>
      <c r="J13" s="165"/>
      <c r="K13" s="165"/>
      <c r="L13" s="191"/>
      <c r="M13" s="165"/>
      <c r="N13" s="165"/>
      <c r="O13" s="165"/>
      <c r="P13" s="165"/>
      <c r="Q13" s="165"/>
      <c r="R13" s="165"/>
      <c r="S13" s="165"/>
      <c r="T13" s="165"/>
      <c r="U13" s="165"/>
      <c r="V13" s="165"/>
      <c r="W13" s="165"/>
    </row>
    <row r="14" spans="1:59" x14ac:dyDescent="0.25">
      <c r="A14" s="165" t="s">
        <v>0</v>
      </c>
      <c r="B14" s="166"/>
      <c r="C14" s="166"/>
      <c r="D14" s="166"/>
      <c r="E14" s="166" t="s">
        <v>1</v>
      </c>
      <c r="F14" s="167" t="s">
        <v>276</v>
      </c>
      <c r="G14" s="166"/>
      <c r="H14" s="166"/>
      <c r="I14" s="165"/>
      <c r="J14" s="165"/>
      <c r="K14" s="168"/>
      <c r="L14" s="169"/>
      <c r="M14" s="165"/>
      <c r="N14" s="165"/>
      <c r="O14" s="165"/>
      <c r="P14" s="165"/>
      <c r="Q14" s="170"/>
      <c r="R14" s="165"/>
      <c r="S14" s="165"/>
      <c r="T14" s="165"/>
      <c r="U14" s="165"/>
      <c r="V14" s="165"/>
      <c r="W14" s="165"/>
      <c r="BG14" s="181">
        <v>30</v>
      </c>
    </row>
    <row r="15" spans="1:59" s="15" customFormat="1" x14ac:dyDescent="0.25">
      <c r="A15" s="7" t="s">
        <v>2</v>
      </c>
      <c r="B15" s="5" t="s">
        <v>3</v>
      </c>
      <c r="C15" s="5" t="s">
        <v>4</v>
      </c>
      <c r="D15" s="5" t="s">
        <v>5</v>
      </c>
      <c r="E15" s="5" t="s">
        <v>6</v>
      </c>
      <c r="F15" s="118" t="s">
        <v>7</v>
      </c>
      <c r="G15" s="5" t="s">
        <v>8</v>
      </c>
      <c r="H15" s="5" t="s">
        <v>9</v>
      </c>
      <c r="I15" s="25" t="s">
        <v>10</v>
      </c>
      <c r="J15" s="5" t="s">
        <v>11</v>
      </c>
      <c r="K15" s="194" t="s">
        <v>291</v>
      </c>
      <c r="L15" s="195" t="s">
        <v>12</v>
      </c>
      <c r="M15" s="196" t="s">
        <v>13</v>
      </c>
      <c r="N15" s="5" t="s">
        <v>14</v>
      </c>
      <c r="O15" s="5" t="s">
        <v>15</v>
      </c>
      <c r="P15" s="68" t="s">
        <v>210</v>
      </c>
      <c r="Q15" s="15" t="s">
        <v>248</v>
      </c>
      <c r="R15" t="s">
        <v>252</v>
      </c>
      <c r="S15" s="15" t="s">
        <v>254</v>
      </c>
      <c r="T15" s="15" t="s">
        <v>255</v>
      </c>
      <c r="U15" s="15" t="s">
        <v>258</v>
      </c>
      <c r="V15" s="15" t="s">
        <v>277</v>
      </c>
      <c r="W15" s="68" t="s">
        <v>335</v>
      </c>
    </row>
    <row r="16" spans="1:59" hidden="1" x14ac:dyDescent="0.25">
      <c r="A16" s="7">
        <v>1</v>
      </c>
      <c r="B16" s="38" t="s">
        <v>16</v>
      </c>
      <c r="C16" s="38" t="s">
        <v>17</v>
      </c>
      <c r="D16" s="38" t="s">
        <v>18</v>
      </c>
      <c r="E16" s="38" t="s">
        <v>324</v>
      </c>
      <c r="F16" s="78" t="s">
        <v>20</v>
      </c>
      <c r="G16" s="38" t="s">
        <v>246</v>
      </c>
      <c r="H16" s="39">
        <v>233343382</v>
      </c>
      <c r="I16" s="38" t="s">
        <v>22</v>
      </c>
      <c r="J16" s="38" t="s">
        <v>187</v>
      </c>
      <c r="K16" s="95">
        <v>30</v>
      </c>
      <c r="L16" s="41">
        <v>43129</v>
      </c>
      <c r="M16" s="68" t="s">
        <v>328</v>
      </c>
      <c r="N16" s="38" t="s">
        <v>186</v>
      </c>
      <c r="O16" s="38" t="s">
        <v>186</v>
      </c>
      <c r="P16" s="68" t="s">
        <v>243</v>
      </c>
      <c r="Q16" s="68" t="s">
        <v>193</v>
      </c>
      <c r="R16" s="68" t="s">
        <v>243</v>
      </c>
      <c r="S16" s="68" t="s">
        <v>186</v>
      </c>
      <c r="T16" s="68" t="s">
        <v>186</v>
      </c>
      <c r="U16" s="155" t="s">
        <v>323</v>
      </c>
      <c r="V16" s="68"/>
      <c r="W16" s="68"/>
    </row>
    <row r="17" spans="1:23" hidden="1" x14ac:dyDescent="0.25">
      <c r="A17" s="7">
        <v>4</v>
      </c>
      <c r="B17" s="38" t="s">
        <v>23</v>
      </c>
      <c r="C17" s="38" t="s">
        <v>24</v>
      </c>
      <c r="D17" s="38" t="s">
        <v>321</v>
      </c>
      <c r="E17" s="38" t="s">
        <v>26</v>
      </c>
      <c r="F17" s="78" t="s">
        <v>27</v>
      </c>
      <c r="G17" s="38" t="s">
        <v>28</v>
      </c>
      <c r="H17" s="39">
        <v>299071409</v>
      </c>
      <c r="I17" s="78" t="s">
        <v>22</v>
      </c>
      <c r="J17" s="38" t="s">
        <v>187</v>
      </c>
      <c r="K17" s="95">
        <v>30</v>
      </c>
      <c r="L17" s="41">
        <v>43158</v>
      </c>
      <c r="M17" s="38" t="s">
        <v>186</v>
      </c>
      <c r="N17" s="38" t="s">
        <v>186</v>
      </c>
      <c r="O17" s="38" t="s">
        <v>186</v>
      </c>
      <c r="P17" s="68" t="s">
        <v>243</v>
      </c>
      <c r="Q17" s="68" t="s">
        <v>187</v>
      </c>
      <c r="R17" s="68" t="s">
        <v>243</v>
      </c>
      <c r="S17" s="68" t="s">
        <v>186</v>
      </c>
      <c r="T17" s="68" t="s">
        <v>186</v>
      </c>
      <c r="U17" s="119" t="s">
        <v>187</v>
      </c>
      <c r="V17" s="68" t="s">
        <v>186</v>
      </c>
      <c r="W17" s="193" t="s">
        <v>294</v>
      </c>
    </row>
    <row r="18" spans="1:23" hidden="1" x14ac:dyDescent="0.25">
      <c r="A18" s="7">
        <v>8</v>
      </c>
      <c r="B18" s="38" t="s">
        <v>16</v>
      </c>
      <c r="C18" s="38" t="s">
        <v>34</v>
      </c>
      <c r="D18" s="38" t="s">
        <v>35</v>
      </c>
      <c r="E18" s="38" t="s">
        <v>36</v>
      </c>
      <c r="F18" s="78" t="s">
        <v>37</v>
      </c>
      <c r="G18" s="38" t="s">
        <v>38</v>
      </c>
      <c r="H18" s="39">
        <v>240288829</v>
      </c>
      <c r="I18" s="78" t="s">
        <v>187</v>
      </c>
      <c r="J18" s="38" t="s">
        <v>187</v>
      </c>
      <c r="K18" s="95">
        <v>30</v>
      </c>
      <c r="L18" s="41">
        <v>42792</v>
      </c>
      <c r="M18" s="68" t="s">
        <v>328</v>
      </c>
      <c r="N18" s="38" t="s">
        <v>187</v>
      </c>
      <c r="O18" s="38" t="s">
        <v>187</v>
      </c>
      <c r="P18" s="68" t="s">
        <v>244</v>
      </c>
      <c r="Q18" s="68" t="s">
        <v>187</v>
      </c>
      <c r="R18" s="68" t="s">
        <v>243</v>
      </c>
      <c r="S18" s="68" t="s">
        <v>187</v>
      </c>
      <c r="T18" s="68" t="s">
        <v>187</v>
      </c>
      <c r="U18" s="119" t="s">
        <v>186</v>
      </c>
      <c r="V18" s="68"/>
      <c r="W18" s="193" t="s">
        <v>330</v>
      </c>
    </row>
    <row r="19" spans="1:23" hidden="1" x14ac:dyDescent="0.25">
      <c r="A19" s="7">
        <v>9</v>
      </c>
      <c r="B19" s="38" t="s">
        <v>16</v>
      </c>
      <c r="C19" s="38" t="s">
        <v>39</v>
      </c>
      <c r="D19" s="38" t="s">
        <v>40</v>
      </c>
      <c r="E19" s="38" t="s">
        <v>41</v>
      </c>
      <c r="F19" s="78" t="s">
        <v>42</v>
      </c>
      <c r="G19" s="38" t="s">
        <v>43</v>
      </c>
      <c r="H19" s="39" t="s">
        <v>213</v>
      </c>
      <c r="I19" s="78" t="s">
        <v>22</v>
      </c>
      <c r="J19" s="38" t="s">
        <v>11</v>
      </c>
      <c r="K19" s="95">
        <v>30</v>
      </c>
      <c r="L19" s="41">
        <v>43166</v>
      </c>
      <c r="M19" s="68" t="s">
        <v>328</v>
      </c>
      <c r="N19" s="38" t="s">
        <v>186</v>
      </c>
      <c r="O19" s="38" t="s">
        <v>186</v>
      </c>
      <c r="P19" s="68" t="s">
        <v>243</v>
      </c>
      <c r="Q19" s="68" t="s">
        <v>193</v>
      </c>
      <c r="R19" s="68" t="s">
        <v>243</v>
      </c>
      <c r="S19" s="68" t="s">
        <v>187</v>
      </c>
      <c r="T19" s="68" t="s">
        <v>186</v>
      </c>
      <c r="U19" s="183" t="s">
        <v>323</v>
      </c>
      <c r="V19" s="68"/>
      <c r="W19" s="68"/>
    </row>
    <row r="20" spans="1:23" hidden="1" x14ac:dyDescent="0.25">
      <c r="A20" s="8">
        <v>10</v>
      </c>
      <c r="B20" s="42" t="s">
        <v>16</v>
      </c>
      <c r="C20" s="42" t="s">
        <v>44</v>
      </c>
      <c r="D20" s="42" t="s">
        <v>45</v>
      </c>
      <c r="E20" s="42" t="s">
        <v>46</v>
      </c>
      <c r="F20" s="79" t="s">
        <v>47</v>
      </c>
      <c r="G20" s="42" t="s">
        <v>48</v>
      </c>
      <c r="H20" s="43">
        <v>389587454</v>
      </c>
      <c r="I20" s="79" t="s">
        <v>22</v>
      </c>
      <c r="J20" s="42" t="s">
        <v>187</v>
      </c>
      <c r="K20" s="96">
        <v>30</v>
      </c>
      <c r="L20" s="45">
        <v>43148</v>
      </c>
      <c r="M20" s="42" t="s">
        <v>186</v>
      </c>
      <c r="N20" s="38" t="s">
        <v>186</v>
      </c>
      <c r="O20" s="38" t="s">
        <v>186</v>
      </c>
      <c r="P20" s="68" t="s">
        <v>243</v>
      </c>
      <c r="Q20" s="68" t="s">
        <v>193</v>
      </c>
      <c r="R20" s="68" t="s">
        <v>243</v>
      </c>
      <c r="S20" s="68" t="s">
        <v>187</v>
      </c>
      <c r="T20" s="68" t="s">
        <v>187</v>
      </c>
      <c r="U20" s="119" t="s">
        <v>186</v>
      </c>
      <c r="V20" s="68"/>
      <c r="W20" s="193" t="s">
        <v>295</v>
      </c>
    </row>
    <row r="21" spans="1:23" hidden="1" x14ac:dyDescent="0.25">
      <c r="A21" s="24">
        <v>11</v>
      </c>
      <c r="B21" s="46" t="s">
        <v>16</v>
      </c>
      <c r="C21" s="46" t="s">
        <v>199</v>
      </c>
      <c r="D21" s="46" t="s">
        <v>49</v>
      </c>
      <c r="E21" s="46" t="s">
        <v>50</v>
      </c>
      <c r="F21" s="80" t="s">
        <v>51</v>
      </c>
      <c r="G21" s="46" t="s">
        <v>52</v>
      </c>
      <c r="H21" s="47"/>
      <c r="I21" s="80" t="s">
        <v>22</v>
      </c>
      <c r="J21" s="46" t="s">
        <v>187</v>
      </c>
      <c r="K21" s="95">
        <v>30</v>
      </c>
      <c r="L21" s="49">
        <v>43182</v>
      </c>
      <c r="M21" s="68" t="s">
        <v>328</v>
      </c>
      <c r="N21" s="46" t="s">
        <v>187</v>
      </c>
      <c r="O21" s="38" t="s">
        <v>186</v>
      </c>
      <c r="P21" s="68" t="s">
        <v>244</v>
      </c>
      <c r="Q21" s="68" t="s">
        <v>187</v>
      </c>
      <c r="R21" s="68" t="s">
        <v>249</v>
      </c>
      <c r="S21" s="68" t="s">
        <v>187</v>
      </c>
      <c r="T21" s="68" t="s">
        <v>187</v>
      </c>
      <c r="U21" s="119" t="s">
        <v>187</v>
      </c>
      <c r="V21" s="68"/>
      <c r="W21" s="193" t="s">
        <v>296</v>
      </c>
    </row>
    <row r="22" spans="1:23" hidden="1" x14ac:dyDescent="0.25">
      <c r="A22" s="14">
        <v>13</v>
      </c>
      <c r="B22" s="50" t="s">
        <v>16</v>
      </c>
      <c r="C22" s="50" t="s">
        <v>53</v>
      </c>
      <c r="D22" s="50" t="s">
        <v>54</v>
      </c>
      <c r="E22" s="50" t="s">
        <v>55</v>
      </c>
      <c r="F22" s="81" t="s">
        <v>56</v>
      </c>
      <c r="G22" s="50" t="s">
        <v>57</v>
      </c>
      <c r="H22" s="51">
        <v>233582305</v>
      </c>
      <c r="I22" s="81" t="s">
        <v>22</v>
      </c>
      <c r="J22" s="50" t="s">
        <v>187</v>
      </c>
      <c r="K22" s="98">
        <v>30</v>
      </c>
      <c r="L22" s="53">
        <v>43148</v>
      </c>
      <c r="M22" s="50" t="s">
        <v>186</v>
      </c>
      <c r="N22" s="38" t="s">
        <v>186</v>
      </c>
      <c r="O22" s="38" t="s">
        <v>186</v>
      </c>
      <c r="P22" s="68" t="s">
        <v>243</v>
      </c>
      <c r="Q22" s="68" t="s">
        <v>193</v>
      </c>
      <c r="R22" s="68" t="s">
        <v>243</v>
      </c>
      <c r="S22" s="68" t="s">
        <v>187</v>
      </c>
      <c r="T22" s="68" t="s">
        <v>186</v>
      </c>
      <c r="U22" s="119" t="s">
        <v>187</v>
      </c>
      <c r="V22" s="68"/>
      <c r="W22" s="193" t="s">
        <v>297</v>
      </c>
    </row>
    <row r="23" spans="1:23" hidden="1" x14ac:dyDescent="0.25">
      <c r="A23" s="7">
        <v>16</v>
      </c>
      <c r="B23" s="38" t="s">
        <v>16</v>
      </c>
      <c r="C23" s="38" t="s">
        <v>58</v>
      </c>
      <c r="D23" s="38" t="s">
        <v>59</v>
      </c>
      <c r="E23" s="38" t="s">
        <v>60</v>
      </c>
      <c r="F23" s="78" t="s">
        <v>61</v>
      </c>
      <c r="G23" s="38" t="s">
        <v>62</v>
      </c>
      <c r="H23" s="39">
        <v>240869588</v>
      </c>
      <c r="I23" s="78" t="s">
        <v>22</v>
      </c>
      <c r="J23" s="38" t="s">
        <v>187</v>
      </c>
      <c r="K23" s="95">
        <v>30</v>
      </c>
      <c r="L23" s="41">
        <v>43178</v>
      </c>
      <c r="M23" s="38" t="s">
        <v>194</v>
      </c>
      <c r="N23" s="38" t="s">
        <v>186</v>
      </c>
      <c r="O23" s="38" t="s">
        <v>186</v>
      </c>
      <c r="P23" s="68" t="s">
        <v>243</v>
      </c>
      <c r="Q23" s="68" t="s">
        <v>193</v>
      </c>
      <c r="R23" s="68" t="s">
        <v>243</v>
      </c>
      <c r="S23" s="68" t="s">
        <v>186</v>
      </c>
      <c r="T23" s="68" t="s">
        <v>187</v>
      </c>
      <c r="U23" s="155" t="s">
        <v>187</v>
      </c>
      <c r="V23" s="68"/>
      <c r="W23" s="193" t="s">
        <v>298</v>
      </c>
    </row>
    <row r="24" spans="1:23" hidden="1" x14ac:dyDescent="0.25">
      <c r="A24" s="7">
        <v>17</v>
      </c>
      <c r="B24" s="38" t="s">
        <v>63</v>
      </c>
      <c r="C24" s="38" t="s">
        <v>64</v>
      </c>
      <c r="D24" s="38" t="s">
        <v>65</v>
      </c>
      <c r="E24" s="38" t="s">
        <v>66</v>
      </c>
      <c r="F24" s="78" t="s">
        <v>37</v>
      </c>
      <c r="G24" s="38" t="s">
        <v>67</v>
      </c>
      <c r="H24" s="39">
        <v>240288511</v>
      </c>
      <c r="I24" s="78" t="s">
        <v>22</v>
      </c>
      <c r="J24" s="38" t="s">
        <v>11</v>
      </c>
      <c r="K24" s="95">
        <v>30</v>
      </c>
      <c r="L24" s="41">
        <v>43145</v>
      </c>
      <c r="M24" s="68" t="s">
        <v>186</v>
      </c>
      <c r="N24" s="38" t="s">
        <v>186</v>
      </c>
      <c r="O24" s="38" t="s">
        <v>186</v>
      </c>
      <c r="P24" s="46" t="s">
        <v>243</v>
      </c>
      <c r="Q24" s="46" t="s">
        <v>193</v>
      </c>
      <c r="R24" s="68" t="s">
        <v>243</v>
      </c>
      <c r="S24" s="68" t="s">
        <v>186</v>
      </c>
      <c r="T24" s="68" t="s">
        <v>186</v>
      </c>
      <c r="U24" s="155" t="s">
        <v>186</v>
      </c>
      <c r="V24" s="68" t="s">
        <v>186</v>
      </c>
      <c r="W24" s="193" t="s">
        <v>299</v>
      </c>
    </row>
    <row r="25" spans="1:23" ht="15" hidden="1" customHeight="1" x14ac:dyDescent="0.25">
      <c r="A25" s="7">
        <v>19</v>
      </c>
      <c r="B25" s="38" t="s">
        <v>16</v>
      </c>
      <c r="C25" s="38" t="s">
        <v>68</v>
      </c>
      <c r="D25" s="38" t="s">
        <v>69</v>
      </c>
      <c r="E25" s="38" t="s">
        <v>70</v>
      </c>
      <c r="F25" s="78" t="s">
        <v>71</v>
      </c>
      <c r="G25" s="38" t="s">
        <v>72</v>
      </c>
      <c r="H25" s="39">
        <v>233599971</v>
      </c>
      <c r="I25" s="78" t="s">
        <v>22</v>
      </c>
      <c r="J25" s="38" t="s">
        <v>187</v>
      </c>
      <c r="K25" s="95">
        <v>30</v>
      </c>
      <c r="L25" s="41">
        <v>43145</v>
      </c>
      <c r="M25" s="68" t="s">
        <v>186</v>
      </c>
      <c r="N25" s="38" t="s">
        <v>187</v>
      </c>
      <c r="O25" s="38" t="s">
        <v>186</v>
      </c>
      <c r="P25" s="68" t="s">
        <v>244</v>
      </c>
      <c r="Q25" s="15" t="s">
        <v>187</v>
      </c>
      <c r="R25" s="68" t="s">
        <v>249</v>
      </c>
      <c r="S25" s="68" t="s">
        <v>187</v>
      </c>
      <c r="T25" s="68" t="s">
        <v>187</v>
      </c>
      <c r="U25" s="155" t="s">
        <v>187</v>
      </c>
      <c r="V25" s="68"/>
      <c r="W25" s="193" t="s">
        <v>300</v>
      </c>
    </row>
    <row r="26" spans="1:23" ht="15" hidden="1" customHeight="1" x14ac:dyDescent="0.25">
      <c r="A26" s="7">
        <v>27</v>
      </c>
      <c r="B26" s="38" t="s">
        <v>16</v>
      </c>
      <c r="C26" s="38" t="s">
        <v>73</v>
      </c>
      <c r="D26" s="38" t="s">
        <v>74</v>
      </c>
      <c r="E26" s="38" t="s">
        <v>75</v>
      </c>
      <c r="F26" s="78" t="s">
        <v>76</v>
      </c>
      <c r="G26" s="38" t="s">
        <v>77</v>
      </c>
      <c r="H26" s="39">
        <v>240217566</v>
      </c>
      <c r="I26" s="78" t="s">
        <v>22</v>
      </c>
      <c r="J26" s="38" t="s">
        <v>187</v>
      </c>
      <c r="K26" s="95">
        <v>30</v>
      </c>
      <c r="L26" s="41">
        <v>43166</v>
      </c>
      <c r="M26" s="38" t="s">
        <v>194</v>
      </c>
      <c r="N26" s="38" t="s">
        <v>187</v>
      </c>
      <c r="O26" s="38" t="s">
        <v>186</v>
      </c>
      <c r="P26" s="68" t="s">
        <v>244</v>
      </c>
      <c r="Q26" s="68" t="s">
        <v>187</v>
      </c>
      <c r="R26" s="68" t="s">
        <v>249</v>
      </c>
      <c r="S26" s="68" t="s">
        <v>186</v>
      </c>
      <c r="T26" s="68" t="s">
        <v>187</v>
      </c>
      <c r="U26" s="155" t="s">
        <v>187</v>
      </c>
      <c r="V26" s="68"/>
      <c r="W26" s="193" t="s">
        <v>301</v>
      </c>
    </row>
    <row r="27" spans="1:23" x14ac:dyDescent="0.25">
      <c r="A27" s="7">
        <v>25</v>
      </c>
      <c r="B27" s="38" t="s">
        <v>63</v>
      </c>
      <c r="C27" s="38" t="s">
        <v>189</v>
      </c>
      <c r="D27" s="38" t="s">
        <v>83</v>
      </c>
      <c r="E27" s="38" t="s">
        <v>84</v>
      </c>
      <c r="F27" s="78" t="s">
        <v>85</v>
      </c>
      <c r="G27" s="38" t="s">
        <v>86</v>
      </c>
      <c r="H27" s="39">
        <v>659910577</v>
      </c>
      <c r="I27" s="78" t="s">
        <v>22</v>
      </c>
      <c r="J27" s="38" t="s">
        <v>187</v>
      </c>
      <c r="K27" s="95">
        <v>0</v>
      </c>
      <c r="L27" s="41"/>
      <c r="M27" s="68" t="s">
        <v>328</v>
      </c>
      <c r="N27" s="38" t="s">
        <v>186</v>
      </c>
      <c r="O27" s="38" t="s">
        <v>186</v>
      </c>
      <c r="P27" s="68" t="s">
        <v>243</v>
      </c>
      <c r="Q27" s="68" t="s">
        <v>193</v>
      </c>
      <c r="R27" s="68" t="s">
        <v>243</v>
      </c>
      <c r="S27" s="68" t="s">
        <v>187</v>
      </c>
      <c r="T27" s="68" t="s">
        <v>201</v>
      </c>
      <c r="U27" s="119" t="s">
        <v>186</v>
      </c>
      <c r="V27" s="68"/>
      <c r="W27" s="193" t="s">
        <v>336</v>
      </c>
    </row>
    <row r="28" spans="1:23" ht="15" hidden="1" customHeight="1" x14ac:dyDescent="0.25">
      <c r="A28" s="146">
        <v>28</v>
      </c>
      <c r="B28" s="147" t="s">
        <v>16</v>
      </c>
      <c r="C28" s="147" t="s">
        <v>87</v>
      </c>
      <c r="D28" s="147" t="s">
        <v>35</v>
      </c>
      <c r="E28" s="147" t="s">
        <v>88</v>
      </c>
      <c r="F28" s="148" t="s">
        <v>89</v>
      </c>
      <c r="G28" s="147" t="s">
        <v>90</v>
      </c>
      <c r="H28" s="149">
        <v>240247803</v>
      </c>
      <c r="I28" s="148" t="s">
        <v>22</v>
      </c>
      <c r="J28" s="147" t="s">
        <v>187</v>
      </c>
      <c r="K28" s="95">
        <v>30</v>
      </c>
      <c r="L28" s="151">
        <v>43174</v>
      </c>
      <c r="M28" s="147" t="s">
        <v>186</v>
      </c>
      <c r="N28" s="147" t="s">
        <v>187</v>
      </c>
      <c r="O28" s="147" t="s">
        <v>186</v>
      </c>
      <c r="P28" s="152" t="s">
        <v>244</v>
      </c>
      <c r="Q28" s="152" t="s">
        <v>187</v>
      </c>
      <c r="R28" s="152" t="s">
        <v>249</v>
      </c>
      <c r="S28" s="152" t="s">
        <v>187</v>
      </c>
      <c r="T28" s="152" t="s">
        <v>187</v>
      </c>
      <c r="U28" s="153" t="s">
        <v>187</v>
      </c>
      <c r="V28" s="152"/>
      <c r="W28" s="193" t="s">
        <v>302</v>
      </c>
    </row>
    <row r="29" spans="1:23" hidden="1" x14ac:dyDescent="0.25">
      <c r="A29" s="7">
        <v>29</v>
      </c>
      <c r="B29" s="38" t="s">
        <v>16</v>
      </c>
      <c r="C29" s="38" t="s">
        <v>91</v>
      </c>
      <c r="D29" s="38" t="s">
        <v>30</v>
      </c>
      <c r="E29" s="38" t="s">
        <v>92</v>
      </c>
      <c r="F29" s="78" t="s">
        <v>93</v>
      </c>
      <c r="G29" s="38" t="s">
        <v>94</v>
      </c>
      <c r="H29" s="39">
        <v>298283516</v>
      </c>
      <c r="I29" s="78" t="s">
        <v>22</v>
      </c>
      <c r="J29" s="38" t="s">
        <v>11</v>
      </c>
      <c r="K29" s="95">
        <v>30</v>
      </c>
      <c r="L29" s="41">
        <v>43145</v>
      </c>
      <c r="M29" s="68" t="s">
        <v>328</v>
      </c>
      <c r="N29" s="38" t="s">
        <v>186</v>
      </c>
      <c r="O29" s="38" t="s">
        <v>186</v>
      </c>
      <c r="P29" s="68" t="s">
        <v>243</v>
      </c>
      <c r="Q29" s="68" t="s">
        <v>193</v>
      </c>
      <c r="R29" s="68" t="s">
        <v>243</v>
      </c>
      <c r="S29" s="68" t="s">
        <v>186</v>
      </c>
      <c r="T29" s="68" t="s">
        <v>186</v>
      </c>
      <c r="U29" s="119" t="s">
        <v>186</v>
      </c>
      <c r="V29" s="68" t="s">
        <v>186</v>
      </c>
      <c r="W29" s="193" t="s">
        <v>303</v>
      </c>
    </row>
    <row r="30" spans="1:23" hidden="1" x14ac:dyDescent="0.25">
      <c r="A30" s="7">
        <v>32</v>
      </c>
      <c r="B30" s="38" t="s">
        <v>16</v>
      </c>
      <c r="C30" s="38" t="s">
        <v>95</v>
      </c>
      <c r="D30" s="38" t="s">
        <v>96</v>
      </c>
      <c r="E30" s="38" t="s">
        <v>97</v>
      </c>
      <c r="F30" s="78" t="s">
        <v>98</v>
      </c>
      <c r="G30" s="38" t="s">
        <v>99</v>
      </c>
      <c r="H30" s="39">
        <v>381931579</v>
      </c>
      <c r="I30" s="78" t="s">
        <v>22</v>
      </c>
      <c r="J30" s="38" t="s">
        <v>187</v>
      </c>
      <c r="K30" s="95">
        <v>30</v>
      </c>
      <c r="L30" s="41">
        <v>43146</v>
      </c>
      <c r="M30" s="68" t="s">
        <v>186</v>
      </c>
      <c r="N30" s="38" t="s">
        <v>186</v>
      </c>
      <c r="O30" s="38" t="s">
        <v>186</v>
      </c>
      <c r="P30" s="68" t="s">
        <v>243</v>
      </c>
      <c r="Q30" s="68" t="s">
        <v>187</v>
      </c>
      <c r="R30" s="68" t="s">
        <v>243</v>
      </c>
      <c r="S30" s="68" t="s">
        <v>186</v>
      </c>
      <c r="T30" s="68" t="s">
        <v>186</v>
      </c>
      <c r="U30" s="119" t="s">
        <v>187</v>
      </c>
      <c r="V30" s="68"/>
      <c r="W30" s="193" t="s">
        <v>304</v>
      </c>
    </row>
    <row r="31" spans="1:23" ht="15" hidden="1" customHeight="1" x14ac:dyDescent="0.25">
      <c r="A31" s="8">
        <v>40</v>
      </c>
      <c r="B31" s="42" t="s">
        <v>16</v>
      </c>
      <c r="C31" s="42" t="s">
        <v>100</v>
      </c>
      <c r="D31" s="42" t="s">
        <v>101</v>
      </c>
      <c r="E31" s="42" t="s">
        <v>102</v>
      </c>
      <c r="F31" s="79" t="s">
        <v>51</v>
      </c>
      <c r="G31" s="42" t="s">
        <v>103</v>
      </c>
      <c r="H31" s="43">
        <v>240566952</v>
      </c>
      <c r="I31" s="79" t="s">
        <v>22</v>
      </c>
      <c r="J31" s="42" t="s">
        <v>187</v>
      </c>
      <c r="K31" s="96">
        <v>30</v>
      </c>
      <c r="L31" s="45">
        <v>43147</v>
      </c>
      <c r="M31" s="68" t="s">
        <v>328</v>
      </c>
      <c r="N31" s="42" t="s">
        <v>187</v>
      </c>
      <c r="O31" s="38" t="s">
        <v>186</v>
      </c>
      <c r="P31" s="68" t="s">
        <v>244</v>
      </c>
      <c r="Q31" s="68" t="s">
        <v>187</v>
      </c>
      <c r="R31" s="68" t="s">
        <v>249</v>
      </c>
      <c r="S31" s="68" t="s">
        <v>187</v>
      </c>
      <c r="T31" s="68" t="s">
        <v>187</v>
      </c>
      <c r="U31" s="183" t="s">
        <v>323</v>
      </c>
      <c r="V31" s="68"/>
      <c r="W31" s="193" t="s">
        <v>305</v>
      </c>
    </row>
    <row r="32" spans="1:23" hidden="1" x14ac:dyDescent="0.25">
      <c r="A32" s="11">
        <v>41</v>
      </c>
      <c r="B32" s="59" t="s">
        <v>16</v>
      </c>
      <c r="C32" s="59" t="s">
        <v>104</v>
      </c>
      <c r="D32" s="59" t="s">
        <v>105</v>
      </c>
      <c r="E32" s="59" t="s">
        <v>106</v>
      </c>
      <c r="F32" s="82" t="s">
        <v>107</v>
      </c>
      <c r="G32" s="59" t="s">
        <v>108</v>
      </c>
      <c r="H32" s="60" t="s">
        <v>253</v>
      </c>
      <c r="I32" s="82" t="s">
        <v>187</v>
      </c>
      <c r="J32" s="59" t="s">
        <v>187</v>
      </c>
      <c r="K32" s="99">
        <v>50</v>
      </c>
      <c r="L32" s="62">
        <v>43133</v>
      </c>
      <c r="M32" s="68" t="s">
        <v>186</v>
      </c>
      <c r="N32" s="42" t="s">
        <v>187</v>
      </c>
      <c r="O32" s="38" t="s">
        <v>187</v>
      </c>
      <c r="P32" s="68" t="s">
        <v>244</v>
      </c>
      <c r="Q32" s="68" t="s">
        <v>187</v>
      </c>
      <c r="R32" s="68" t="s">
        <v>249</v>
      </c>
      <c r="S32" s="68" t="s">
        <v>187</v>
      </c>
      <c r="T32" s="68" t="s">
        <v>187</v>
      </c>
      <c r="U32" s="119" t="s">
        <v>186</v>
      </c>
      <c r="V32" s="68"/>
      <c r="W32" s="193" t="s">
        <v>306</v>
      </c>
    </row>
    <row r="33" spans="1:23" hidden="1" x14ac:dyDescent="0.25">
      <c r="A33" s="11">
        <v>45</v>
      </c>
      <c r="B33" s="59" t="s">
        <v>16</v>
      </c>
      <c r="C33" s="59" t="s">
        <v>109</v>
      </c>
      <c r="D33" s="59" t="s">
        <v>110</v>
      </c>
      <c r="E33" s="59" t="s">
        <v>111</v>
      </c>
      <c r="F33" s="82" t="s">
        <v>112</v>
      </c>
      <c r="G33" s="59" t="s">
        <v>113</v>
      </c>
      <c r="H33" s="60">
        <v>297607398</v>
      </c>
      <c r="I33" s="82" t="s">
        <v>22</v>
      </c>
      <c r="J33" s="59" t="s">
        <v>11</v>
      </c>
      <c r="K33" s="99">
        <v>30</v>
      </c>
      <c r="L33" s="62">
        <v>43144</v>
      </c>
      <c r="M33" s="68" t="s">
        <v>186</v>
      </c>
      <c r="N33" s="38" t="s">
        <v>186</v>
      </c>
      <c r="O33" s="38" t="s">
        <v>186</v>
      </c>
      <c r="P33" s="68" t="s">
        <v>243</v>
      </c>
      <c r="Q33" s="68" t="s">
        <v>193</v>
      </c>
      <c r="R33" s="68" t="s">
        <v>243</v>
      </c>
      <c r="S33" s="68" t="s">
        <v>186</v>
      </c>
      <c r="T33" s="68" t="s">
        <v>186</v>
      </c>
      <c r="U33" s="119" t="s">
        <v>187</v>
      </c>
      <c r="V33" s="68" t="s">
        <v>186</v>
      </c>
      <c r="W33" s="193" t="s">
        <v>307</v>
      </c>
    </row>
    <row r="34" spans="1:23" hidden="1" x14ac:dyDescent="0.25">
      <c r="A34" s="11">
        <v>47</v>
      </c>
      <c r="B34" s="59" t="s">
        <v>16</v>
      </c>
      <c r="C34" s="59" t="s">
        <v>118</v>
      </c>
      <c r="D34" s="59" t="s">
        <v>105</v>
      </c>
      <c r="E34" s="59" t="s">
        <v>119</v>
      </c>
      <c r="F34" s="82" t="s">
        <v>120</v>
      </c>
      <c r="G34" s="59" t="s">
        <v>121</v>
      </c>
      <c r="H34" s="60">
        <v>326039670</v>
      </c>
      <c r="I34" s="82" t="s">
        <v>22</v>
      </c>
      <c r="J34" s="59" t="s">
        <v>11</v>
      </c>
      <c r="K34" s="95">
        <v>30</v>
      </c>
      <c r="L34" s="62">
        <v>43169</v>
      </c>
      <c r="M34" s="59" t="s">
        <v>186</v>
      </c>
      <c r="N34" s="38" t="s">
        <v>186</v>
      </c>
      <c r="O34" s="38" t="s">
        <v>186</v>
      </c>
      <c r="P34" s="68" t="s">
        <v>243</v>
      </c>
      <c r="Q34" s="68" t="s">
        <v>187</v>
      </c>
      <c r="R34" s="68" t="s">
        <v>243</v>
      </c>
      <c r="S34" s="68" t="s">
        <v>186</v>
      </c>
      <c r="T34" s="68" t="s">
        <v>186</v>
      </c>
      <c r="U34" s="119" t="s">
        <v>187</v>
      </c>
      <c r="V34" s="68" t="s">
        <v>186</v>
      </c>
      <c r="W34" s="193" t="s">
        <v>308</v>
      </c>
    </row>
    <row r="35" spans="1:23" hidden="1" x14ac:dyDescent="0.25">
      <c r="A35" s="24">
        <v>53</v>
      </c>
      <c r="B35" s="24" t="s">
        <v>63</v>
      </c>
      <c r="C35" s="24" t="s">
        <v>122</v>
      </c>
      <c r="D35" s="24" t="s">
        <v>123</v>
      </c>
      <c r="E35" s="24" t="s">
        <v>124</v>
      </c>
      <c r="F35" s="83" t="s">
        <v>125</v>
      </c>
      <c r="G35" s="24" t="s">
        <v>126</v>
      </c>
      <c r="H35" s="77">
        <v>233606454</v>
      </c>
      <c r="I35" s="24" t="s">
        <v>187</v>
      </c>
      <c r="J35" s="24" t="s">
        <v>187</v>
      </c>
      <c r="K35" s="95">
        <v>30</v>
      </c>
      <c r="L35" s="103">
        <v>43182</v>
      </c>
      <c r="M35" s="68" t="s">
        <v>328</v>
      </c>
      <c r="N35" s="24" t="s">
        <v>187</v>
      </c>
      <c r="O35" s="24" t="s">
        <v>187</v>
      </c>
      <c r="P35" s="15" t="s">
        <v>244</v>
      </c>
      <c r="Q35" s="68" t="s">
        <v>187</v>
      </c>
      <c r="R35" s="68" t="s">
        <v>249</v>
      </c>
      <c r="S35" s="68" t="s">
        <v>187</v>
      </c>
      <c r="T35" s="68" t="s">
        <v>187</v>
      </c>
      <c r="U35" s="119" t="s">
        <v>187</v>
      </c>
      <c r="V35" s="68"/>
      <c r="W35" s="193" t="s">
        <v>309</v>
      </c>
    </row>
    <row r="36" spans="1:23" hidden="1" x14ac:dyDescent="0.25">
      <c r="A36" s="14">
        <v>54</v>
      </c>
      <c r="B36" s="50" t="s">
        <v>16</v>
      </c>
      <c r="C36" s="50" t="s">
        <v>127</v>
      </c>
      <c r="D36" s="50" t="s">
        <v>128</v>
      </c>
      <c r="E36" s="50" t="s">
        <v>129</v>
      </c>
      <c r="F36" s="81" t="s">
        <v>130</v>
      </c>
      <c r="G36" s="50" t="s">
        <v>131</v>
      </c>
      <c r="H36" s="51">
        <v>389409150</v>
      </c>
      <c r="I36" s="81" t="s">
        <v>22</v>
      </c>
      <c r="J36" s="50" t="s">
        <v>187</v>
      </c>
      <c r="K36" s="98">
        <v>30</v>
      </c>
      <c r="L36" s="53">
        <v>43144</v>
      </c>
      <c r="M36" s="68" t="s">
        <v>186</v>
      </c>
      <c r="N36" s="38" t="s">
        <v>186</v>
      </c>
      <c r="O36" s="38" t="s">
        <v>186</v>
      </c>
      <c r="P36" s="68" t="s">
        <v>243</v>
      </c>
      <c r="Q36" s="68" t="s">
        <v>193</v>
      </c>
      <c r="R36" s="68" t="s">
        <v>243</v>
      </c>
      <c r="S36" s="68" t="s">
        <v>186</v>
      </c>
      <c r="T36" s="68" t="s">
        <v>186</v>
      </c>
      <c r="U36" s="119" t="s">
        <v>187</v>
      </c>
      <c r="V36" s="68"/>
      <c r="W36" s="193" t="s">
        <v>310</v>
      </c>
    </row>
    <row r="37" spans="1:23" hidden="1" x14ac:dyDescent="0.25">
      <c r="A37" s="7">
        <v>56</v>
      </c>
      <c r="B37" s="38" t="s">
        <v>16</v>
      </c>
      <c r="C37" s="38" t="s">
        <v>132</v>
      </c>
      <c r="D37" s="38" t="s">
        <v>133</v>
      </c>
      <c r="E37" s="38" t="s">
        <v>134</v>
      </c>
      <c r="F37" s="78" t="s">
        <v>135</v>
      </c>
      <c r="G37" s="38" t="s">
        <v>136</v>
      </c>
      <c r="H37" s="39">
        <v>344733400</v>
      </c>
      <c r="I37" s="78" t="s">
        <v>187</v>
      </c>
      <c r="J37" s="38" t="s">
        <v>187</v>
      </c>
      <c r="K37" s="95">
        <v>0</v>
      </c>
      <c r="L37" s="41"/>
      <c r="M37" s="68" t="s">
        <v>328</v>
      </c>
      <c r="N37" s="38" t="s">
        <v>187</v>
      </c>
      <c r="O37" s="38" t="s">
        <v>187</v>
      </c>
      <c r="P37" s="68" t="s">
        <v>244</v>
      </c>
      <c r="Q37" s="68" t="s">
        <v>187</v>
      </c>
      <c r="R37" s="68" t="s">
        <v>249</v>
      </c>
      <c r="S37" s="68" t="s">
        <v>187</v>
      </c>
      <c r="T37" s="68" t="s">
        <v>187</v>
      </c>
      <c r="U37" s="119" t="s">
        <v>187</v>
      </c>
      <c r="V37" s="68"/>
      <c r="W37" s="193" t="s">
        <v>311</v>
      </c>
    </row>
    <row r="38" spans="1:23" hidden="1" x14ac:dyDescent="0.25">
      <c r="A38" s="7">
        <v>57</v>
      </c>
      <c r="B38" s="38" t="s">
        <v>16</v>
      </c>
      <c r="C38" s="38" t="s">
        <v>137</v>
      </c>
      <c r="D38" s="38" t="s">
        <v>138</v>
      </c>
      <c r="E38" s="38" t="s">
        <v>139</v>
      </c>
      <c r="F38" s="78" t="s">
        <v>140</v>
      </c>
      <c r="G38" s="38" t="s">
        <v>141</v>
      </c>
      <c r="H38" s="39">
        <v>344087305</v>
      </c>
      <c r="I38" s="78" t="s">
        <v>22</v>
      </c>
      <c r="J38" s="38" t="s">
        <v>11</v>
      </c>
      <c r="K38" s="95">
        <v>30</v>
      </c>
      <c r="L38" s="41">
        <v>43150</v>
      </c>
      <c r="M38" s="38" t="s">
        <v>186</v>
      </c>
      <c r="N38" s="38" t="s">
        <v>186</v>
      </c>
      <c r="O38" s="38" t="s">
        <v>186</v>
      </c>
      <c r="P38" s="68" t="s">
        <v>243</v>
      </c>
      <c r="Q38" s="68" t="s">
        <v>187</v>
      </c>
      <c r="R38" s="68" t="s">
        <v>256</v>
      </c>
      <c r="S38" s="68" t="s">
        <v>187</v>
      </c>
      <c r="T38" s="68" t="s">
        <v>256</v>
      </c>
      <c r="U38" s="119" t="s">
        <v>187</v>
      </c>
      <c r="V38" s="68"/>
      <c r="W38" s="193" t="s">
        <v>312</v>
      </c>
    </row>
    <row r="39" spans="1:23" hidden="1" x14ac:dyDescent="0.25">
      <c r="A39" s="7">
        <v>58</v>
      </c>
      <c r="B39" s="38" t="s">
        <v>16</v>
      </c>
      <c r="C39" s="38" t="s">
        <v>142</v>
      </c>
      <c r="D39" s="38" t="s">
        <v>143</v>
      </c>
      <c r="E39" s="38" t="s">
        <v>144</v>
      </c>
      <c r="F39" s="78" t="s">
        <v>145</v>
      </c>
      <c r="G39" s="38" t="s">
        <v>146</v>
      </c>
      <c r="H39" s="39">
        <v>240010338</v>
      </c>
      <c r="I39" s="78" t="s">
        <v>22</v>
      </c>
      <c r="J39" s="38" t="s">
        <v>187</v>
      </c>
      <c r="K39" s="95">
        <v>30</v>
      </c>
      <c r="L39" s="41">
        <v>43166</v>
      </c>
      <c r="M39" s="38" t="s">
        <v>194</v>
      </c>
      <c r="N39" s="38" t="s">
        <v>186</v>
      </c>
      <c r="O39" s="38" t="s">
        <v>186</v>
      </c>
      <c r="P39" s="68" t="s">
        <v>243</v>
      </c>
      <c r="Q39" s="68" t="s">
        <v>193</v>
      </c>
      <c r="R39" s="68" t="s">
        <v>243</v>
      </c>
      <c r="S39" s="68" t="s">
        <v>186</v>
      </c>
      <c r="T39" s="68" t="s">
        <v>187</v>
      </c>
      <c r="U39" s="119" t="s">
        <v>186</v>
      </c>
      <c r="V39" s="68"/>
      <c r="W39" s="193" t="s">
        <v>313</v>
      </c>
    </row>
    <row r="40" spans="1:23" hidden="1" x14ac:dyDescent="0.25">
      <c r="A40" s="7">
        <v>62</v>
      </c>
      <c r="B40" s="38" t="s">
        <v>16</v>
      </c>
      <c r="C40" s="38" t="s">
        <v>152</v>
      </c>
      <c r="D40" s="38" t="s">
        <v>153</v>
      </c>
      <c r="E40" s="38" t="s">
        <v>154</v>
      </c>
      <c r="F40" s="78" t="s">
        <v>155</v>
      </c>
      <c r="G40" s="38" t="s">
        <v>156</v>
      </c>
      <c r="H40" s="39">
        <v>233319751</v>
      </c>
      <c r="I40" s="78" t="s">
        <v>22</v>
      </c>
      <c r="J40" s="38" t="s">
        <v>187</v>
      </c>
      <c r="K40" s="95">
        <v>30</v>
      </c>
      <c r="L40" s="41">
        <v>43159</v>
      </c>
      <c r="M40" s="38" t="s">
        <v>186</v>
      </c>
      <c r="N40" s="38" t="s">
        <v>186</v>
      </c>
      <c r="O40" s="38" t="s">
        <v>186</v>
      </c>
      <c r="P40" s="68" t="s">
        <v>243</v>
      </c>
      <c r="Q40" s="68" t="s">
        <v>187</v>
      </c>
      <c r="R40" s="68" t="s">
        <v>243</v>
      </c>
      <c r="S40" s="68" t="s">
        <v>186</v>
      </c>
      <c r="T40" s="68" t="s">
        <v>186</v>
      </c>
      <c r="U40" s="119" t="s">
        <v>186</v>
      </c>
      <c r="V40" s="68"/>
      <c r="W40" s="193" t="s">
        <v>314</v>
      </c>
    </row>
    <row r="41" spans="1:23" x14ac:dyDescent="0.25">
      <c r="A41" s="7">
        <v>64</v>
      </c>
      <c r="B41" s="38" t="s">
        <v>16</v>
      </c>
      <c r="C41" s="38" t="s">
        <v>157</v>
      </c>
      <c r="D41" s="38" t="s">
        <v>158</v>
      </c>
      <c r="E41" s="38" t="s">
        <v>159</v>
      </c>
      <c r="F41" s="78" t="s">
        <v>160</v>
      </c>
      <c r="G41" s="38" t="s">
        <v>161</v>
      </c>
      <c r="H41" s="39" t="s">
        <v>327</v>
      </c>
      <c r="I41" s="78" t="s">
        <v>22</v>
      </c>
      <c r="J41" s="38" t="s">
        <v>187</v>
      </c>
      <c r="K41" s="95">
        <v>0</v>
      </c>
      <c r="L41" s="41"/>
      <c r="M41" s="38" t="s">
        <v>194</v>
      </c>
      <c r="N41" s="38" t="s">
        <v>186</v>
      </c>
      <c r="O41" s="38" t="s">
        <v>186</v>
      </c>
      <c r="P41" s="68" t="s">
        <v>243</v>
      </c>
      <c r="Q41" s="68" t="s">
        <v>187</v>
      </c>
      <c r="R41" s="68" t="s">
        <v>243</v>
      </c>
      <c r="S41" s="68" t="s">
        <v>186</v>
      </c>
      <c r="T41" s="68" t="s">
        <v>186</v>
      </c>
      <c r="U41" s="119" t="s">
        <v>186</v>
      </c>
      <c r="V41" s="68" t="s">
        <v>186</v>
      </c>
      <c r="W41" s="193" t="s">
        <v>315</v>
      </c>
    </row>
    <row r="42" spans="1:23" hidden="1" x14ac:dyDescent="0.25">
      <c r="A42" s="7">
        <v>69</v>
      </c>
      <c r="B42" s="38" t="s">
        <v>16</v>
      </c>
      <c r="C42" s="38" t="s">
        <v>162</v>
      </c>
      <c r="D42" s="38" t="s">
        <v>163</v>
      </c>
      <c r="E42" s="38" t="s">
        <v>164</v>
      </c>
      <c r="F42" s="78" t="s">
        <v>165</v>
      </c>
      <c r="G42" s="38" t="s">
        <v>166</v>
      </c>
      <c r="H42" s="39">
        <v>297751332</v>
      </c>
      <c r="I42" s="78" t="s">
        <v>22</v>
      </c>
      <c r="J42" s="38" t="s">
        <v>11</v>
      </c>
      <c r="K42" s="95">
        <v>30</v>
      </c>
      <c r="L42" s="41">
        <v>43162</v>
      </c>
      <c r="M42" s="38" t="s">
        <v>194</v>
      </c>
      <c r="N42" s="38" t="s">
        <v>186</v>
      </c>
      <c r="O42" s="38" t="s">
        <v>186</v>
      </c>
      <c r="P42" s="68" t="s">
        <v>243</v>
      </c>
      <c r="Q42" s="68" t="s">
        <v>187</v>
      </c>
      <c r="R42" s="68" t="s">
        <v>243</v>
      </c>
      <c r="S42" s="68" t="s">
        <v>186</v>
      </c>
      <c r="T42" s="68" t="s">
        <v>186</v>
      </c>
      <c r="U42" s="119" t="s">
        <v>186</v>
      </c>
      <c r="V42" s="68" t="s">
        <v>186</v>
      </c>
      <c r="W42" s="193" t="s">
        <v>316</v>
      </c>
    </row>
    <row r="43" spans="1:23" hidden="1" x14ac:dyDescent="0.25">
      <c r="A43" s="7">
        <v>73</v>
      </c>
      <c r="B43" s="38" t="s">
        <v>16</v>
      </c>
      <c r="C43" s="38" t="s">
        <v>167</v>
      </c>
      <c r="D43" s="38" t="s">
        <v>168</v>
      </c>
      <c r="E43" s="38" t="s">
        <v>169</v>
      </c>
      <c r="F43" s="78" t="s">
        <v>51</v>
      </c>
      <c r="G43" s="38" t="s">
        <v>170</v>
      </c>
      <c r="H43" s="39">
        <v>240566793</v>
      </c>
      <c r="I43" s="78" t="s">
        <v>22</v>
      </c>
      <c r="J43" s="38" t="s">
        <v>187</v>
      </c>
      <c r="K43" s="95">
        <v>30</v>
      </c>
      <c r="L43" s="41">
        <v>43174</v>
      </c>
      <c r="M43" s="68" t="s">
        <v>186</v>
      </c>
      <c r="N43" s="38" t="s">
        <v>187</v>
      </c>
      <c r="O43" s="38" t="s">
        <v>186</v>
      </c>
      <c r="P43" s="68" t="s">
        <v>244</v>
      </c>
      <c r="Q43" s="68" t="s">
        <v>187</v>
      </c>
      <c r="R43" s="68" t="s">
        <v>249</v>
      </c>
      <c r="S43" s="68" t="s">
        <v>187</v>
      </c>
      <c r="T43" s="68" t="s">
        <v>187</v>
      </c>
      <c r="U43" s="119" t="s">
        <v>186</v>
      </c>
      <c r="V43" s="68"/>
      <c r="W43" s="193" t="s">
        <v>317</v>
      </c>
    </row>
    <row r="44" spans="1:23" hidden="1" x14ac:dyDescent="0.25">
      <c r="A44" s="7">
        <v>75</v>
      </c>
      <c r="B44" s="38" t="s">
        <v>63</v>
      </c>
      <c r="C44" s="38" t="s">
        <v>171</v>
      </c>
      <c r="D44" s="38" t="s">
        <v>172</v>
      </c>
      <c r="E44" s="38" t="s">
        <v>207</v>
      </c>
      <c r="F44" s="78" t="s">
        <v>225</v>
      </c>
      <c r="G44" s="38" t="s">
        <v>259</v>
      </c>
      <c r="H44" s="39">
        <v>608070812</v>
      </c>
      <c r="I44" s="78" t="s">
        <v>22</v>
      </c>
      <c r="J44" s="38" t="s">
        <v>11</v>
      </c>
      <c r="K44" s="95">
        <v>30</v>
      </c>
      <c r="L44" s="41">
        <v>43148</v>
      </c>
      <c r="M44" s="68" t="s">
        <v>186</v>
      </c>
      <c r="N44" s="38" t="s">
        <v>186</v>
      </c>
      <c r="O44" s="38" t="s">
        <v>186</v>
      </c>
      <c r="P44" s="68" t="s">
        <v>243</v>
      </c>
      <c r="Q44" s="68" t="s">
        <v>193</v>
      </c>
      <c r="R44" s="68" t="s">
        <v>243</v>
      </c>
      <c r="S44" s="68" t="s">
        <v>187</v>
      </c>
      <c r="T44" s="68" t="s">
        <v>187</v>
      </c>
      <c r="U44" s="183" t="s">
        <v>323</v>
      </c>
      <c r="V44" s="68"/>
      <c r="W44" s="193" t="s">
        <v>318</v>
      </c>
    </row>
    <row r="45" spans="1:23" hidden="1" x14ac:dyDescent="0.25">
      <c r="A45" s="7">
        <v>77</v>
      </c>
      <c r="B45" s="38" t="s">
        <v>16</v>
      </c>
      <c r="C45" s="38" t="s">
        <v>176</v>
      </c>
      <c r="D45" s="38" t="s">
        <v>177</v>
      </c>
      <c r="E45" s="38" t="s">
        <v>331</v>
      </c>
      <c r="F45" s="78" t="s">
        <v>332</v>
      </c>
      <c r="G45" s="38" t="s">
        <v>333</v>
      </c>
      <c r="H45" s="39" t="s">
        <v>334</v>
      </c>
      <c r="I45" s="78" t="s">
        <v>22</v>
      </c>
      <c r="J45" s="38" t="s">
        <v>187</v>
      </c>
      <c r="K45" s="95">
        <v>30</v>
      </c>
      <c r="L45" s="41">
        <v>43147</v>
      </c>
      <c r="M45" s="68" t="s">
        <v>328</v>
      </c>
      <c r="N45" s="38" t="s">
        <v>186</v>
      </c>
      <c r="O45" s="38" t="s">
        <v>186</v>
      </c>
      <c r="P45" s="68" t="s">
        <v>243</v>
      </c>
      <c r="Q45" s="68" t="s">
        <v>193</v>
      </c>
      <c r="R45" s="68" t="s">
        <v>243</v>
      </c>
      <c r="S45" s="68" t="s">
        <v>187</v>
      </c>
      <c r="T45" s="130" t="s">
        <v>187</v>
      </c>
      <c r="U45" s="119" t="s">
        <v>187</v>
      </c>
      <c r="V45" s="68"/>
      <c r="W45" s="193" t="s">
        <v>319</v>
      </c>
    </row>
    <row r="46" spans="1:23" hidden="1" x14ac:dyDescent="0.25">
      <c r="A46" s="7">
        <v>78</v>
      </c>
      <c r="B46" s="38" t="s">
        <v>16</v>
      </c>
      <c r="C46" s="38" t="s">
        <v>185</v>
      </c>
      <c r="D46" s="38" t="s">
        <v>163</v>
      </c>
      <c r="E46" s="38" t="s">
        <v>178</v>
      </c>
      <c r="F46" s="78" t="s">
        <v>179</v>
      </c>
      <c r="G46" s="38" t="s">
        <v>180</v>
      </c>
      <c r="H46" s="39">
        <v>231627538</v>
      </c>
      <c r="I46" s="78" t="s">
        <v>22</v>
      </c>
      <c r="J46" s="38" t="s">
        <v>11</v>
      </c>
      <c r="K46" s="95">
        <v>30</v>
      </c>
      <c r="L46" s="41"/>
      <c r="M46" s="68" t="s">
        <v>328</v>
      </c>
      <c r="N46" s="38" t="s">
        <v>186</v>
      </c>
      <c r="O46" s="38" t="s">
        <v>186</v>
      </c>
      <c r="P46" s="68" t="s">
        <v>243</v>
      </c>
      <c r="Q46" s="68" t="s">
        <v>187</v>
      </c>
      <c r="R46" s="68" t="s">
        <v>243</v>
      </c>
      <c r="S46" s="68" t="s">
        <v>186</v>
      </c>
      <c r="T46" s="68" t="s">
        <v>186</v>
      </c>
      <c r="U46" s="15" t="s">
        <v>186</v>
      </c>
      <c r="V46" s="68" t="s">
        <v>186</v>
      </c>
      <c r="W46" s="193" t="s">
        <v>320</v>
      </c>
    </row>
    <row r="47" spans="1:23" x14ac:dyDescent="0.25">
      <c r="A47" s="15"/>
      <c r="B47" s="68"/>
      <c r="C47" s="68"/>
      <c r="D47" s="68"/>
      <c r="E47" s="68"/>
      <c r="F47" s="91"/>
      <c r="G47" s="68"/>
      <c r="H47" s="68"/>
      <c r="I47" s="68">
        <f>COUNTIF(I16:I46,"av*")</f>
        <v>27</v>
      </c>
      <c r="J47" s="68"/>
      <c r="K47" s="141">
        <f>COUNTA(advpsc2018[Cot 2018])</f>
        <v>31</v>
      </c>
      <c r="L47" s="188" t="s">
        <v>328</v>
      </c>
      <c r="M47" s="187">
        <f>COUNTIF(advpsc2018[Pouvoir AG],"Att Réponse")</f>
        <v>11</v>
      </c>
      <c r="N47" s="68"/>
      <c r="O47" s="68"/>
      <c r="P47" s="68"/>
      <c r="Q47" s="68">
        <f>COUNTIF(Q16:Q46,"OK")</f>
        <v>13</v>
      </c>
      <c r="R47" s="116">
        <f>COUNTIF(R16:R46,"OUI")</f>
        <v>21</v>
      </c>
      <c r="S47" s="117" t="s">
        <v>250</v>
      </c>
      <c r="T47" s="85"/>
      <c r="V47" s="68">
        <f>COUNTA(V16:V46,"*")</f>
        <v>9</v>
      </c>
    </row>
    <row r="48" spans="1:23" x14ac:dyDescent="0.25">
      <c r="F48" s="89"/>
      <c r="I48" s="15">
        <f>COUNTIF(I16:I46,"Non")</f>
        <v>4</v>
      </c>
      <c r="J48" s="15">
        <f>COUNTIF(J16:J46,"Ass*")</f>
        <v>9</v>
      </c>
      <c r="K48" s="142">
        <f>COUNTIF(advpsc2018[Cot 2018],"")</f>
        <v>0</v>
      </c>
      <c r="L48" s="185" t="s">
        <v>195</v>
      </c>
      <c r="M48" s="186">
        <f>COUNTIF(M16:M46,"Présent")</f>
        <v>5</v>
      </c>
      <c r="P48" s="15"/>
      <c r="Q48" s="15"/>
      <c r="R48" s="116">
        <f>COUNTIF(advpsc2018[Fac/BdeC],"")</f>
        <v>0</v>
      </c>
      <c r="S48" s="120" t="s">
        <v>251</v>
      </c>
      <c r="T48" s="124">
        <f>COUNTIF(U16:U46,"Oui")</f>
        <v>12</v>
      </c>
      <c r="U48" s="125" t="s">
        <v>186</v>
      </c>
    </row>
    <row r="49" spans="1:21" x14ac:dyDescent="0.25">
      <c r="F49" s="89"/>
      <c r="I49" s="15"/>
      <c r="J49" s="15"/>
      <c r="K49" s="182">
        <f>SUBTOTAL(109,advpsc2018[Cot 2018])</f>
        <v>0</v>
      </c>
      <c r="L49" s="66" t="s">
        <v>196</v>
      </c>
      <c r="M49" s="67">
        <f>COUNTIF(M16:M46,"Oui")</f>
        <v>15</v>
      </c>
      <c r="N49" s="15">
        <f>COUNTIF(advpsc2018[Civil],"Oui")</f>
        <v>21</v>
      </c>
      <c r="O49" s="15">
        <f>COUNTIF(O16:O46,"Oui")</f>
        <v>27</v>
      </c>
      <c r="P49" s="74">
        <f>COUNTIF(P16:P46,"oui")</f>
        <v>21</v>
      </c>
      <c r="Q49" s="74" t="s">
        <v>212</v>
      </c>
      <c r="T49" s="5">
        <f>COUNTIF(U16:U46,"Non")</f>
        <v>15</v>
      </c>
      <c r="U49" s="125" t="s">
        <v>187</v>
      </c>
    </row>
    <row r="50" spans="1:21" x14ac:dyDescent="0.25">
      <c r="F50" s="89"/>
      <c r="I50" s="15"/>
      <c r="J50" s="114" t="s">
        <v>262</v>
      </c>
      <c r="K50" s="104">
        <f>COUNTIF(K16:K46,"30")</f>
        <v>27</v>
      </c>
      <c r="L50" s="4"/>
      <c r="M50" s="63" t="s">
        <v>182</v>
      </c>
      <c r="N50" s="70"/>
      <c r="O50" s="73">
        <f>COUNTIFS(N16:N46,"Oui",O16:O46,"Oui")</f>
        <v>21</v>
      </c>
      <c r="P50" s="74">
        <f>COUNTIFS(P16:P46,"Non",O16:O46,"Oui")</f>
        <v>6</v>
      </c>
      <c r="Q50" s="74" t="s">
        <v>211</v>
      </c>
      <c r="S50" s="15">
        <f>COUNTIF(advpsc2018[Expertise],"Oui")</f>
        <v>15</v>
      </c>
      <c r="T50" s="15"/>
    </row>
    <row r="51" spans="1:21" x14ac:dyDescent="0.25">
      <c r="A51" s="184"/>
      <c r="F51" s="89"/>
      <c r="J51" s="114" t="s">
        <v>247</v>
      </c>
      <c r="K51" s="104">
        <f>COUNTIF(K16:K46,"0")</f>
        <v>3</v>
      </c>
      <c r="L51" s="4"/>
      <c r="N51" s="29" t="s">
        <v>187</v>
      </c>
      <c r="O51" s="164">
        <f>COUNTIF(O16:O46,"Non")</f>
        <v>4</v>
      </c>
      <c r="P51" s="74">
        <f>COUNTIFS(N16:N46,"Oui",P16:P46,"NON")</f>
        <v>0</v>
      </c>
      <c r="Q51" s="74" t="s">
        <v>263</v>
      </c>
    </row>
    <row r="52" spans="1:21" x14ac:dyDescent="0.25">
      <c r="F52" s="89"/>
      <c r="I52" s="75"/>
      <c r="J52" s="115" t="s">
        <v>190</v>
      </c>
      <c r="K52" s="104">
        <f>COUNTIF(K16:K46,"d*")</f>
        <v>0</v>
      </c>
      <c r="L52" s="4"/>
      <c r="Q52" s="202" t="s">
        <v>257</v>
      </c>
      <c r="R52" s="201"/>
      <c r="S52" s="203"/>
      <c r="T52" s="156">
        <f>COUNTIFS(S16:S46,"Non",T16:T46,"Oui",Q16:Q46,"Non")</f>
        <v>0</v>
      </c>
      <c r="U52" s="128"/>
    </row>
    <row r="53" spans="1:21" x14ac:dyDescent="0.25">
      <c r="F53" s="89"/>
      <c r="I53" s="111"/>
      <c r="J53" s="131" t="s">
        <v>325</v>
      </c>
      <c r="K53" s="132">
        <f>COUNTIF(K16:K46,"50")</f>
        <v>1</v>
      </c>
      <c r="L53" s="4"/>
      <c r="M53" s="20">
        <f>SUMPRODUCT((N17:N46="Non")*1,(O17:O46="Oui")*1)</f>
        <v>6</v>
      </c>
      <c r="N53" s="21" t="s">
        <v>183</v>
      </c>
      <c r="O53" s="128"/>
      <c r="Q53" s="15"/>
    </row>
    <row r="54" spans="1:21" x14ac:dyDescent="0.25">
      <c r="D54" s="22"/>
      <c r="E54" s="22"/>
      <c r="F54" s="90"/>
      <c r="K54" s="93"/>
      <c r="Q54" s="15"/>
    </row>
    <row r="55" spans="1:21" x14ac:dyDescent="0.25">
      <c r="E55" s="163"/>
      <c r="F55" s="89"/>
      <c r="I55" s="105" t="s">
        <v>205</v>
      </c>
      <c r="J55" s="106"/>
      <c r="K55" s="107">
        <f>COUNTIFS(K16:K46,"0.00",I16:I46,"av*")</f>
        <v>2</v>
      </c>
      <c r="M55" s="33">
        <f>COUNTIFS(O16:O46,"Non",N16:N46,"Oui")</f>
        <v>0</v>
      </c>
      <c r="N55" s="198" t="s">
        <v>197</v>
      </c>
      <c r="O55" s="199"/>
      <c r="P55" s="128"/>
      <c r="Q55" s="15"/>
    </row>
    <row r="56" spans="1:21" x14ac:dyDescent="0.25">
      <c r="E56" s="72"/>
      <c r="F56" s="89"/>
      <c r="I56" s="108" t="s">
        <v>206</v>
      </c>
      <c r="J56" s="109"/>
      <c r="K56" s="110">
        <f>COUNTIFS(I16:I46,"Non",K16:K46,"0.00")</f>
        <v>1</v>
      </c>
      <c r="M56" s="84"/>
      <c r="N56" s="85"/>
      <c r="O56" s="85"/>
      <c r="P56" s="24"/>
      <c r="Q56" s="15"/>
    </row>
    <row r="57" spans="1:21" x14ac:dyDescent="0.25">
      <c r="E57" s="72"/>
      <c r="F57" s="89"/>
      <c r="K57" s="93"/>
      <c r="M57" s="84"/>
      <c r="N57" s="85"/>
      <c r="O57" s="85"/>
      <c r="P57" s="24"/>
      <c r="Q57" s="15"/>
    </row>
    <row r="58" spans="1:21" x14ac:dyDescent="0.25">
      <c r="E58" s="72"/>
      <c r="F58" s="89"/>
      <c r="K58" s="200" t="s">
        <v>241</v>
      </c>
      <c r="L58" s="207"/>
      <c r="M58" s="92">
        <v>488946</v>
      </c>
      <c r="N58" s="204" t="s">
        <v>260</v>
      </c>
      <c r="O58" s="205"/>
      <c r="P58" s="205"/>
      <c r="Q58" s="205"/>
      <c r="R58" s="205"/>
      <c r="S58" s="205"/>
    </row>
    <row r="59" spans="1:21" x14ac:dyDescent="0.25">
      <c r="E59" s="163"/>
      <c r="F59" s="89"/>
      <c r="K59" s="93"/>
      <c r="M59" s="84"/>
      <c r="N59" s="85"/>
      <c r="O59" s="85"/>
      <c r="P59" s="24"/>
      <c r="Q59" s="15"/>
    </row>
  </sheetData>
  <mergeCells count="6">
    <mergeCell ref="A9:E9"/>
    <mergeCell ref="Q52:S52"/>
    <mergeCell ref="N55:O55"/>
    <mergeCell ref="K58:L58"/>
    <mergeCell ref="N58:S58"/>
    <mergeCell ref="H11:I11"/>
  </mergeCells>
  <hyperlinks>
    <hyperlink ref="W39" r:id="rId1"/>
    <hyperlink ref="W17" r:id="rId2"/>
    <hyperlink ref="W20" r:id="rId3"/>
    <hyperlink ref="W24" r:id="rId4"/>
    <hyperlink ref="W25" r:id="rId5"/>
    <hyperlink ref="W28" r:id="rId6"/>
    <hyperlink ref="W31" r:id="rId7"/>
    <hyperlink ref="W33" r:id="rId8"/>
    <hyperlink ref="W36" r:id="rId9"/>
    <hyperlink ref="W46" r:id="rId10"/>
    <hyperlink ref="W43" r:id="rId11"/>
    <hyperlink ref="W21" r:id="rId12"/>
    <hyperlink ref="W23" r:id="rId13"/>
    <hyperlink ref="W22" r:id="rId14"/>
    <hyperlink ref="W26" r:id="rId15"/>
    <hyperlink ref="W27" r:id="rId16"/>
    <hyperlink ref="W29" r:id="rId17"/>
    <hyperlink ref="W34" r:id="rId18"/>
    <hyperlink ref="W37" r:id="rId19"/>
    <hyperlink ref="W38" r:id="rId20"/>
    <hyperlink ref="W40" r:id="rId21"/>
    <hyperlink ref="W41" r:id="rId22"/>
    <hyperlink ref="W42" r:id="rId23"/>
    <hyperlink ref="W44" r:id="rId24"/>
    <hyperlink ref="W45" r:id="rId25"/>
    <hyperlink ref="W32" r:id="rId26"/>
    <hyperlink ref="W35" r:id="rId27"/>
    <hyperlink ref="W18" r:id="rId28"/>
    <hyperlink ref="W30" r:id="rId29"/>
  </hyperlinks>
  <pageMargins left="0.19685039370078741" right="0.19685039370078741" top="0.74803149606299213" bottom="0.74803149606299213" header="0.31496062992125984" footer="0.31496062992125984"/>
  <pageSetup paperSize="9" scale="41" fitToHeight="0" orientation="landscape" r:id="rId30"/>
  <drawing r:id="rId31"/>
  <tableParts count="1">
    <tablePart r:id="rId32"/>
  </tableParts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Feuil1!$A$2:$A$4</xm:f>
          </x14:formula1>
          <xm:sqref>J8:K8 E8:G8</xm:sqref>
        </x14:dataValidation>
        <x14:dataValidation type="list" allowBlank="1" showInputMessage="1" showErrorMessage="1">
          <x14:formula1>
            <xm:f>Feuil1!$B$2:$B$5</xm:f>
          </x14:formula1>
          <xm:sqref>I8</xm:sqref>
        </x14:dataValidation>
        <x14:dataValidation type="list" allowBlank="1" showInputMessage="1" showErrorMessage="1">
          <x14:formula1>
            <xm:f>Feuil1!$D$2:$D$3</xm:f>
          </x14:formula1>
          <xm:sqref>M8</xm:sqref>
        </x14:dataValidation>
        <x14:dataValidation type="list" allowBlank="1" showInputMessage="1" showErrorMessage="1">
          <x14:formula1>
            <xm:f>Feuil1!$H$2:$H$4</xm:f>
          </x14:formula1>
          <xm:sqref>B8</xm:sqref>
        </x14:dataValidation>
        <x14:dataValidation type="list" allowBlank="1" showInputMessage="1" showErrorMessage="1">
          <x14:formula1>
            <xm:f>Feuil1!$J$2:$J$5</xm:f>
          </x14:formula1>
          <xm:sqref>L8</xm:sqref>
        </x14:dataValidation>
        <x14:dataValidation type="list" allowBlank="1" showInputMessage="1" showErrorMessage="1">
          <x14:formula1>
            <xm:f>Feuil1!$L$2:$L$4</xm:f>
          </x14:formula1>
          <xm:sqref>H8</xm:sqref>
        </x14:dataValidation>
        <x14:dataValidation type="list" allowBlank="1" showInputMessage="1" showErrorMessage="1">
          <x14:formula1>
            <xm:f>Feuil1!$R$1:$R$3</xm:f>
          </x14:formula1>
          <xm:sqref>C8</xm:sqref>
        </x14:dataValidation>
        <x14:dataValidation type="list" allowBlank="1" showInputMessage="1" showErrorMessage="1">
          <x14:formula1>
            <xm:f>Feuil1!$P$2:$P$4</xm:f>
          </x14:formula1>
          <xm:sqref>A8</xm:sqref>
        </x14:dataValidation>
        <x14:dataValidation type="list" allowBlank="1" showInputMessage="1" showErrorMessage="1">
          <x14:formula1>
            <xm:f>Feuil1!$D$2:$D$5</xm:f>
          </x14:formula1>
          <xm:sqref>D8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R13"/>
  <sheetViews>
    <sheetView workbookViewId="0">
      <selection activeCell="R3" sqref="R3"/>
    </sheetView>
  </sheetViews>
  <sheetFormatPr baseColWidth="10" defaultRowHeight="15" x14ac:dyDescent="0.25"/>
  <cols>
    <col min="10" max="10" width="14.42578125" bestFit="1" customWidth="1"/>
  </cols>
  <sheetData>
    <row r="1" spans="1:18" x14ac:dyDescent="0.25">
      <c r="A1" t="s">
        <v>278</v>
      </c>
    </row>
    <row r="2" spans="1:18" x14ac:dyDescent="0.25">
      <c r="D2" s="68"/>
      <c r="F2" s="158" t="s">
        <v>279</v>
      </c>
      <c r="H2" s="147"/>
      <c r="N2" s="7"/>
      <c r="P2" s="38"/>
      <c r="R2" t="s">
        <v>326</v>
      </c>
    </row>
    <row r="3" spans="1:18" x14ac:dyDescent="0.25">
      <c r="A3" t="s">
        <v>186</v>
      </c>
      <c r="B3" s="68" t="s">
        <v>186</v>
      </c>
      <c r="D3" s="68" t="s">
        <v>186</v>
      </c>
      <c r="F3" s="78" t="s">
        <v>280</v>
      </c>
      <c r="H3" s="38" t="s">
        <v>11</v>
      </c>
      <c r="J3" s="38" t="s">
        <v>186</v>
      </c>
      <c r="L3" s="135" t="s">
        <v>193</v>
      </c>
      <c r="N3" s="40">
        <v>30</v>
      </c>
      <c r="P3" s="38" t="s">
        <v>22</v>
      </c>
      <c r="R3" t="s">
        <v>329</v>
      </c>
    </row>
    <row r="4" spans="1:18" x14ac:dyDescent="0.25">
      <c r="A4" t="s">
        <v>187</v>
      </c>
      <c r="B4" s="68" t="s">
        <v>187</v>
      </c>
      <c r="D4" s="68" t="s">
        <v>328</v>
      </c>
      <c r="F4" s="157" t="s">
        <v>281</v>
      </c>
      <c r="H4" t="s">
        <v>187</v>
      </c>
      <c r="J4" s="135" t="s">
        <v>187</v>
      </c>
      <c r="L4" s="38" t="s">
        <v>187</v>
      </c>
      <c r="N4" s="192">
        <v>40</v>
      </c>
      <c r="P4" s="38" t="s">
        <v>187</v>
      </c>
    </row>
    <row r="5" spans="1:18" x14ac:dyDescent="0.25">
      <c r="B5" s="135" t="s">
        <v>249</v>
      </c>
      <c r="D5" s="68" t="s">
        <v>194</v>
      </c>
      <c r="F5" s="78" t="s">
        <v>282</v>
      </c>
      <c r="J5" s="38" t="s">
        <v>323</v>
      </c>
      <c r="N5" s="192">
        <v>50</v>
      </c>
    </row>
    <row r="6" spans="1:18" x14ac:dyDescent="0.25">
      <c r="F6" s="157" t="s">
        <v>283</v>
      </c>
    </row>
    <row r="7" spans="1:18" x14ac:dyDescent="0.25">
      <c r="F7" s="78" t="s">
        <v>284</v>
      </c>
    </row>
    <row r="8" spans="1:18" x14ac:dyDescent="0.25">
      <c r="F8" s="157" t="s">
        <v>285</v>
      </c>
    </row>
    <row r="9" spans="1:18" x14ac:dyDescent="0.25">
      <c r="F9" s="78" t="s">
        <v>286</v>
      </c>
    </row>
    <row r="10" spans="1:18" x14ac:dyDescent="0.25">
      <c r="F10" s="157" t="s">
        <v>287</v>
      </c>
    </row>
    <row r="11" spans="1:18" x14ac:dyDescent="0.25">
      <c r="F11" s="78" t="s">
        <v>288</v>
      </c>
    </row>
    <row r="12" spans="1:18" x14ac:dyDescent="0.25">
      <c r="F12" s="157" t="s">
        <v>289</v>
      </c>
    </row>
    <row r="13" spans="1:18" x14ac:dyDescent="0.25">
      <c r="F13" s="157" t="s">
        <v>290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E40"/>
  <sheetViews>
    <sheetView topLeftCell="A4" workbookViewId="0">
      <selection activeCell="J29" sqref="J29"/>
    </sheetView>
  </sheetViews>
  <sheetFormatPr baseColWidth="10" defaultRowHeight="15" x14ac:dyDescent="0.25"/>
  <cols>
    <col min="2" max="2" width="18.42578125" bestFit="1" customWidth="1"/>
    <col min="3" max="3" width="16" customWidth="1"/>
    <col min="4" max="4" width="11.42578125" style="15"/>
    <col min="5" max="5" width="16.28515625" style="15" bestFit="1" customWidth="1"/>
  </cols>
  <sheetData>
    <row r="3" spans="1:5" s="15" customFormat="1" x14ac:dyDescent="0.25">
      <c r="A3" s="15" t="s">
        <v>267</v>
      </c>
      <c r="B3" s="15" t="s">
        <v>266</v>
      </c>
      <c r="C3" s="15" t="s">
        <v>265</v>
      </c>
      <c r="D3" s="15" t="s">
        <v>271</v>
      </c>
      <c r="E3" s="15" t="s">
        <v>264</v>
      </c>
    </row>
    <row r="4" spans="1:5" x14ac:dyDescent="0.25">
      <c r="A4" s="134" t="s">
        <v>16</v>
      </c>
      <c r="B4" s="134" t="s">
        <v>17</v>
      </c>
      <c r="C4" s="133" t="s">
        <v>201</v>
      </c>
      <c r="D4" s="7"/>
      <c r="E4" s="7"/>
    </row>
    <row r="5" spans="1:5" x14ac:dyDescent="0.25">
      <c r="A5" s="38" t="s">
        <v>23</v>
      </c>
      <c r="B5" s="38" t="s">
        <v>24</v>
      </c>
      <c r="C5" s="38" t="s">
        <v>187</v>
      </c>
      <c r="D5" s="135" t="s">
        <v>269</v>
      </c>
      <c r="E5" s="135" t="s">
        <v>269</v>
      </c>
    </row>
    <row r="6" spans="1:5" x14ac:dyDescent="0.25">
      <c r="A6" s="134" t="s">
        <v>16</v>
      </c>
      <c r="B6" s="134" t="s">
        <v>29</v>
      </c>
      <c r="C6" s="134" t="s">
        <v>186</v>
      </c>
      <c r="D6" s="7" t="s">
        <v>268</v>
      </c>
      <c r="E6" s="7" t="s">
        <v>268</v>
      </c>
    </row>
    <row r="7" spans="1:5" x14ac:dyDescent="0.25">
      <c r="A7" s="38" t="s">
        <v>16</v>
      </c>
      <c r="B7" s="38" t="s">
        <v>34</v>
      </c>
      <c r="C7" s="38" t="s">
        <v>186</v>
      </c>
      <c r="D7" s="135" t="s">
        <v>268</v>
      </c>
      <c r="E7" s="7"/>
    </row>
    <row r="8" spans="1:5" x14ac:dyDescent="0.25">
      <c r="A8" s="134" t="s">
        <v>16</v>
      </c>
      <c r="B8" s="134" t="s">
        <v>39</v>
      </c>
      <c r="C8" s="134" t="s">
        <v>201</v>
      </c>
      <c r="D8" s="7"/>
      <c r="E8" s="7"/>
    </row>
    <row r="9" spans="1:5" x14ac:dyDescent="0.25">
      <c r="A9" s="38" t="s">
        <v>16</v>
      </c>
      <c r="B9" s="38" t="s">
        <v>44</v>
      </c>
      <c r="C9" s="38" t="s">
        <v>186</v>
      </c>
      <c r="D9" s="135" t="s">
        <v>268</v>
      </c>
      <c r="E9" s="7"/>
    </row>
    <row r="10" spans="1:5" x14ac:dyDescent="0.25">
      <c r="A10" s="134" t="s">
        <v>16</v>
      </c>
      <c r="B10" s="134" t="s">
        <v>199</v>
      </c>
      <c r="C10" s="134" t="s">
        <v>187</v>
      </c>
      <c r="D10" s="7"/>
      <c r="E10" s="7" t="s">
        <v>268</v>
      </c>
    </row>
    <row r="11" spans="1:5" x14ac:dyDescent="0.25">
      <c r="A11" s="38" t="s">
        <v>16</v>
      </c>
      <c r="B11" s="38" t="s">
        <v>53</v>
      </c>
      <c r="C11" s="38" t="s">
        <v>187</v>
      </c>
      <c r="D11" s="7" t="s">
        <v>269</v>
      </c>
      <c r="E11" s="7" t="s">
        <v>269</v>
      </c>
    </row>
    <row r="12" spans="1:5" x14ac:dyDescent="0.25">
      <c r="A12" s="134" t="s">
        <v>16</v>
      </c>
      <c r="B12" s="134" t="s">
        <v>58</v>
      </c>
      <c r="C12" s="133" t="s">
        <v>187</v>
      </c>
      <c r="D12" s="7" t="s">
        <v>269</v>
      </c>
      <c r="E12" s="7" t="s">
        <v>269</v>
      </c>
    </row>
    <row r="13" spans="1:5" x14ac:dyDescent="0.25">
      <c r="A13" s="38" t="s">
        <v>63</v>
      </c>
      <c r="B13" s="38" t="s">
        <v>64</v>
      </c>
      <c r="C13" s="7" t="s">
        <v>186</v>
      </c>
      <c r="D13" s="7" t="s">
        <v>268</v>
      </c>
      <c r="E13" s="7"/>
    </row>
    <row r="14" spans="1:5" x14ac:dyDescent="0.25">
      <c r="A14" s="134" t="s">
        <v>16</v>
      </c>
      <c r="B14" s="134" t="s">
        <v>68</v>
      </c>
      <c r="C14" s="133" t="s">
        <v>187</v>
      </c>
      <c r="D14" s="7" t="s">
        <v>269</v>
      </c>
      <c r="E14" s="7"/>
    </row>
    <row r="15" spans="1:5" x14ac:dyDescent="0.25">
      <c r="A15" s="38" t="s">
        <v>16</v>
      </c>
      <c r="B15" s="38" t="s">
        <v>73</v>
      </c>
      <c r="C15" s="7" t="s">
        <v>187</v>
      </c>
      <c r="D15" s="7"/>
      <c r="E15" s="7"/>
    </row>
    <row r="16" spans="1:5" x14ac:dyDescent="0.25">
      <c r="A16" s="134" t="s">
        <v>63</v>
      </c>
      <c r="B16" s="134" t="s">
        <v>189</v>
      </c>
      <c r="C16" s="134" t="s">
        <v>186</v>
      </c>
      <c r="D16" s="7" t="s">
        <v>268</v>
      </c>
      <c r="E16" s="7"/>
    </row>
    <row r="17" spans="1:5" x14ac:dyDescent="0.25">
      <c r="A17" s="38" t="s">
        <v>16</v>
      </c>
      <c r="B17" s="38" t="s">
        <v>87</v>
      </c>
      <c r="C17" s="38" t="s">
        <v>187</v>
      </c>
      <c r="D17" s="135" t="s">
        <v>269</v>
      </c>
      <c r="E17" s="135" t="s">
        <v>269</v>
      </c>
    </row>
    <row r="18" spans="1:5" x14ac:dyDescent="0.25">
      <c r="A18" s="134" t="s">
        <v>16</v>
      </c>
      <c r="B18" s="134" t="s">
        <v>91</v>
      </c>
      <c r="C18" s="134" t="s">
        <v>186</v>
      </c>
      <c r="D18" s="134" t="s">
        <v>268</v>
      </c>
      <c r="E18" s="7"/>
    </row>
    <row r="19" spans="1:5" x14ac:dyDescent="0.25">
      <c r="A19" s="38" t="s">
        <v>16</v>
      </c>
      <c r="B19" s="38" t="s">
        <v>95</v>
      </c>
      <c r="C19" s="38" t="s">
        <v>187</v>
      </c>
      <c r="D19" s="7" t="s">
        <v>269</v>
      </c>
      <c r="E19" s="7" t="s">
        <v>269</v>
      </c>
    </row>
    <row r="20" spans="1:5" x14ac:dyDescent="0.25">
      <c r="A20" s="134" t="s">
        <v>16</v>
      </c>
      <c r="B20" s="134" t="s">
        <v>100</v>
      </c>
      <c r="C20" s="134" t="s">
        <v>201</v>
      </c>
      <c r="D20" s="7"/>
      <c r="E20" s="7"/>
    </row>
    <row r="21" spans="1:5" x14ac:dyDescent="0.25">
      <c r="A21" s="38" t="s">
        <v>16</v>
      </c>
      <c r="B21" s="38" t="s">
        <v>104</v>
      </c>
      <c r="C21" s="38" t="s">
        <v>186</v>
      </c>
      <c r="D21" s="135" t="s">
        <v>268</v>
      </c>
      <c r="E21" s="135" t="s">
        <v>268</v>
      </c>
    </row>
    <row r="22" spans="1:5" x14ac:dyDescent="0.25">
      <c r="A22" s="134" t="s">
        <v>16</v>
      </c>
      <c r="B22" s="134" t="s">
        <v>109</v>
      </c>
      <c r="C22" s="134" t="s">
        <v>187</v>
      </c>
      <c r="D22" s="7" t="s">
        <v>269</v>
      </c>
      <c r="E22" s="7" t="s">
        <v>269</v>
      </c>
    </row>
    <row r="23" spans="1:5" x14ac:dyDescent="0.25">
      <c r="A23" s="38" t="s">
        <v>16</v>
      </c>
      <c r="B23" s="38" t="s">
        <v>118</v>
      </c>
      <c r="C23" s="38" t="s">
        <v>187</v>
      </c>
      <c r="D23" s="7" t="s">
        <v>269</v>
      </c>
      <c r="E23" s="7" t="s">
        <v>269</v>
      </c>
    </row>
    <row r="24" spans="1:5" x14ac:dyDescent="0.25">
      <c r="A24" s="133" t="s">
        <v>63</v>
      </c>
      <c r="B24" s="133" t="s">
        <v>122</v>
      </c>
      <c r="C24" s="134" t="s">
        <v>187</v>
      </c>
      <c r="D24" s="7" t="s">
        <v>269</v>
      </c>
      <c r="E24" s="7" t="s">
        <v>269</v>
      </c>
    </row>
    <row r="25" spans="1:5" x14ac:dyDescent="0.25">
      <c r="A25" s="38" t="s">
        <v>16</v>
      </c>
      <c r="B25" s="38" t="s">
        <v>127</v>
      </c>
      <c r="C25" s="38" t="s">
        <v>187</v>
      </c>
      <c r="D25" s="7" t="s">
        <v>269</v>
      </c>
      <c r="E25" s="7" t="s">
        <v>269</v>
      </c>
    </row>
    <row r="26" spans="1:5" x14ac:dyDescent="0.25">
      <c r="A26" s="134" t="s">
        <v>16</v>
      </c>
      <c r="B26" s="134" t="s">
        <v>132</v>
      </c>
      <c r="C26" s="134" t="s">
        <v>187</v>
      </c>
      <c r="D26" s="7"/>
      <c r="E26" s="7"/>
    </row>
    <row r="27" spans="1:5" x14ac:dyDescent="0.25">
      <c r="A27" s="38" t="s">
        <v>16</v>
      </c>
      <c r="B27" s="38" t="s">
        <v>137</v>
      </c>
      <c r="C27" s="38" t="s">
        <v>187</v>
      </c>
      <c r="D27" s="7" t="s">
        <v>269</v>
      </c>
      <c r="E27" s="7" t="s">
        <v>269</v>
      </c>
    </row>
    <row r="28" spans="1:5" x14ac:dyDescent="0.25">
      <c r="A28" s="134" t="s">
        <v>16</v>
      </c>
      <c r="B28" s="134" t="s">
        <v>142</v>
      </c>
      <c r="C28" s="134" t="s">
        <v>186</v>
      </c>
      <c r="D28" s="7"/>
      <c r="E28" s="7" t="s">
        <v>268</v>
      </c>
    </row>
    <row r="29" spans="1:5" x14ac:dyDescent="0.25">
      <c r="A29" s="38" t="s">
        <v>63</v>
      </c>
      <c r="B29" s="38" t="s">
        <v>147</v>
      </c>
      <c r="C29" s="38" t="s">
        <v>201</v>
      </c>
      <c r="D29" s="7" t="s">
        <v>201</v>
      </c>
      <c r="E29" s="7" t="s">
        <v>201</v>
      </c>
    </row>
    <row r="30" spans="1:5" x14ac:dyDescent="0.25">
      <c r="A30" s="134" t="s">
        <v>16</v>
      </c>
      <c r="B30" s="134" t="s">
        <v>152</v>
      </c>
      <c r="C30" s="134" t="s">
        <v>186</v>
      </c>
      <c r="D30" s="7" t="s">
        <v>268</v>
      </c>
      <c r="E30" s="7"/>
    </row>
    <row r="31" spans="1:5" x14ac:dyDescent="0.25">
      <c r="A31" s="38" t="s">
        <v>16</v>
      </c>
      <c r="B31" s="38" t="s">
        <v>157</v>
      </c>
      <c r="C31" s="38" t="s">
        <v>186</v>
      </c>
      <c r="D31" s="135" t="s">
        <v>268</v>
      </c>
      <c r="E31" s="135" t="s">
        <v>268</v>
      </c>
    </row>
    <row r="32" spans="1:5" x14ac:dyDescent="0.25">
      <c r="A32" s="134" t="s">
        <v>16</v>
      </c>
      <c r="B32" s="134" t="s">
        <v>162</v>
      </c>
      <c r="C32" s="134" t="s">
        <v>186</v>
      </c>
      <c r="D32" s="7" t="s">
        <v>268</v>
      </c>
      <c r="E32" s="134" t="s">
        <v>268</v>
      </c>
    </row>
    <row r="33" spans="1:5" x14ac:dyDescent="0.25">
      <c r="A33" s="38" t="s">
        <v>16</v>
      </c>
      <c r="B33" s="38" t="s">
        <v>167</v>
      </c>
      <c r="C33" s="38" t="s">
        <v>186</v>
      </c>
      <c r="D33" s="7"/>
      <c r="E33" s="135" t="s">
        <v>268</v>
      </c>
    </row>
    <row r="34" spans="1:5" x14ac:dyDescent="0.25">
      <c r="A34" s="134" t="s">
        <v>63</v>
      </c>
      <c r="B34" s="134" t="s">
        <v>171</v>
      </c>
      <c r="C34" s="134" t="s">
        <v>201</v>
      </c>
      <c r="D34" s="7" t="s">
        <v>201</v>
      </c>
      <c r="E34" s="7" t="s">
        <v>201</v>
      </c>
    </row>
    <row r="35" spans="1:5" x14ac:dyDescent="0.25">
      <c r="A35" s="38" t="s">
        <v>16</v>
      </c>
      <c r="B35" s="38" t="s">
        <v>176</v>
      </c>
      <c r="C35" s="38" t="s">
        <v>187</v>
      </c>
      <c r="D35" s="135" t="s">
        <v>269</v>
      </c>
      <c r="E35" s="135" t="s">
        <v>269</v>
      </c>
    </row>
    <row r="36" spans="1:5" x14ac:dyDescent="0.25">
      <c r="A36" s="136" t="s">
        <v>16</v>
      </c>
      <c r="B36" s="136" t="s">
        <v>185</v>
      </c>
      <c r="C36" s="137" t="s">
        <v>186</v>
      </c>
      <c r="D36" s="8" t="s">
        <v>268</v>
      </c>
      <c r="E36" s="8" t="s">
        <v>269</v>
      </c>
    </row>
    <row r="38" spans="1:5" x14ac:dyDescent="0.25">
      <c r="A38" s="15">
        <f>COUNTA(Tableau4[TITRE])</f>
        <v>33</v>
      </c>
      <c r="B38" s="140" t="s">
        <v>243</v>
      </c>
      <c r="C38" s="15">
        <f>COUNTIF(C4:C36,"Oui")</f>
        <v>13</v>
      </c>
      <c r="D38" s="15">
        <f>COUNTIF(D4:D36,"X")</f>
        <v>11</v>
      </c>
      <c r="E38" s="15">
        <f>COUNTIF(E3:E36,"X")</f>
        <v>7</v>
      </c>
    </row>
    <row r="39" spans="1:5" x14ac:dyDescent="0.25">
      <c r="B39" s="140" t="s">
        <v>244</v>
      </c>
      <c r="C39" s="15">
        <f>COUNTIF(C4:C36,"Non")</f>
        <v>15</v>
      </c>
    </row>
    <row r="40" spans="1:5" x14ac:dyDescent="0.25">
      <c r="B40" s="210" t="s">
        <v>270</v>
      </c>
      <c r="C40" s="210"/>
      <c r="D40" s="15">
        <f>COUNTIFS(D4:D36,"X",E4:E36,"X")</f>
        <v>4</v>
      </c>
    </row>
  </sheetData>
  <mergeCells count="1">
    <mergeCell ref="B40:C40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31"/>
  <sheetViews>
    <sheetView workbookViewId="0">
      <selection activeCell="J18" sqref="J18"/>
    </sheetView>
  </sheetViews>
  <sheetFormatPr baseColWidth="10" defaultRowHeight="15" x14ac:dyDescent="0.25"/>
  <cols>
    <col min="3" max="3" width="15.28515625" bestFit="1" customWidth="1"/>
    <col min="4" max="4" width="3" customWidth="1"/>
    <col min="6" max="6" width="15.28515625" bestFit="1" customWidth="1"/>
    <col min="7" max="7" width="3.28515625" customWidth="1"/>
  </cols>
  <sheetData>
    <row r="2" spans="1:7" x14ac:dyDescent="0.25">
      <c r="B2" s="68">
        <v>2017</v>
      </c>
      <c r="F2" s="68">
        <v>2018</v>
      </c>
    </row>
    <row r="3" spans="1:7" x14ac:dyDescent="0.25">
      <c r="A3" s="15"/>
    </row>
    <row r="4" spans="1:7" x14ac:dyDescent="0.25">
      <c r="A4" s="1" t="s">
        <v>181</v>
      </c>
      <c r="B4" s="197"/>
      <c r="C4" s="27">
        <f>COUNTA('2017'!C3:C33)</f>
        <v>31</v>
      </c>
      <c r="D4" s="178"/>
      <c r="E4" s="211" t="s">
        <v>181</v>
      </c>
      <c r="F4" s="212"/>
      <c r="G4" s="172">
        <f>COUNTA('2018'!F16:F46)</f>
        <v>31</v>
      </c>
    </row>
    <row r="5" spans="1:7" x14ac:dyDescent="0.25">
      <c r="A5" s="7"/>
      <c r="B5" s="5"/>
      <c r="C5" s="5"/>
      <c r="D5" s="179"/>
      <c r="E5" s="38"/>
      <c r="F5" s="5"/>
      <c r="G5" s="173"/>
    </row>
    <row r="6" spans="1:7" x14ac:dyDescent="0.25">
      <c r="A6" s="7" t="s">
        <v>214</v>
      </c>
      <c r="B6" s="7">
        <f>COUNTIF('2017'!F3:F33,"44*")</f>
        <v>11</v>
      </c>
      <c r="C6" s="5" t="s">
        <v>229</v>
      </c>
      <c r="D6" s="179"/>
      <c r="E6" s="38">
        <f>COUNTIF('2018'!F16:F46,"44*")</f>
        <v>10</v>
      </c>
      <c r="F6" s="5" t="s">
        <v>229</v>
      </c>
      <c r="G6" s="174"/>
    </row>
    <row r="7" spans="1:7" x14ac:dyDescent="0.25">
      <c r="A7" s="7" t="s">
        <v>217</v>
      </c>
      <c r="B7" s="121">
        <f>COUNTIF('2017'!F3:F33,"50*")</f>
        <v>5</v>
      </c>
      <c r="C7" s="5" t="s">
        <v>230</v>
      </c>
      <c r="D7" s="179"/>
      <c r="E7" s="38">
        <f>COUNTIF('2018'!F16:F46,"50*")</f>
        <v>5</v>
      </c>
      <c r="F7" s="5" t="s">
        <v>230</v>
      </c>
      <c r="G7" s="174"/>
    </row>
    <row r="8" spans="1:7" x14ac:dyDescent="0.25">
      <c r="A8" s="7" t="s">
        <v>218</v>
      </c>
      <c r="B8" s="7">
        <f>COUNTIF('2017'!F3:F33,"60*")</f>
        <v>2</v>
      </c>
      <c r="C8" s="5" t="s">
        <v>231</v>
      </c>
      <c r="D8" s="179"/>
      <c r="E8" s="38">
        <f>COUNTIF('2018'!F16:F46,"60*")</f>
        <v>2</v>
      </c>
      <c r="F8" s="5" t="s">
        <v>231</v>
      </c>
      <c r="G8" s="174"/>
    </row>
    <row r="9" spans="1:7" x14ac:dyDescent="0.25">
      <c r="A9" s="7" t="s">
        <v>220</v>
      </c>
      <c r="B9" s="7">
        <f>COUNTIF('2017'!F3:F33,"61*")</f>
        <v>2</v>
      </c>
      <c r="C9" s="122" t="s">
        <v>232</v>
      </c>
      <c r="D9" s="180"/>
      <c r="E9" s="38">
        <f>COUNTIF('2018'!F16:F46,"61*")</f>
        <v>2</v>
      </c>
      <c r="F9" s="122" t="s">
        <v>232</v>
      </c>
      <c r="G9" s="174"/>
    </row>
    <row r="10" spans="1:7" x14ac:dyDescent="0.25">
      <c r="A10" s="7" t="s">
        <v>221</v>
      </c>
      <c r="B10" s="7">
        <f>COUNTIF('2017'!F1:F30,"68*")</f>
        <v>3</v>
      </c>
      <c r="C10" s="5" t="s">
        <v>238</v>
      </c>
      <c r="D10" s="179"/>
      <c r="E10" s="38">
        <f>COUNTIF('2018'!F16:F46,"68*")</f>
        <v>3</v>
      </c>
      <c r="F10" s="5" t="s">
        <v>238</v>
      </c>
      <c r="G10" s="174"/>
    </row>
    <row r="11" spans="1:7" x14ac:dyDescent="0.25">
      <c r="A11" s="7" t="s">
        <v>222</v>
      </c>
      <c r="B11" s="7">
        <f>COUNTIF('2017'!F3:F33,"56*")</f>
        <v>2</v>
      </c>
      <c r="C11" s="5" t="s">
        <v>236</v>
      </c>
      <c r="D11" s="179"/>
      <c r="E11" s="38">
        <f>COUNTIF('2018'!F16:F46,"56*")</f>
        <v>3</v>
      </c>
      <c r="F11" s="5" t="s">
        <v>236</v>
      </c>
      <c r="G11" s="174"/>
    </row>
    <row r="12" spans="1:7" x14ac:dyDescent="0.25">
      <c r="A12" s="7" t="s">
        <v>215</v>
      </c>
      <c r="B12" s="7">
        <f>COUNTIF('2017'!F3:F33,"35*")</f>
        <v>1</v>
      </c>
      <c r="C12" s="5" t="s">
        <v>237</v>
      </c>
      <c r="D12" s="179"/>
      <c r="E12" s="38">
        <f>COUNTIF('2018'!F16:F46,"35*")</f>
        <v>1</v>
      </c>
      <c r="F12" s="5" t="s">
        <v>237</v>
      </c>
      <c r="G12" s="174"/>
    </row>
    <row r="13" spans="1:7" x14ac:dyDescent="0.25">
      <c r="A13" s="7" t="s">
        <v>216</v>
      </c>
      <c r="B13" s="7">
        <f>COUNTIF('2017'!F3:F33,"14*")</f>
        <v>1</v>
      </c>
      <c r="C13" s="5" t="s">
        <v>233</v>
      </c>
      <c r="D13" s="179"/>
      <c r="E13" s="38">
        <f>COUNTIF('2018'!F16:F46,"14*")</f>
        <v>1</v>
      </c>
      <c r="F13" s="5" t="s">
        <v>233</v>
      </c>
      <c r="G13" s="174"/>
    </row>
    <row r="14" spans="1:7" x14ac:dyDescent="0.25">
      <c r="A14" s="7" t="s">
        <v>219</v>
      </c>
      <c r="B14" s="7">
        <f>COUNTIF('2017'!F3:F33,"29*")</f>
        <v>1</v>
      </c>
      <c r="C14" s="5" t="s">
        <v>234</v>
      </c>
      <c r="D14" s="179"/>
      <c r="E14" s="38">
        <f>COUNTIF('2018'!F16:F46,"29*")</f>
        <v>1</v>
      </c>
      <c r="F14" s="5" t="s">
        <v>234</v>
      </c>
      <c r="G14" s="174"/>
    </row>
    <row r="15" spans="1:7" x14ac:dyDescent="0.25">
      <c r="A15" s="7" t="s">
        <v>223</v>
      </c>
      <c r="B15" s="7">
        <f>COUNTIF('2017'!F3:F33,"75*")</f>
        <v>1</v>
      </c>
      <c r="C15" s="5" t="s">
        <v>208</v>
      </c>
      <c r="D15" s="179"/>
      <c r="E15" s="38">
        <f>COUNTIF('2018'!F16:F46,"75*")</f>
        <v>1</v>
      </c>
      <c r="F15" s="5" t="s">
        <v>208</v>
      </c>
      <c r="G15" s="174"/>
    </row>
    <row r="16" spans="1:7" x14ac:dyDescent="0.25">
      <c r="A16" s="7" t="s">
        <v>227</v>
      </c>
      <c r="B16" s="7">
        <f>COUNTIF('2017'!F3:F33,"25*")</f>
        <v>1</v>
      </c>
      <c r="C16" s="5" t="s">
        <v>239</v>
      </c>
      <c r="D16" s="179"/>
      <c r="E16" s="38">
        <f>COUNTIF('2018'!F16:F46,"25*")</f>
        <v>1</v>
      </c>
      <c r="F16" s="5" t="s">
        <v>239</v>
      </c>
      <c r="G16" s="174"/>
    </row>
    <row r="17" spans="1:7" x14ac:dyDescent="0.25">
      <c r="A17" s="7" t="s">
        <v>226</v>
      </c>
      <c r="B17" s="7">
        <f>COUNTIF('2017'!F3:F33,"22*")</f>
        <v>0</v>
      </c>
      <c r="C17" s="5" t="s">
        <v>240</v>
      </c>
      <c r="D17" s="179"/>
      <c r="E17" s="38">
        <f>COUNTIF('2018'!F16:F46,"22*")</f>
        <v>0</v>
      </c>
      <c r="F17" s="5" t="s">
        <v>240</v>
      </c>
      <c r="G17" s="174"/>
    </row>
    <row r="18" spans="1:7" x14ac:dyDescent="0.25">
      <c r="A18" s="7" t="s">
        <v>228</v>
      </c>
      <c r="B18" s="7">
        <f>COUNTIF('2017'!F3:F33,"51*")</f>
        <v>1</v>
      </c>
      <c r="C18" s="5" t="s">
        <v>235</v>
      </c>
      <c r="D18" s="179"/>
      <c r="E18" s="38">
        <f>COUNTIF('2018'!F16:F46,"51*")</f>
        <v>1</v>
      </c>
      <c r="F18" s="5" t="s">
        <v>235</v>
      </c>
      <c r="G18" s="175"/>
    </row>
    <row r="19" spans="1:7" x14ac:dyDescent="0.25">
      <c r="A19" s="24"/>
      <c r="B19" s="15"/>
    </row>
    <row r="20" spans="1:7" x14ac:dyDescent="0.25">
      <c r="A20" s="24">
        <f>COUNTA(A6:A18)</f>
        <v>13</v>
      </c>
      <c r="B20" s="15">
        <f>SUM(B6:B19)</f>
        <v>31</v>
      </c>
      <c r="E20" s="68">
        <f>COUNTIF(E6:E18,"&gt;=1")</f>
        <v>12</v>
      </c>
    </row>
    <row r="21" spans="1:7" x14ac:dyDescent="0.25">
      <c r="A21" s="15"/>
    </row>
    <row r="22" spans="1:7" x14ac:dyDescent="0.25">
      <c r="A22" s="111"/>
      <c r="B22" s="111"/>
      <c r="C22" s="24"/>
      <c r="D22" s="24"/>
    </row>
    <row r="23" spans="1:7" x14ac:dyDescent="0.25">
      <c r="A23" s="111"/>
      <c r="B23" s="111"/>
      <c r="C23" s="100"/>
      <c r="D23" s="100"/>
    </row>
    <row r="24" spans="1:7" x14ac:dyDescent="0.25">
      <c r="A24" s="111"/>
      <c r="B24" s="111"/>
      <c r="C24" s="100"/>
      <c r="D24" s="100"/>
    </row>
    <row r="25" spans="1:7" x14ac:dyDescent="0.25">
      <c r="A25" s="111"/>
      <c r="B25" s="111"/>
      <c r="C25" s="176"/>
      <c r="D25" s="176"/>
    </row>
    <row r="26" spans="1:7" x14ac:dyDescent="0.25">
      <c r="A26" s="111"/>
      <c r="B26" s="111"/>
      <c r="C26" s="100"/>
      <c r="D26" s="100"/>
    </row>
    <row r="27" spans="1:7" x14ac:dyDescent="0.25">
      <c r="A27" s="111"/>
      <c r="B27" s="111"/>
      <c r="C27" s="176"/>
      <c r="D27" s="176"/>
    </row>
    <row r="28" spans="1:7" x14ac:dyDescent="0.25">
      <c r="A28" s="111"/>
      <c r="B28" s="111"/>
      <c r="C28" s="100"/>
      <c r="D28" s="100"/>
    </row>
    <row r="29" spans="1:7" x14ac:dyDescent="0.25">
      <c r="A29" s="111"/>
      <c r="B29" s="111"/>
      <c r="C29" s="100"/>
      <c r="D29" s="100"/>
    </row>
    <row r="30" spans="1:7" x14ac:dyDescent="0.25">
      <c r="A30" s="111"/>
      <c r="B30" s="111"/>
      <c r="C30" s="176"/>
      <c r="D30" s="176"/>
    </row>
    <row r="31" spans="1:7" x14ac:dyDescent="0.25">
      <c r="A31" s="111"/>
      <c r="B31" s="111"/>
      <c r="C31" s="111"/>
      <c r="D31" s="111"/>
    </row>
  </sheetData>
  <mergeCells count="2">
    <mergeCell ref="A4:B4"/>
    <mergeCell ref="E4:F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3:H10"/>
  <sheetViews>
    <sheetView workbookViewId="0">
      <selection activeCell="B28" sqref="B28"/>
    </sheetView>
  </sheetViews>
  <sheetFormatPr baseColWidth="10" defaultRowHeight="15" x14ac:dyDescent="0.25"/>
  <cols>
    <col min="1" max="1" width="11.5703125" bestFit="1" customWidth="1"/>
    <col min="2" max="2" width="4.5703125" bestFit="1" customWidth="1"/>
    <col min="3" max="3" width="14.5703125" bestFit="1" customWidth="1"/>
    <col min="4" max="4" width="14.28515625" bestFit="1" customWidth="1"/>
    <col min="5" max="5" width="33.5703125" bestFit="1" customWidth="1"/>
    <col min="6" max="6" width="8.42578125" bestFit="1" customWidth="1"/>
    <col min="7" max="7" width="29.85546875" bestFit="1" customWidth="1"/>
    <col min="8" max="8" width="18" style="145" bestFit="1" customWidth="1"/>
  </cols>
  <sheetData>
    <row r="3" spans="1:8" ht="18.75" x14ac:dyDescent="0.3">
      <c r="A3" s="143"/>
      <c r="B3" s="143"/>
      <c r="C3" s="143"/>
      <c r="D3" s="143"/>
      <c r="E3" s="143"/>
      <c r="F3" s="143"/>
      <c r="G3" s="143"/>
      <c r="H3" s="144"/>
    </row>
    <row r="4" spans="1:8" ht="18.75" x14ac:dyDescent="0.3">
      <c r="A4" s="143">
        <v>16</v>
      </c>
      <c r="B4" s="143" t="s">
        <v>16</v>
      </c>
      <c r="C4" s="143" t="s">
        <v>58</v>
      </c>
      <c r="D4" s="143" t="s">
        <v>59</v>
      </c>
      <c r="E4" s="143" t="s">
        <v>60</v>
      </c>
      <c r="F4" s="143" t="s">
        <v>61</v>
      </c>
      <c r="G4" s="143" t="s">
        <v>62</v>
      </c>
      <c r="H4" s="144">
        <v>240869588</v>
      </c>
    </row>
    <row r="5" spans="1:8" ht="18.75" x14ac:dyDescent="0.3">
      <c r="A5" s="143">
        <v>27</v>
      </c>
      <c r="B5" s="143" t="s">
        <v>16</v>
      </c>
      <c r="C5" s="143" t="s">
        <v>73</v>
      </c>
      <c r="D5" s="143" t="s">
        <v>74</v>
      </c>
      <c r="E5" s="143" t="s">
        <v>75</v>
      </c>
      <c r="F5" s="143" t="s">
        <v>76</v>
      </c>
      <c r="G5" s="143" t="s">
        <v>77</v>
      </c>
      <c r="H5" s="144">
        <v>240217566</v>
      </c>
    </row>
    <row r="6" spans="1:8" ht="18.75" x14ac:dyDescent="0.3">
      <c r="A6" s="143">
        <v>58</v>
      </c>
      <c r="B6" s="143" t="s">
        <v>16</v>
      </c>
      <c r="C6" s="143" t="s">
        <v>142</v>
      </c>
      <c r="D6" s="143" t="s">
        <v>143</v>
      </c>
      <c r="E6" s="143" t="s">
        <v>144</v>
      </c>
      <c r="F6" s="143" t="s">
        <v>145</v>
      </c>
      <c r="G6" s="143" t="s">
        <v>146</v>
      </c>
      <c r="H6" s="144">
        <v>240010338</v>
      </c>
    </row>
    <row r="7" spans="1:8" ht="18.75" x14ac:dyDescent="0.3">
      <c r="A7" s="143">
        <v>62</v>
      </c>
      <c r="B7" s="143" t="s">
        <v>16</v>
      </c>
      <c r="C7" s="143" t="s">
        <v>152</v>
      </c>
      <c r="D7" s="143" t="s">
        <v>153</v>
      </c>
      <c r="E7" s="143" t="s">
        <v>154</v>
      </c>
      <c r="F7" s="143" t="s">
        <v>155</v>
      </c>
      <c r="G7" s="143" t="s">
        <v>156</v>
      </c>
      <c r="H7" s="144">
        <v>233319751</v>
      </c>
    </row>
    <row r="8" spans="1:8" ht="18.75" x14ac:dyDescent="0.3">
      <c r="A8" s="143">
        <v>64</v>
      </c>
      <c r="B8" s="143" t="s">
        <v>16</v>
      </c>
      <c r="C8" s="143" t="s">
        <v>157</v>
      </c>
      <c r="D8" s="143" t="s">
        <v>158</v>
      </c>
      <c r="E8" s="143" t="s">
        <v>159</v>
      </c>
      <c r="F8" s="143" t="s">
        <v>160</v>
      </c>
      <c r="G8" s="143" t="s">
        <v>161</v>
      </c>
      <c r="H8" s="144">
        <v>240915275</v>
      </c>
    </row>
    <row r="9" spans="1:8" ht="18.75" x14ac:dyDescent="0.3">
      <c r="A9" s="143">
        <v>69</v>
      </c>
      <c r="B9" s="143" t="s">
        <v>16</v>
      </c>
      <c r="C9" s="143" t="s">
        <v>162</v>
      </c>
      <c r="D9" s="143" t="s">
        <v>163</v>
      </c>
      <c r="E9" s="143" t="s">
        <v>164</v>
      </c>
      <c r="F9" s="143" t="s">
        <v>165</v>
      </c>
      <c r="G9" s="143" t="s">
        <v>166</v>
      </c>
      <c r="H9" s="144">
        <v>297751332</v>
      </c>
    </row>
    <row r="10" spans="1:8" ht="18.75" x14ac:dyDescent="0.3">
      <c r="A10" s="143">
        <v>78</v>
      </c>
      <c r="B10" s="143" t="s">
        <v>16</v>
      </c>
      <c r="C10" s="143" t="s">
        <v>185</v>
      </c>
      <c r="D10" s="143" t="s">
        <v>163</v>
      </c>
      <c r="E10" s="143" t="s">
        <v>178</v>
      </c>
      <c r="F10" s="143" t="s">
        <v>179</v>
      </c>
      <c r="G10" s="143" t="s">
        <v>180</v>
      </c>
      <c r="H10" s="144">
        <v>231627538</v>
      </c>
    </row>
  </sheetData>
  <pageMargins left="0.70866141732283472" right="0.70866141732283472" top="0.74803149606299213" bottom="0.74803149606299213" header="0.31496062992125984" footer="0.31496062992125984"/>
  <pageSetup paperSize="9" scale="97" orientation="landscape" r:id="rId1"/>
  <headerFooter>
    <oddHeader>&amp;C&amp;"-,Gras"&amp;16Membres du Bureau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2015</vt:lpstr>
      <vt:lpstr>2016</vt:lpstr>
      <vt:lpstr>2017</vt:lpstr>
      <vt:lpstr>2018</vt:lpstr>
      <vt:lpstr>Feuil1</vt:lpstr>
      <vt:lpstr>Gendarmerie</vt:lpstr>
      <vt:lpstr>Stat départements</vt:lpstr>
      <vt:lpstr>Membres Bureau</vt:lpstr>
      <vt:lpstr>'2018'!Criteres</vt:lpstr>
      <vt:lpstr>'2015'!Zone_d_impression</vt:lpstr>
      <vt:lpstr>'2016'!Zone_d_impression</vt:lpstr>
      <vt:lpstr>'2017'!Zone_d_impression</vt:lpstr>
      <vt:lpstr>'2018'!Zone_d_impression</vt:lpstr>
      <vt:lpstr>'Membres Bureau'!Zone_d_impression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Ophelie</dc:creator>
  <cp:lastModifiedBy>orguyrine</cp:lastModifiedBy>
  <cp:lastPrinted>2018-03-23T18:24:50Z</cp:lastPrinted>
  <dcterms:created xsi:type="dcterms:W3CDTF">2015-01-08T17:05:39Z</dcterms:created>
  <dcterms:modified xsi:type="dcterms:W3CDTF">2018-03-31T12:24:17Z</dcterms:modified>
</cp:coreProperties>
</file>