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C89F763B-B6D7-42D7-A6DE-8EE033B72917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imulateur Calculatrice Pos." sheetId="2" r:id="rId1"/>
    <sheet name="Simulateur Gains" sheetId="3" r:id="rId2"/>
    <sheet name="Paramètres" sheetId="4" r:id="rId3"/>
  </sheets>
  <externalReferences>
    <externalReference r:id="rId4"/>
    <externalReference r:id="rId5"/>
  </externalReferences>
  <definedNames>
    <definedName name="Action" localSheetId="0">#REF!</definedName>
    <definedName name="Action">[1]Options!$I$3:$I$7</definedName>
    <definedName name="Ecart">OFFSET([1]Hebdo!$H$20,,,COUNTA([1]Hebdo!$E:$E)-1)</definedName>
    <definedName name="Flat">OFFSET([1]Hebdo!$G$20,,,COUNTA([1]Hebdo!$E:$E)-1)</definedName>
    <definedName name="lsv" localSheetId="0">#REF!</definedName>
    <definedName name="lsv" localSheetId="1">#REF!</definedName>
    <definedName name="lsv">#REF!</definedName>
    <definedName name="Negatif">OFFSET([1]Hebdo!$I$20,,,COUNTA([1]Hebdo!$E:$E)-1)</definedName>
    <definedName name="Objectif">OFFSET([1]Hebdo!$K$20,,,COUNTA([1]Hebdo!$E:$E)-1)</definedName>
    <definedName name="Perte">OFFSET([1]Hebdo!$L$20,,,COUNTA([1]Hebdo!$E:$E)-1)</definedName>
    <definedName name="Points">OFFSET([1]Hebdo!$F$20,,,COUNTA([1]Hebdo!$E:$E)-1)</definedName>
    <definedName name="Positif">OFFSET([1]Hebdo!$J$20,,,COUNTA([1]Hebdo!$E:$E)-1)</definedName>
    <definedName name="rmv" localSheetId="0">#REF!</definedName>
    <definedName name="rmv" localSheetId="1">#REF!</definedName>
    <definedName name="rmv">#REF!</definedName>
    <definedName name="test">#REF!</definedName>
    <definedName name="Trade">OFFSET([1]Hebdo!$E$20,,,COUNTA([1]Hebdo!$E:$E)-1)</definedName>
    <definedName name="Unitésdetemps" localSheetId="0">#REF!</definedName>
    <definedName name="Unitésdetemps">[1]Options!$J$3:$J$9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7" i="4" l="1"/>
  <c r="N26" i="4"/>
  <c r="N25" i="4"/>
  <c r="N24" i="4"/>
  <c r="D7" i="4"/>
  <c r="B7" i="4"/>
  <c r="D6" i="4"/>
  <c r="B6" i="4"/>
  <c r="D5" i="4"/>
  <c r="B5" i="4"/>
  <c r="D4" i="4"/>
  <c r="B4" i="4"/>
  <c r="B12" i="4" s="1"/>
  <c r="D3" i="4"/>
  <c r="G421" i="3"/>
  <c r="G420" i="3"/>
  <c r="G419" i="3"/>
  <c r="G418" i="3"/>
  <c r="G417" i="3"/>
  <c r="G416" i="3"/>
  <c r="G415" i="3"/>
  <c r="G414" i="3"/>
  <c r="G413" i="3"/>
  <c r="G412" i="3"/>
  <c r="G411" i="3"/>
  <c r="G410" i="3"/>
  <c r="G409" i="3"/>
  <c r="G408" i="3"/>
  <c r="G407" i="3"/>
  <c r="G406" i="3"/>
  <c r="G405" i="3"/>
  <c r="G404" i="3"/>
  <c r="G403" i="3"/>
  <c r="G402" i="3"/>
  <c r="G401" i="3"/>
  <c r="G400" i="3"/>
  <c r="G399" i="3"/>
  <c r="G398" i="3"/>
  <c r="G397" i="3"/>
  <c r="G396" i="3"/>
  <c r="G395" i="3"/>
  <c r="G394" i="3"/>
  <c r="G393" i="3"/>
  <c r="G392" i="3"/>
  <c r="G391" i="3"/>
  <c r="G390" i="3"/>
  <c r="G389" i="3"/>
  <c r="G388" i="3"/>
  <c r="G387" i="3"/>
  <c r="G386" i="3"/>
  <c r="G385" i="3"/>
  <c r="G384" i="3"/>
  <c r="G383" i="3"/>
  <c r="G382" i="3"/>
  <c r="G381" i="3"/>
  <c r="G380" i="3"/>
  <c r="G379" i="3"/>
  <c r="G378" i="3"/>
  <c r="G377" i="3"/>
  <c r="G376" i="3"/>
  <c r="G375" i="3"/>
  <c r="G374" i="3"/>
  <c r="G373" i="3"/>
  <c r="G372" i="3"/>
  <c r="G371" i="3"/>
  <c r="G370" i="3"/>
  <c r="G369" i="3"/>
  <c r="G368" i="3"/>
  <c r="G367" i="3"/>
  <c r="G366" i="3"/>
  <c r="G365" i="3"/>
  <c r="G364" i="3"/>
  <c r="G363" i="3"/>
  <c r="G362" i="3"/>
  <c r="G361" i="3"/>
  <c r="G360" i="3"/>
  <c r="G359" i="3"/>
  <c r="G358" i="3"/>
  <c r="G357" i="3"/>
  <c r="G356" i="3"/>
  <c r="G355" i="3"/>
  <c r="G354" i="3"/>
  <c r="G353" i="3"/>
  <c r="G352" i="3"/>
  <c r="G351" i="3"/>
  <c r="G350" i="3"/>
  <c r="G349" i="3"/>
  <c r="G348" i="3"/>
  <c r="G347" i="3"/>
  <c r="G346" i="3"/>
  <c r="G345" i="3"/>
  <c r="G344" i="3"/>
  <c r="G343" i="3"/>
  <c r="G342" i="3"/>
  <c r="G341" i="3"/>
  <c r="G340" i="3"/>
  <c r="G339" i="3"/>
  <c r="G338" i="3"/>
  <c r="G337" i="3"/>
  <c r="G336" i="3"/>
  <c r="G335" i="3"/>
  <c r="G334" i="3"/>
  <c r="G333" i="3"/>
  <c r="G332" i="3"/>
  <c r="G331" i="3"/>
  <c r="G330" i="3"/>
  <c r="G329" i="3"/>
  <c r="G328" i="3"/>
  <c r="G327" i="3"/>
  <c r="G326" i="3"/>
  <c r="G325" i="3"/>
  <c r="G324" i="3"/>
  <c r="G323" i="3"/>
  <c r="G322" i="3"/>
  <c r="G321" i="3"/>
  <c r="G320" i="3"/>
  <c r="G319" i="3"/>
  <c r="G318" i="3"/>
  <c r="G317" i="3"/>
  <c r="G316" i="3"/>
  <c r="G315" i="3"/>
  <c r="G314" i="3"/>
  <c r="G313" i="3"/>
  <c r="G312" i="3"/>
  <c r="G311" i="3"/>
  <c r="G310" i="3"/>
  <c r="G309" i="3"/>
  <c r="G308" i="3"/>
  <c r="G307" i="3"/>
  <c r="G306" i="3"/>
  <c r="G305" i="3"/>
  <c r="G304" i="3"/>
  <c r="G303" i="3"/>
  <c r="G302" i="3"/>
  <c r="G301" i="3"/>
  <c r="G300" i="3"/>
  <c r="G299" i="3"/>
  <c r="G298" i="3"/>
  <c r="G297" i="3"/>
  <c r="G296" i="3"/>
  <c r="G295" i="3"/>
  <c r="G294" i="3"/>
  <c r="G293" i="3"/>
  <c r="G292" i="3"/>
  <c r="G291" i="3"/>
  <c r="G290" i="3"/>
  <c r="G289" i="3"/>
  <c r="G288" i="3"/>
  <c r="G287" i="3"/>
  <c r="G286" i="3"/>
  <c r="G285" i="3"/>
  <c r="G284" i="3"/>
  <c r="G283" i="3"/>
  <c r="G282" i="3"/>
  <c r="G281" i="3"/>
  <c r="G280" i="3"/>
  <c r="G279" i="3"/>
  <c r="G278" i="3"/>
  <c r="G277" i="3"/>
  <c r="G276" i="3"/>
  <c r="G275" i="3"/>
  <c r="G274" i="3"/>
  <c r="G273" i="3"/>
  <c r="G272" i="3"/>
  <c r="G271" i="3"/>
  <c r="G270" i="3"/>
  <c r="G269" i="3"/>
  <c r="G268" i="3"/>
  <c r="G267" i="3"/>
  <c r="G266" i="3"/>
  <c r="G265" i="3"/>
  <c r="G264" i="3"/>
  <c r="G263" i="3"/>
  <c r="G262" i="3"/>
  <c r="G261" i="3"/>
  <c r="G260" i="3"/>
  <c r="G259" i="3"/>
  <c r="G258" i="3"/>
  <c r="G257" i="3"/>
  <c r="G256" i="3"/>
  <c r="G255" i="3"/>
  <c r="G254" i="3"/>
  <c r="G253" i="3"/>
  <c r="G252" i="3"/>
  <c r="G251" i="3"/>
  <c r="G250" i="3"/>
  <c r="G249" i="3"/>
  <c r="G248" i="3"/>
  <c r="G247" i="3"/>
  <c r="G246" i="3"/>
  <c r="G245" i="3"/>
  <c r="G244" i="3"/>
  <c r="G243" i="3"/>
  <c r="G242" i="3"/>
  <c r="G241" i="3"/>
  <c r="G240" i="3"/>
  <c r="G239" i="3"/>
  <c r="G238" i="3"/>
  <c r="G237" i="3"/>
  <c r="G236" i="3"/>
  <c r="G235" i="3"/>
  <c r="G234" i="3"/>
  <c r="G233" i="3"/>
  <c r="G232" i="3"/>
  <c r="G231" i="3"/>
  <c r="G230" i="3"/>
  <c r="G229" i="3"/>
  <c r="G228" i="3"/>
  <c r="G227" i="3"/>
  <c r="G226" i="3"/>
  <c r="G225" i="3"/>
  <c r="G224" i="3"/>
  <c r="G223" i="3"/>
  <c r="G222" i="3"/>
  <c r="G221" i="3"/>
  <c r="G220" i="3"/>
  <c r="G219" i="3"/>
  <c r="G218" i="3"/>
  <c r="G217" i="3"/>
  <c r="G216" i="3"/>
  <c r="G215" i="3"/>
  <c r="G214" i="3"/>
  <c r="G213" i="3"/>
  <c r="G212" i="3"/>
  <c r="G211" i="3"/>
  <c r="G210" i="3"/>
  <c r="G209" i="3"/>
  <c r="G208" i="3"/>
  <c r="G207" i="3"/>
  <c r="G206" i="3"/>
  <c r="G205" i="3"/>
  <c r="G204" i="3"/>
  <c r="G203" i="3"/>
  <c r="G202" i="3"/>
  <c r="G201" i="3"/>
  <c r="G200" i="3"/>
  <c r="G199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F7" i="3"/>
  <c r="I7" i="3" s="1"/>
  <c r="E8" i="3"/>
  <c r="E9" i="3" s="1"/>
  <c r="E10" i="3" s="1"/>
  <c r="E11" i="3" s="1"/>
  <c r="E12" i="3" s="1"/>
  <c r="E13" i="3" s="1"/>
  <c r="E14" i="3" s="1"/>
  <c r="E15" i="3" s="1"/>
  <c r="E16" i="3" s="1"/>
  <c r="E17" i="3" s="1"/>
  <c r="E18" i="3" s="1"/>
  <c r="E19" i="3" s="1"/>
  <c r="E20" i="3" s="1"/>
  <c r="E21" i="3" s="1"/>
  <c r="E22" i="3" s="1"/>
  <c r="E23" i="3" s="1"/>
  <c r="E24" i="3" s="1"/>
  <c r="E25" i="3" s="1"/>
  <c r="D7" i="3"/>
  <c r="K7" i="3" s="1"/>
  <c r="E32" i="2"/>
  <c r="E24" i="2"/>
  <c r="E25" i="2" s="1"/>
  <c r="E29" i="2" s="1"/>
  <c r="E6" i="4" l="1"/>
  <c r="B13" i="4"/>
  <c r="B3" i="4"/>
  <c r="E3" i="4"/>
  <c r="E5" i="4"/>
  <c r="E4" i="4" s="1"/>
  <c r="E7" i="4"/>
  <c r="E26" i="3"/>
  <c r="D25" i="3"/>
  <c r="J7" i="3"/>
  <c r="D9" i="3"/>
  <c r="D11" i="3"/>
  <c r="D13" i="3"/>
  <c r="D15" i="3"/>
  <c r="D17" i="3"/>
  <c r="D19" i="3"/>
  <c r="D21" i="3"/>
  <c r="D23" i="3"/>
  <c r="D24" i="3"/>
  <c r="H7" i="3"/>
  <c r="D8" i="3"/>
  <c r="D10" i="3"/>
  <c r="D12" i="3"/>
  <c r="D14" i="3"/>
  <c r="D16" i="3"/>
  <c r="D18" i="3"/>
  <c r="D20" i="3"/>
  <c r="D22" i="3"/>
  <c r="E33" i="2"/>
  <c r="E34" i="2" s="1"/>
  <c r="E28" i="2"/>
  <c r="N55" i="4" l="1"/>
  <c r="N53" i="4"/>
  <c r="N51" i="4"/>
  <c r="N49" i="4"/>
  <c r="N47" i="4"/>
  <c r="N45" i="4"/>
  <c r="N43" i="4"/>
  <c r="N41" i="4"/>
  <c r="N39" i="4"/>
  <c r="N37" i="4"/>
  <c r="N35" i="4"/>
  <c r="N33" i="4"/>
  <c r="N31" i="4"/>
  <c r="N29" i="4"/>
  <c r="N17" i="4"/>
  <c r="N15" i="4"/>
  <c r="N12" i="4"/>
  <c r="N10" i="4"/>
  <c r="N8" i="4"/>
  <c r="L7" i="4"/>
  <c r="L6" i="4"/>
  <c r="N5" i="4"/>
  <c r="L4" i="4"/>
  <c r="N54" i="4"/>
  <c r="N52" i="4"/>
  <c r="N50" i="4"/>
  <c r="N48" i="4"/>
  <c r="N46" i="4"/>
  <c r="N44" i="4"/>
  <c r="N42" i="4"/>
  <c r="N40" i="4"/>
  <c r="N38" i="4"/>
  <c r="N36" i="4"/>
  <c r="N34" i="4"/>
  <c r="N32" i="4"/>
  <c r="N30" i="4"/>
  <c r="N28" i="4"/>
  <c r="N18" i="4"/>
  <c r="N16" i="4"/>
  <c r="N14" i="4"/>
  <c r="N13" i="4"/>
  <c r="N11" i="4"/>
  <c r="N9" i="4"/>
  <c r="N7" i="4"/>
  <c r="N6" i="4"/>
  <c r="L5" i="4"/>
  <c r="N4" i="4"/>
  <c r="L3" i="4"/>
  <c r="B10" i="4"/>
  <c r="B8" i="4"/>
  <c r="B11" i="4"/>
  <c r="B9" i="4"/>
  <c r="K16" i="3"/>
  <c r="J16" i="3"/>
  <c r="K8" i="3"/>
  <c r="J8" i="3"/>
  <c r="F8" i="3"/>
  <c r="K24" i="3"/>
  <c r="J24" i="3"/>
  <c r="K21" i="3"/>
  <c r="J21" i="3"/>
  <c r="K13" i="3"/>
  <c r="J13" i="3"/>
  <c r="K9" i="3"/>
  <c r="J9" i="3"/>
  <c r="K18" i="3"/>
  <c r="J18" i="3"/>
  <c r="K14" i="3"/>
  <c r="J14" i="3"/>
  <c r="K23" i="3"/>
  <c r="J23" i="3"/>
  <c r="K19" i="3"/>
  <c r="J19" i="3"/>
  <c r="K11" i="3"/>
  <c r="J11" i="3"/>
  <c r="E27" i="3"/>
  <c r="D26" i="3"/>
  <c r="H4" i="4" l="1"/>
  <c r="H3" i="4"/>
  <c r="K26" i="3"/>
  <c r="J26" i="3"/>
  <c r="I8" i="3"/>
  <c r="H8" i="3"/>
  <c r="F9" i="3" s="1"/>
  <c r="E28" i="3"/>
  <c r="D27" i="3"/>
  <c r="E29" i="3" l="1"/>
  <c r="D28" i="3"/>
  <c r="I9" i="3"/>
  <c r="H9" i="3"/>
  <c r="F10" i="3" s="1"/>
  <c r="K28" i="3" l="1"/>
  <c r="J28" i="3"/>
  <c r="I10" i="3"/>
  <c r="H10" i="3"/>
  <c r="K10" i="3"/>
  <c r="E30" i="3"/>
  <c r="D29" i="3"/>
  <c r="F11" i="3" l="1"/>
  <c r="I11" i="3" s="1"/>
  <c r="K29" i="3"/>
  <c r="J29" i="3"/>
  <c r="J10" i="3"/>
  <c r="E31" i="3"/>
  <c r="D30" i="3"/>
  <c r="H11" i="3" l="1"/>
  <c r="F12" i="3" s="1"/>
  <c r="I12" i="3" s="1"/>
  <c r="K12" i="3"/>
  <c r="J12" i="3"/>
  <c r="E32" i="3"/>
  <c r="D31" i="3"/>
  <c r="H12" i="3" l="1"/>
  <c r="F13" i="3" s="1"/>
  <c r="H13" i="3" s="1"/>
  <c r="F14" i="3" s="1"/>
  <c r="E33" i="3"/>
  <c r="D32" i="3"/>
  <c r="K31" i="3"/>
  <c r="J31" i="3"/>
  <c r="I13" i="3" l="1"/>
  <c r="I14" i="3"/>
  <c r="H14" i="3"/>
  <c r="F15" i="3" s="1"/>
  <c r="E34" i="3"/>
  <c r="D33" i="3"/>
  <c r="I15" i="3" l="1"/>
  <c r="H15" i="3"/>
  <c r="K15" i="3"/>
  <c r="J15" i="3" s="1"/>
  <c r="E35" i="3"/>
  <c r="D34" i="3"/>
  <c r="K33" i="3"/>
  <c r="J33" i="3"/>
  <c r="F16" i="3" l="1"/>
  <c r="I16" i="3" s="1"/>
  <c r="E36" i="3"/>
  <c r="D35" i="3"/>
  <c r="K34" i="3"/>
  <c r="J34" i="3"/>
  <c r="H16" i="3" l="1"/>
  <c r="F17" i="3" s="1"/>
  <c r="I17" i="3" s="1"/>
  <c r="K17" i="3"/>
  <c r="J17" i="3"/>
  <c r="E37" i="3"/>
  <c r="D36" i="3"/>
  <c r="H17" i="3" l="1"/>
  <c r="F18" i="3" s="1"/>
  <c r="I18" i="3" s="1"/>
  <c r="E38" i="3"/>
  <c r="D37" i="3"/>
  <c r="K36" i="3"/>
  <c r="J36" i="3"/>
  <c r="H18" i="3" l="1"/>
  <c r="F19" i="3" s="1"/>
  <c r="I19" i="3" s="1"/>
  <c r="E39" i="3"/>
  <c r="D38" i="3"/>
  <c r="H19" i="3" l="1"/>
  <c r="F20" i="3" s="1"/>
  <c r="I20" i="3" s="1"/>
  <c r="E40" i="3"/>
  <c r="D39" i="3"/>
  <c r="K38" i="3"/>
  <c r="J38" i="3"/>
  <c r="K20" i="3" l="1"/>
  <c r="H20" i="3"/>
  <c r="E41" i="3"/>
  <c r="D40" i="3"/>
  <c r="K39" i="3"/>
  <c r="J39" i="3"/>
  <c r="F21" i="3" l="1"/>
  <c r="H21" i="3" s="1"/>
  <c r="F22" i="3" s="1"/>
  <c r="J20" i="3"/>
  <c r="K22" i="3"/>
  <c r="J22" i="3"/>
  <c r="E42" i="3"/>
  <c r="D41" i="3"/>
  <c r="I22" i="3" l="1"/>
  <c r="H22" i="3"/>
  <c r="F23" i="3" s="1"/>
  <c r="H23" i="3" s="1"/>
  <c r="F24" i="3" s="1"/>
  <c r="I21" i="3"/>
  <c r="K41" i="3"/>
  <c r="J41" i="3"/>
  <c r="E43" i="3"/>
  <c r="D42" i="3"/>
  <c r="I23" i="3" l="1"/>
  <c r="I24" i="3"/>
  <c r="H24" i="3"/>
  <c r="F25" i="3" s="1"/>
  <c r="E44" i="3"/>
  <c r="D43" i="3"/>
  <c r="I25" i="3" l="1"/>
  <c r="H25" i="3"/>
  <c r="K25" i="3"/>
  <c r="J25" i="3" s="1"/>
  <c r="K43" i="3"/>
  <c r="J43" i="3"/>
  <c r="E45" i="3"/>
  <c r="D44" i="3"/>
  <c r="F26" i="3" l="1"/>
  <c r="I26" i="3" s="1"/>
  <c r="K44" i="3"/>
  <c r="J44" i="3"/>
  <c r="E46" i="3"/>
  <c r="D45" i="3"/>
  <c r="H26" i="3" l="1"/>
  <c r="F27" i="3" s="1"/>
  <c r="I27" i="3" s="1"/>
  <c r="K27" i="3"/>
  <c r="J27" i="3" s="1"/>
  <c r="E47" i="3"/>
  <c r="D46" i="3"/>
  <c r="H27" i="3" l="1"/>
  <c r="F28" i="3" s="1"/>
  <c r="I28" i="3" s="1"/>
  <c r="K46" i="3"/>
  <c r="J46" i="3"/>
  <c r="E48" i="3"/>
  <c r="D47" i="3"/>
  <c r="H28" i="3" l="1"/>
  <c r="F29" i="3" s="1"/>
  <c r="I29" i="3" s="1"/>
  <c r="E49" i="3"/>
  <c r="D48" i="3"/>
  <c r="H29" i="3" l="1"/>
  <c r="F30" i="3" s="1"/>
  <c r="I30" i="3" s="1"/>
  <c r="K48" i="3"/>
  <c r="J48" i="3"/>
  <c r="E50" i="3"/>
  <c r="D49" i="3"/>
  <c r="K30" i="3" l="1"/>
  <c r="J30" i="3" s="1"/>
  <c r="H30" i="3"/>
  <c r="K49" i="3"/>
  <c r="J49" i="3"/>
  <c r="E51" i="3"/>
  <c r="D50" i="3"/>
  <c r="F31" i="3" l="1"/>
  <c r="K32" i="3"/>
  <c r="J32" i="3" s="1"/>
  <c r="E52" i="3"/>
  <c r="D51" i="3"/>
  <c r="I31" i="3" l="1"/>
  <c r="H31" i="3"/>
  <c r="F32" i="3" s="1"/>
  <c r="K51" i="3"/>
  <c r="J51" i="3"/>
  <c r="E53" i="3"/>
  <c r="D52" i="3"/>
  <c r="I32" i="3" l="1"/>
  <c r="H32" i="3"/>
  <c r="F33" i="3" s="1"/>
  <c r="E54" i="3"/>
  <c r="D53" i="3"/>
  <c r="I33" i="3" l="1"/>
  <c r="H33" i="3"/>
  <c r="F34" i="3" s="1"/>
  <c r="K53" i="3"/>
  <c r="J53" i="3"/>
  <c r="E55" i="3"/>
  <c r="D54" i="3"/>
  <c r="I34" i="3" l="1"/>
  <c r="H34" i="3"/>
  <c r="F35" i="3" s="1"/>
  <c r="K54" i="3"/>
  <c r="J54" i="3"/>
  <c r="E56" i="3"/>
  <c r="D55" i="3"/>
  <c r="I35" i="3" l="1"/>
  <c r="H35" i="3"/>
  <c r="K35" i="3"/>
  <c r="J35" i="3" s="1"/>
  <c r="K37" i="3"/>
  <c r="J37" i="3" s="1"/>
  <c r="E57" i="3"/>
  <c r="D56" i="3"/>
  <c r="F36" i="3" l="1"/>
  <c r="K56" i="3"/>
  <c r="J56" i="3"/>
  <c r="E58" i="3"/>
  <c r="D57" i="3"/>
  <c r="I36" i="3" l="1"/>
  <c r="H36" i="3"/>
  <c r="F37" i="3" s="1"/>
  <c r="E59" i="3"/>
  <c r="D58" i="3"/>
  <c r="H37" i="3" l="1"/>
  <c r="F38" i="3" s="1"/>
  <c r="I37" i="3"/>
  <c r="K58" i="3"/>
  <c r="J58" i="3"/>
  <c r="E60" i="3"/>
  <c r="D59" i="3"/>
  <c r="I38" i="3" l="1"/>
  <c r="H38" i="3"/>
  <c r="F39" i="3" s="1"/>
  <c r="K59" i="3"/>
  <c r="J59" i="3"/>
  <c r="E61" i="3"/>
  <c r="D60" i="3"/>
  <c r="I39" i="3" l="1"/>
  <c r="H39" i="3"/>
  <c r="F40" i="3" s="1"/>
  <c r="K42" i="3"/>
  <c r="J42" i="3" s="1"/>
  <c r="E62" i="3"/>
  <c r="D61" i="3"/>
  <c r="I40" i="3" l="1"/>
  <c r="H40" i="3"/>
  <c r="K40" i="3"/>
  <c r="J40" i="3" s="1"/>
  <c r="K61" i="3"/>
  <c r="J61" i="3"/>
  <c r="E63" i="3"/>
  <c r="D62" i="3"/>
  <c r="F41" i="3" l="1"/>
  <c r="I41" i="3" s="1"/>
  <c r="E64" i="3"/>
  <c r="D63" i="3"/>
  <c r="H41" i="3" l="1"/>
  <c r="F42" i="3" s="1"/>
  <c r="I42" i="3" s="1"/>
  <c r="K63" i="3"/>
  <c r="J63" i="3"/>
  <c r="E65" i="3"/>
  <c r="D64" i="3"/>
  <c r="H42" i="3" l="1"/>
  <c r="F43" i="3" s="1"/>
  <c r="I43" i="3" s="1"/>
  <c r="K64" i="3"/>
  <c r="J64" i="3"/>
  <c r="E66" i="3"/>
  <c r="D65" i="3"/>
  <c r="H43" i="3" l="1"/>
  <c r="F44" i="3" s="1"/>
  <c r="I44" i="3" s="1"/>
  <c r="K47" i="3"/>
  <c r="J47" i="3"/>
  <c r="E67" i="3"/>
  <c r="D66" i="3"/>
  <c r="H44" i="3" l="1"/>
  <c r="F45" i="3" s="1"/>
  <c r="I45" i="3" s="1"/>
  <c r="K66" i="3"/>
  <c r="J66" i="3"/>
  <c r="E68" i="3"/>
  <c r="D67" i="3"/>
  <c r="K45" i="3" l="1"/>
  <c r="J45" i="3" s="1"/>
  <c r="H45" i="3"/>
  <c r="E69" i="3"/>
  <c r="D68" i="3"/>
  <c r="F46" i="3" l="1"/>
  <c r="I46" i="3" s="1"/>
  <c r="K68" i="3"/>
  <c r="J68" i="3"/>
  <c r="E70" i="3"/>
  <c r="D69" i="3"/>
  <c r="H46" i="3" l="1"/>
  <c r="F47" i="3" s="1"/>
  <c r="I47" i="3" s="1"/>
  <c r="K69" i="3"/>
  <c r="J69" i="3"/>
  <c r="E71" i="3"/>
  <c r="D70" i="3"/>
  <c r="H47" i="3" l="1"/>
  <c r="F48" i="3" s="1"/>
  <c r="K52" i="3"/>
  <c r="J52" i="3"/>
  <c r="E72" i="3"/>
  <c r="D71" i="3"/>
  <c r="H48" i="3" l="1"/>
  <c r="F49" i="3" s="1"/>
  <c r="I48" i="3"/>
  <c r="K71" i="3"/>
  <c r="J71" i="3"/>
  <c r="E73" i="3"/>
  <c r="D72" i="3"/>
  <c r="I49" i="3" l="1"/>
  <c r="H49" i="3"/>
  <c r="F50" i="3" s="1"/>
  <c r="E74" i="3"/>
  <c r="D73" i="3"/>
  <c r="I50" i="3" l="1"/>
  <c r="H50" i="3"/>
  <c r="K50" i="3"/>
  <c r="J50" i="3" s="1"/>
  <c r="K73" i="3"/>
  <c r="J73" i="3"/>
  <c r="E75" i="3"/>
  <c r="D74" i="3"/>
  <c r="F51" i="3" l="1"/>
  <c r="K74" i="3"/>
  <c r="J74" i="3"/>
  <c r="E76" i="3"/>
  <c r="D75" i="3"/>
  <c r="I51" i="3" l="1"/>
  <c r="H51" i="3"/>
  <c r="F52" i="3" s="1"/>
  <c r="K57" i="3"/>
  <c r="J57" i="3" s="1"/>
  <c r="E77" i="3"/>
  <c r="D76" i="3"/>
  <c r="H52" i="3" l="1"/>
  <c r="F53" i="3" s="1"/>
  <c r="I52" i="3"/>
  <c r="K76" i="3"/>
  <c r="J76" i="3"/>
  <c r="E78" i="3"/>
  <c r="D77" i="3"/>
  <c r="I53" i="3" l="1"/>
  <c r="H53" i="3"/>
  <c r="F54" i="3" s="1"/>
  <c r="E79" i="3"/>
  <c r="D78" i="3"/>
  <c r="I54" i="3" l="1"/>
  <c r="H54" i="3"/>
  <c r="F55" i="3" s="1"/>
  <c r="K78" i="3"/>
  <c r="J78" i="3"/>
  <c r="E80" i="3"/>
  <c r="D79" i="3"/>
  <c r="I55" i="3" l="1"/>
  <c r="H55" i="3"/>
  <c r="K55" i="3"/>
  <c r="J55" i="3" s="1"/>
  <c r="K79" i="3"/>
  <c r="J79" i="3"/>
  <c r="E81" i="3"/>
  <c r="D80" i="3"/>
  <c r="F56" i="3" l="1"/>
  <c r="H56" i="3" s="1"/>
  <c r="F57" i="3" s="1"/>
  <c r="K62" i="3"/>
  <c r="J62" i="3" s="1"/>
  <c r="E82" i="3"/>
  <c r="D81" i="3"/>
  <c r="I56" i="3" l="1"/>
  <c r="I57" i="3"/>
  <c r="H57" i="3"/>
  <c r="F58" i="3" s="1"/>
  <c r="K81" i="3"/>
  <c r="J81" i="3"/>
  <c r="E83" i="3"/>
  <c r="D82" i="3"/>
  <c r="I58" i="3" l="1"/>
  <c r="H58" i="3"/>
  <c r="F59" i="3" s="1"/>
  <c r="E84" i="3"/>
  <c r="D83" i="3"/>
  <c r="I59" i="3" l="1"/>
  <c r="H59" i="3"/>
  <c r="F60" i="3" s="1"/>
  <c r="K83" i="3"/>
  <c r="J83" i="3"/>
  <c r="E85" i="3"/>
  <c r="D84" i="3"/>
  <c r="I60" i="3" l="1"/>
  <c r="H60" i="3"/>
  <c r="K60" i="3"/>
  <c r="J60" i="3" s="1"/>
  <c r="K84" i="3"/>
  <c r="J84" i="3"/>
  <c r="E86" i="3"/>
  <c r="D85" i="3"/>
  <c r="F61" i="3" l="1"/>
  <c r="I61" i="3" s="1"/>
  <c r="K67" i="3"/>
  <c r="J67" i="3" s="1"/>
  <c r="E87" i="3"/>
  <c r="D86" i="3"/>
  <c r="H61" i="3" l="1"/>
  <c r="F62" i="3" s="1"/>
  <c r="I62" i="3" s="1"/>
  <c r="K86" i="3"/>
  <c r="J86" i="3"/>
  <c r="E88" i="3"/>
  <c r="D87" i="3"/>
  <c r="H62" i="3" l="1"/>
  <c r="F63" i="3" s="1"/>
  <c r="I63" i="3" s="1"/>
  <c r="E89" i="3"/>
  <c r="D88" i="3"/>
  <c r="H63" i="3" l="1"/>
  <c r="F64" i="3" s="1"/>
  <c r="I64" i="3" s="1"/>
  <c r="K88" i="3"/>
  <c r="J88" i="3"/>
  <c r="E90" i="3"/>
  <c r="D89" i="3"/>
  <c r="H64" i="3" l="1"/>
  <c r="F65" i="3" s="1"/>
  <c r="I65" i="3" s="1"/>
  <c r="K89" i="3"/>
  <c r="J89" i="3"/>
  <c r="E91" i="3"/>
  <c r="D90" i="3"/>
  <c r="K65" i="3" l="1"/>
  <c r="J65" i="3" s="1"/>
  <c r="H65" i="3"/>
  <c r="K72" i="3"/>
  <c r="J72" i="3" s="1"/>
  <c r="E92" i="3"/>
  <c r="D91" i="3"/>
  <c r="F66" i="3" l="1"/>
  <c r="H66" i="3" s="1"/>
  <c r="F67" i="3" s="1"/>
  <c r="H67" i="3" s="1"/>
  <c r="F68" i="3" s="1"/>
  <c r="K91" i="3"/>
  <c r="J91" i="3"/>
  <c r="E93" i="3"/>
  <c r="D92" i="3"/>
  <c r="I66" i="3" l="1"/>
  <c r="I67" i="3"/>
  <c r="H68" i="3"/>
  <c r="F69" i="3" s="1"/>
  <c r="I68" i="3"/>
  <c r="E94" i="3"/>
  <c r="D93" i="3"/>
  <c r="H69" i="3" l="1"/>
  <c r="F70" i="3" s="1"/>
  <c r="I69" i="3"/>
  <c r="K93" i="3"/>
  <c r="J93" i="3"/>
  <c r="E95" i="3"/>
  <c r="D94" i="3"/>
  <c r="I70" i="3" l="1"/>
  <c r="H70" i="3"/>
  <c r="K70" i="3"/>
  <c r="J70" i="3" s="1"/>
  <c r="K94" i="3"/>
  <c r="J94" i="3"/>
  <c r="E96" i="3"/>
  <c r="D95" i="3"/>
  <c r="F71" i="3" l="1"/>
  <c r="K77" i="3"/>
  <c r="J77" i="3"/>
  <c r="E97" i="3"/>
  <c r="D96" i="3"/>
  <c r="H71" i="3" l="1"/>
  <c r="F72" i="3" s="1"/>
  <c r="I71" i="3"/>
  <c r="K96" i="3"/>
  <c r="J96" i="3"/>
  <c r="E98" i="3"/>
  <c r="D97" i="3"/>
  <c r="I72" i="3" l="1"/>
  <c r="H72" i="3"/>
  <c r="F73" i="3" s="1"/>
  <c r="E99" i="3"/>
  <c r="D98" i="3"/>
  <c r="I73" i="3" l="1"/>
  <c r="H73" i="3"/>
  <c r="F74" i="3" s="1"/>
  <c r="K98" i="3"/>
  <c r="J98" i="3"/>
  <c r="E100" i="3"/>
  <c r="D99" i="3"/>
  <c r="I74" i="3" l="1"/>
  <c r="H74" i="3"/>
  <c r="F75" i="3" s="1"/>
  <c r="K99" i="3"/>
  <c r="J99" i="3"/>
  <c r="E101" i="3"/>
  <c r="D100" i="3"/>
  <c r="I75" i="3" l="1"/>
  <c r="H75" i="3"/>
  <c r="K75" i="3"/>
  <c r="J75" i="3" s="1"/>
  <c r="K82" i="3"/>
  <c r="J82" i="3" s="1"/>
  <c r="E102" i="3"/>
  <c r="D101" i="3"/>
  <c r="F76" i="3" l="1"/>
  <c r="I76" i="3" s="1"/>
  <c r="K101" i="3"/>
  <c r="J101" i="3"/>
  <c r="E103" i="3"/>
  <c r="D102" i="3"/>
  <c r="H76" i="3" l="1"/>
  <c r="F77" i="3" s="1"/>
  <c r="I77" i="3" s="1"/>
  <c r="E104" i="3"/>
  <c r="D103" i="3"/>
  <c r="H77" i="3" l="1"/>
  <c r="F78" i="3" s="1"/>
  <c r="I78" i="3" s="1"/>
  <c r="K103" i="3"/>
  <c r="J103" i="3"/>
  <c r="E105" i="3"/>
  <c r="D104" i="3"/>
  <c r="H78" i="3" l="1"/>
  <c r="F79" i="3" s="1"/>
  <c r="H79" i="3" s="1"/>
  <c r="F80" i="3" s="1"/>
  <c r="K104" i="3"/>
  <c r="J104" i="3"/>
  <c r="E106" i="3"/>
  <c r="D105" i="3"/>
  <c r="I79" i="3" l="1"/>
  <c r="I80" i="3"/>
  <c r="H80" i="3"/>
  <c r="K80" i="3"/>
  <c r="J80" i="3" s="1"/>
  <c r="K87" i="3"/>
  <c r="J87" i="3"/>
  <c r="E107" i="3"/>
  <c r="D106" i="3"/>
  <c r="F81" i="3" l="1"/>
  <c r="I81" i="3" s="1"/>
  <c r="K106" i="3"/>
  <c r="J106" i="3"/>
  <c r="E108" i="3"/>
  <c r="D107" i="3"/>
  <c r="H81" i="3" l="1"/>
  <c r="F82" i="3" s="1"/>
  <c r="I82" i="3" s="1"/>
  <c r="E109" i="3"/>
  <c r="D108" i="3"/>
  <c r="H82" i="3" l="1"/>
  <c r="F83" i="3" s="1"/>
  <c r="I83" i="3" s="1"/>
  <c r="K108" i="3"/>
  <c r="J108" i="3"/>
  <c r="E110" i="3"/>
  <c r="D109" i="3"/>
  <c r="H83" i="3" l="1"/>
  <c r="F84" i="3" s="1"/>
  <c r="H84" i="3" s="1"/>
  <c r="F85" i="3" s="1"/>
  <c r="K109" i="3"/>
  <c r="J109" i="3"/>
  <c r="E111" i="3"/>
  <c r="D110" i="3"/>
  <c r="I84" i="3" l="1"/>
  <c r="I85" i="3"/>
  <c r="H85" i="3"/>
  <c r="K85" i="3"/>
  <c r="J85" i="3" s="1"/>
  <c r="K92" i="3"/>
  <c r="J92" i="3" s="1"/>
  <c r="E112" i="3"/>
  <c r="D111" i="3"/>
  <c r="F86" i="3" l="1"/>
  <c r="I86" i="3" s="1"/>
  <c r="K111" i="3"/>
  <c r="J111" i="3"/>
  <c r="E113" i="3"/>
  <c r="D112" i="3"/>
  <c r="H86" i="3" l="1"/>
  <c r="F87" i="3" s="1"/>
  <c r="I87" i="3" s="1"/>
  <c r="E114" i="3"/>
  <c r="D113" i="3"/>
  <c r="H87" i="3" l="1"/>
  <c r="F88" i="3" s="1"/>
  <c r="I88" i="3" s="1"/>
  <c r="K113" i="3"/>
  <c r="J113" i="3"/>
  <c r="E115" i="3"/>
  <c r="D114" i="3"/>
  <c r="H88" i="3" l="1"/>
  <c r="F89" i="3" s="1"/>
  <c r="I89" i="3" s="1"/>
  <c r="K114" i="3"/>
  <c r="J114" i="3"/>
  <c r="E116" i="3"/>
  <c r="D115" i="3"/>
  <c r="H89" i="3" l="1"/>
  <c r="F90" i="3" s="1"/>
  <c r="I90" i="3" s="1"/>
  <c r="K97" i="3"/>
  <c r="J97" i="3"/>
  <c r="E117" i="3"/>
  <c r="D116" i="3"/>
  <c r="K90" i="3" l="1"/>
  <c r="J90" i="3" s="1"/>
  <c r="H90" i="3"/>
  <c r="K116" i="3"/>
  <c r="J116" i="3"/>
  <c r="E118" i="3"/>
  <c r="D117" i="3"/>
  <c r="F91" i="3" l="1"/>
  <c r="E119" i="3"/>
  <c r="D118" i="3"/>
  <c r="I91" i="3" l="1"/>
  <c r="H91" i="3"/>
  <c r="F92" i="3" s="1"/>
  <c r="K118" i="3"/>
  <c r="J118" i="3"/>
  <c r="E120" i="3"/>
  <c r="D119" i="3"/>
  <c r="H92" i="3" l="1"/>
  <c r="F93" i="3" s="1"/>
  <c r="I92" i="3"/>
  <c r="K119" i="3"/>
  <c r="J119" i="3"/>
  <c r="E121" i="3"/>
  <c r="D120" i="3"/>
  <c r="I93" i="3" l="1"/>
  <c r="H93" i="3"/>
  <c r="F94" i="3" s="1"/>
  <c r="K102" i="3"/>
  <c r="J102" i="3"/>
  <c r="E122" i="3"/>
  <c r="D121" i="3"/>
  <c r="I94" i="3" l="1"/>
  <c r="H94" i="3"/>
  <c r="F95" i="3" s="1"/>
  <c r="K121" i="3"/>
  <c r="J121" i="3"/>
  <c r="E123" i="3"/>
  <c r="D122" i="3"/>
  <c r="I95" i="3" l="1"/>
  <c r="H95" i="3"/>
  <c r="K95" i="3"/>
  <c r="J95" i="3" s="1"/>
  <c r="E124" i="3"/>
  <c r="D123" i="3"/>
  <c r="F96" i="3" l="1"/>
  <c r="K123" i="3"/>
  <c r="J123" i="3"/>
  <c r="E125" i="3"/>
  <c r="D124" i="3"/>
  <c r="I96" i="3" l="1"/>
  <c r="H96" i="3"/>
  <c r="F97" i="3" s="1"/>
  <c r="K124" i="3"/>
  <c r="J124" i="3"/>
  <c r="E126" i="3"/>
  <c r="D125" i="3"/>
  <c r="I97" i="3" l="1"/>
  <c r="H97" i="3"/>
  <c r="F98" i="3" s="1"/>
  <c r="K107" i="3"/>
  <c r="J107" i="3"/>
  <c r="E127" i="3"/>
  <c r="D126" i="3"/>
  <c r="I98" i="3" l="1"/>
  <c r="H98" i="3"/>
  <c r="F99" i="3" s="1"/>
  <c r="K126" i="3"/>
  <c r="J126" i="3"/>
  <c r="E128" i="3"/>
  <c r="D127" i="3"/>
  <c r="I99" i="3" l="1"/>
  <c r="H99" i="3"/>
  <c r="F100" i="3" s="1"/>
  <c r="E129" i="3"/>
  <c r="D128" i="3"/>
  <c r="I100" i="3" l="1"/>
  <c r="K100" i="3"/>
  <c r="J100" i="3" s="1"/>
  <c r="H100" i="3"/>
  <c r="K128" i="3"/>
  <c r="J128" i="3"/>
  <c r="E130" i="3"/>
  <c r="D129" i="3"/>
  <c r="F101" i="3" l="1"/>
  <c r="K129" i="3"/>
  <c r="J129" i="3"/>
  <c r="E131" i="3"/>
  <c r="D130" i="3"/>
  <c r="H101" i="3" l="1"/>
  <c r="F102" i="3" s="1"/>
  <c r="I101" i="3"/>
  <c r="K112" i="3"/>
  <c r="J112" i="3"/>
  <c r="E132" i="3"/>
  <c r="D131" i="3"/>
  <c r="I102" i="3" l="1"/>
  <c r="H102" i="3"/>
  <c r="F103" i="3" s="1"/>
  <c r="K131" i="3"/>
  <c r="J131" i="3"/>
  <c r="E133" i="3"/>
  <c r="D132" i="3"/>
  <c r="I103" i="3" l="1"/>
  <c r="H103" i="3"/>
  <c r="F104" i="3" s="1"/>
  <c r="E134" i="3"/>
  <c r="D133" i="3"/>
  <c r="H104" i="3" l="1"/>
  <c r="F105" i="3" s="1"/>
  <c r="I104" i="3"/>
  <c r="K133" i="3"/>
  <c r="J133" i="3"/>
  <c r="E135" i="3"/>
  <c r="D134" i="3"/>
  <c r="H105" i="3" l="1"/>
  <c r="K105" i="3"/>
  <c r="J105" i="3" s="1"/>
  <c r="I105" i="3"/>
  <c r="K134" i="3"/>
  <c r="J134" i="3"/>
  <c r="E136" i="3"/>
  <c r="D135" i="3"/>
  <c r="F106" i="3" l="1"/>
  <c r="K117" i="3"/>
  <c r="J117" i="3"/>
  <c r="E137" i="3"/>
  <c r="D136" i="3"/>
  <c r="H106" i="3" l="1"/>
  <c r="F107" i="3" s="1"/>
  <c r="I106" i="3"/>
  <c r="K136" i="3"/>
  <c r="J136" i="3"/>
  <c r="E138" i="3"/>
  <c r="D137" i="3"/>
  <c r="I107" i="3" l="1"/>
  <c r="H107" i="3"/>
  <c r="F108" i="3" s="1"/>
  <c r="E139" i="3"/>
  <c r="D138" i="3"/>
  <c r="I108" i="3" l="1"/>
  <c r="H108" i="3"/>
  <c r="F109" i="3" s="1"/>
  <c r="K138" i="3"/>
  <c r="J138" i="3"/>
  <c r="E140" i="3"/>
  <c r="D139" i="3"/>
  <c r="H109" i="3" l="1"/>
  <c r="F110" i="3" s="1"/>
  <c r="I109" i="3"/>
  <c r="K139" i="3"/>
  <c r="J139" i="3"/>
  <c r="E141" i="3"/>
  <c r="D140" i="3"/>
  <c r="H110" i="3" l="1"/>
  <c r="I110" i="3"/>
  <c r="K110" i="3"/>
  <c r="J110" i="3" s="1"/>
  <c r="K122" i="3"/>
  <c r="J122" i="3" s="1"/>
  <c r="E142" i="3"/>
  <c r="D141" i="3"/>
  <c r="F111" i="3" l="1"/>
  <c r="K141" i="3"/>
  <c r="J141" i="3"/>
  <c r="E143" i="3"/>
  <c r="D142" i="3"/>
  <c r="I111" i="3" l="1"/>
  <c r="H111" i="3"/>
  <c r="F112" i="3" s="1"/>
  <c r="E144" i="3"/>
  <c r="D143" i="3"/>
  <c r="H112" i="3" l="1"/>
  <c r="F113" i="3" s="1"/>
  <c r="I112" i="3"/>
  <c r="K143" i="3"/>
  <c r="J143" i="3"/>
  <c r="E145" i="3"/>
  <c r="D144" i="3"/>
  <c r="I113" i="3" l="1"/>
  <c r="H113" i="3"/>
  <c r="F114" i="3" s="1"/>
  <c r="K144" i="3"/>
  <c r="J144" i="3"/>
  <c r="E146" i="3"/>
  <c r="D145" i="3"/>
  <c r="H114" i="3" l="1"/>
  <c r="F115" i="3" s="1"/>
  <c r="I114" i="3"/>
  <c r="K127" i="3"/>
  <c r="J127" i="3"/>
  <c r="E147" i="3"/>
  <c r="D146" i="3"/>
  <c r="H115" i="3" l="1"/>
  <c r="I115" i="3"/>
  <c r="K115" i="3"/>
  <c r="J115" i="3" s="1"/>
  <c r="E148" i="3"/>
  <c r="D147" i="3"/>
  <c r="K146" i="3"/>
  <c r="J146" i="3"/>
  <c r="F116" i="3" l="1"/>
  <c r="E149" i="3"/>
  <c r="D148" i="3"/>
  <c r="I116" i="3" l="1"/>
  <c r="H116" i="3"/>
  <c r="F117" i="3" s="1"/>
  <c r="K148" i="3"/>
  <c r="J148" i="3"/>
  <c r="E150" i="3"/>
  <c r="D149" i="3"/>
  <c r="I117" i="3" l="1"/>
  <c r="H117" i="3"/>
  <c r="F118" i="3" s="1"/>
  <c r="E151" i="3"/>
  <c r="D150" i="3"/>
  <c r="K149" i="3"/>
  <c r="J149" i="3"/>
  <c r="H118" i="3" l="1"/>
  <c r="F119" i="3" s="1"/>
  <c r="I118" i="3"/>
  <c r="E152" i="3"/>
  <c r="D151" i="3"/>
  <c r="I119" i="3" l="1"/>
  <c r="H119" i="3"/>
  <c r="F120" i="3" s="1"/>
  <c r="K132" i="3"/>
  <c r="J132" i="3"/>
  <c r="K151" i="3"/>
  <c r="J151" i="3"/>
  <c r="E153" i="3"/>
  <c r="D152" i="3"/>
  <c r="H120" i="3" l="1"/>
  <c r="I120" i="3"/>
  <c r="K120" i="3"/>
  <c r="J120" i="3" s="1"/>
  <c r="E154" i="3"/>
  <c r="D153" i="3"/>
  <c r="F121" i="3" l="1"/>
  <c r="H121" i="3" s="1"/>
  <c r="F122" i="3" s="1"/>
  <c r="K153" i="3"/>
  <c r="J153" i="3"/>
  <c r="E155" i="3"/>
  <c r="D154" i="3"/>
  <c r="I121" i="3" l="1"/>
  <c r="I122" i="3"/>
  <c r="H122" i="3"/>
  <c r="F123" i="3" s="1"/>
  <c r="K154" i="3"/>
  <c r="J154" i="3"/>
  <c r="E156" i="3"/>
  <c r="D155" i="3"/>
  <c r="H123" i="3" l="1"/>
  <c r="F124" i="3" s="1"/>
  <c r="I123" i="3"/>
  <c r="E157" i="3"/>
  <c r="D156" i="3"/>
  <c r="H124" i="3" l="1"/>
  <c r="F125" i="3" s="1"/>
  <c r="I124" i="3"/>
  <c r="K137" i="3"/>
  <c r="J137" i="3"/>
  <c r="E158" i="3"/>
  <c r="D157" i="3"/>
  <c r="K156" i="3"/>
  <c r="J156" i="3"/>
  <c r="H125" i="3" l="1"/>
  <c r="I125" i="3"/>
  <c r="K125" i="3"/>
  <c r="J125" i="3" s="1"/>
  <c r="E159" i="3"/>
  <c r="D158" i="3"/>
  <c r="F126" i="3" l="1"/>
  <c r="E160" i="3"/>
  <c r="D159" i="3"/>
  <c r="K158" i="3"/>
  <c r="J158" i="3"/>
  <c r="I126" i="3" l="1"/>
  <c r="H126" i="3"/>
  <c r="F127" i="3" s="1"/>
  <c r="E161" i="3"/>
  <c r="D160" i="3"/>
  <c r="K159" i="3"/>
  <c r="J159" i="3"/>
  <c r="I127" i="3" l="1"/>
  <c r="H127" i="3"/>
  <c r="F128" i="3" s="1"/>
  <c r="E162" i="3"/>
  <c r="D161" i="3"/>
  <c r="H128" i="3" l="1"/>
  <c r="F129" i="3" s="1"/>
  <c r="I128" i="3"/>
  <c r="K142" i="3"/>
  <c r="J142" i="3"/>
  <c r="E163" i="3"/>
  <c r="D162" i="3"/>
  <c r="K161" i="3"/>
  <c r="J161" i="3"/>
  <c r="I129" i="3" l="1"/>
  <c r="H129" i="3"/>
  <c r="F130" i="3" s="1"/>
  <c r="E164" i="3"/>
  <c r="D163" i="3"/>
  <c r="H130" i="3" l="1"/>
  <c r="K130" i="3"/>
  <c r="J130" i="3" s="1"/>
  <c r="I130" i="3"/>
  <c r="K163" i="3"/>
  <c r="J163" i="3"/>
  <c r="E165" i="3"/>
  <c r="D164" i="3"/>
  <c r="F131" i="3" l="1"/>
  <c r="H131" i="3" s="1"/>
  <c r="F132" i="3" s="1"/>
  <c r="K164" i="3"/>
  <c r="J164" i="3"/>
  <c r="E166" i="3"/>
  <c r="D165" i="3"/>
  <c r="I131" i="3" l="1"/>
  <c r="H132" i="3"/>
  <c r="F133" i="3" s="1"/>
  <c r="I132" i="3"/>
  <c r="E167" i="3"/>
  <c r="D166" i="3"/>
  <c r="I133" i="3" l="1"/>
  <c r="H133" i="3"/>
  <c r="F134" i="3" s="1"/>
  <c r="K147" i="3"/>
  <c r="J147" i="3"/>
  <c r="E168" i="3"/>
  <c r="D167" i="3"/>
  <c r="K166" i="3"/>
  <c r="J166" i="3"/>
  <c r="I134" i="3" l="1"/>
  <c r="H134" i="3"/>
  <c r="F135" i="3" s="1"/>
  <c r="E169" i="3"/>
  <c r="D168" i="3"/>
  <c r="I135" i="3" l="1"/>
  <c r="H135" i="3"/>
  <c r="K135" i="3"/>
  <c r="J135" i="3" s="1"/>
  <c r="K168" i="3"/>
  <c r="J168" i="3"/>
  <c r="E170" i="3"/>
  <c r="D169" i="3"/>
  <c r="F136" i="3" l="1"/>
  <c r="K169" i="3"/>
  <c r="J169" i="3"/>
  <c r="E171" i="3"/>
  <c r="D170" i="3"/>
  <c r="I136" i="3" l="1"/>
  <c r="H136" i="3"/>
  <c r="F137" i="3" s="1"/>
  <c r="E172" i="3"/>
  <c r="D171" i="3"/>
  <c r="I137" i="3" l="1"/>
  <c r="H137" i="3"/>
  <c r="F138" i="3" s="1"/>
  <c r="K152" i="3"/>
  <c r="J152" i="3"/>
  <c r="E173" i="3"/>
  <c r="D172" i="3"/>
  <c r="K171" i="3"/>
  <c r="J171" i="3"/>
  <c r="H138" i="3" l="1"/>
  <c r="F139" i="3" s="1"/>
  <c r="I138" i="3"/>
  <c r="E174" i="3"/>
  <c r="D173" i="3"/>
  <c r="I139" i="3" l="1"/>
  <c r="H139" i="3"/>
  <c r="F140" i="3" s="1"/>
  <c r="K173" i="3"/>
  <c r="J173" i="3"/>
  <c r="E175" i="3"/>
  <c r="D174" i="3"/>
  <c r="I140" i="3" l="1"/>
  <c r="H140" i="3"/>
  <c r="K140" i="3"/>
  <c r="J140" i="3" s="1"/>
  <c r="K174" i="3"/>
  <c r="J174" i="3"/>
  <c r="E176" i="3"/>
  <c r="D175" i="3"/>
  <c r="F141" i="3" l="1"/>
  <c r="I141" i="3" s="1"/>
  <c r="E177" i="3"/>
  <c r="D176" i="3"/>
  <c r="H141" i="3" l="1"/>
  <c r="F142" i="3" s="1"/>
  <c r="H142" i="3" s="1"/>
  <c r="F143" i="3" s="1"/>
  <c r="K157" i="3"/>
  <c r="J157" i="3" s="1"/>
  <c r="K176" i="3"/>
  <c r="J176" i="3"/>
  <c r="E178" i="3"/>
  <c r="D177" i="3"/>
  <c r="I142" i="3" l="1"/>
  <c r="H143" i="3"/>
  <c r="F144" i="3" s="1"/>
  <c r="I143" i="3"/>
  <c r="E179" i="3"/>
  <c r="D178" i="3"/>
  <c r="I144" i="3" l="1"/>
  <c r="H144" i="3"/>
  <c r="F145" i="3" s="1"/>
  <c r="K178" i="3"/>
  <c r="J178" i="3"/>
  <c r="E180" i="3"/>
  <c r="D179" i="3"/>
  <c r="K145" i="3" l="1"/>
  <c r="J145" i="3" s="1"/>
  <c r="I145" i="3"/>
  <c r="H145" i="3"/>
  <c r="K179" i="3"/>
  <c r="J179" i="3"/>
  <c r="E181" i="3"/>
  <c r="D180" i="3"/>
  <c r="F146" i="3" l="1"/>
  <c r="I146" i="3" s="1"/>
  <c r="E182" i="3"/>
  <c r="D181" i="3"/>
  <c r="H146" i="3" l="1"/>
  <c r="F147" i="3" s="1"/>
  <c r="I147" i="3" s="1"/>
  <c r="K162" i="3"/>
  <c r="J162" i="3" s="1"/>
  <c r="K181" i="3"/>
  <c r="J181" i="3"/>
  <c r="E183" i="3"/>
  <c r="D182" i="3"/>
  <c r="H147" i="3" l="1"/>
  <c r="F148" i="3" s="1"/>
  <c r="I148" i="3" s="1"/>
  <c r="E184" i="3"/>
  <c r="D183" i="3"/>
  <c r="H148" i="3" l="1"/>
  <c r="F149" i="3" s="1"/>
  <c r="H149" i="3" s="1"/>
  <c r="F150" i="3" s="1"/>
  <c r="E185" i="3"/>
  <c r="D184" i="3"/>
  <c r="K183" i="3"/>
  <c r="J183" i="3"/>
  <c r="I149" i="3" l="1"/>
  <c r="I150" i="3"/>
  <c r="H150" i="3"/>
  <c r="K150" i="3"/>
  <c r="J150" i="3" s="1"/>
  <c r="K184" i="3"/>
  <c r="J184" i="3"/>
  <c r="E186" i="3"/>
  <c r="D185" i="3"/>
  <c r="F151" i="3" l="1"/>
  <c r="E187" i="3"/>
  <c r="D186" i="3"/>
  <c r="I151" i="3" l="1"/>
  <c r="H151" i="3"/>
  <c r="F152" i="3" s="1"/>
  <c r="K167" i="3"/>
  <c r="J167" i="3"/>
  <c r="K186" i="3"/>
  <c r="J186" i="3"/>
  <c r="E188" i="3"/>
  <c r="D187" i="3"/>
  <c r="I152" i="3" l="1"/>
  <c r="H152" i="3"/>
  <c r="F153" i="3" s="1"/>
  <c r="E189" i="3"/>
  <c r="D188" i="3"/>
  <c r="I153" i="3" l="1"/>
  <c r="H153" i="3"/>
  <c r="F154" i="3" s="1"/>
  <c r="K188" i="3"/>
  <c r="J188" i="3"/>
  <c r="E190" i="3"/>
  <c r="D189" i="3"/>
  <c r="H154" i="3" l="1"/>
  <c r="F155" i="3" s="1"/>
  <c r="I154" i="3"/>
  <c r="E191" i="3"/>
  <c r="D190" i="3"/>
  <c r="K189" i="3"/>
  <c r="J189" i="3"/>
  <c r="K155" i="3" l="1"/>
  <c r="J155" i="3" s="1"/>
  <c r="H155" i="3"/>
  <c r="I155" i="3"/>
  <c r="E192" i="3"/>
  <c r="D191" i="3"/>
  <c r="F156" i="3" l="1"/>
  <c r="H156" i="3" s="1"/>
  <c r="F157" i="3" s="1"/>
  <c r="K191" i="3"/>
  <c r="J191" i="3"/>
  <c r="E193" i="3"/>
  <c r="D192" i="3"/>
  <c r="I156" i="3" l="1"/>
  <c r="I157" i="3"/>
  <c r="H157" i="3"/>
  <c r="F158" i="3" s="1"/>
  <c r="K172" i="3"/>
  <c r="J172" i="3"/>
  <c r="E194" i="3"/>
  <c r="D193" i="3"/>
  <c r="I158" i="3" l="1"/>
  <c r="H158" i="3"/>
  <c r="F159" i="3" s="1"/>
  <c r="E195" i="3"/>
  <c r="D194" i="3"/>
  <c r="K193" i="3"/>
  <c r="J193" i="3"/>
  <c r="H159" i="3" l="1"/>
  <c r="F160" i="3" s="1"/>
  <c r="I159" i="3"/>
  <c r="K194" i="3"/>
  <c r="J194" i="3"/>
  <c r="E196" i="3"/>
  <c r="D195" i="3"/>
  <c r="H160" i="3" l="1"/>
  <c r="I160" i="3"/>
  <c r="K160" i="3"/>
  <c r="J160" i="3" s="1"/>
  <c r="E197" i="3"/>
  <c r="D196" i="3"/>
  <c r="F161" i="3" l="1"/>
  <c r="H161" i="3" s="1"/>
  <c r="F162" i="3" s="1"/>
  <c r="E198" i="3"/>
  <c r="D197" i="3"/>
  <c r="K196" i="3"/>
  <c r="J196" i="3"/>
  <c r="I161" i="3" l="1"/>
  <c r="H162" i="3"/>
  <c r="F163" i="3" s="1"/>
  <c r="I162" i="3"/>
  <c r="K177" i="3"/>
  <c r="J177" i="3"/>
  <c r="E199" i="3"/>
  <c r="D198" i="3"/>
  <c r="I163" i="3" l="1"/>
  <c r="H163" i="3"/>
  <c r="F164" i="3" s="1"/>
  <c r="E200" i="3"/>
  <c r="D199" i="3"/>
  <c r="K198" i="3"/>
  <c r="J198" i="3"/>
  <c r="I164" i="3" l="1"/>
  <c r="H164" i="3"/>
  <c r="F165" i="3" s="1"/>
  <c r="K199" i="3"/>
  <c r="J199" i="3"/>
  <c r="E201" i="3"/>
  <c r="D200" i="3"/>
  <c r="H165" i="3" l="1"/>
  <c r="K165" i="3"/>
  <c r="J165" i="3" s="1"/>
  <c r="I165" i="3"/>
  <c r="E202" i="3"/>
  <c r="D201" i="3"/>
  <c r="F166" i="3" l="1"/>
  <c r="H166" i="3" s="1"/>
  <c r="F167" i="3" s="1"/>
  <c r="K201" i="3"/>
  <c r="J201" i="3"/>
  <c r="E203" i="3"/>
  <c r="D202" i="3"/>
  <c r="I166" i="3" l="1"/>
  <c r="I167" i="3"/>
  <c r="H167" i="3"/>
  <c r="F168" i="3" s="1"/>
  <c r="K182" i="3"/>
  <c r="J182" i="3" s="1"/>
  <c r="E204" i="3"/>
  <c r="D203" i="3"/>
  <c r="I168" i="3" l="1"/>
  <c r="H168" i="3"/>
  <c r="F169" i="3" s="1"/>
  <c r="E205" i="3"/>
  <c r="D204" i="3"/>
  <c r="K203" i="3"/>
  <c r="J203" i="3"/>
  <c r="H169" i="3" l="1"/>
  <c r="F170" i="3" s="1"/>
  <c r="I169" i="3"/>
  <c r="E206" i="3"/>
  <c r="D205" i="3"/>
  <c r="K204" i="3"/>
  <c r="J204" i="3"/>
  <c r="K170" i="3" l="1"/>
  <c r="J170" i="3" s="1"/>
  <c r="H170" i="3"/>
  <c r="I170" i="3"/>
  <c r="E207" i="3"/>
  <c r="D206" i="3"/>
  <c r="F171" i="3" l="1"/>
  <c r="I171" i="3" s="1"/>
  <c r="E208" i="3"/>
  <c r="D207" i="3"/>
  <c r="K206" i="3"/>
  <c r="J206" i="3"/>
  <c r="H171" i="3" l="1"/>
  <c r="F172" i="3" s="1"/>
  <c r="I172" i="3" s="1"/>
  <c r="K187" i="3"/>
  <c r="J187" i="3"/>
  <c r="E209" i="3"/>
  <c r="D208" i="3"/>
  <c r="H172" i="3" l="1"/>
  <c r="F173" i="3" s="1"/>
  <c r="H173" i="3" s="1"/>
  <c r="F174" i="3" s="1"/>
  <c r="E210" i="3"/>
  <c r="D209" i="3"/>
  <c r="K208" i="3"/>
  <c r="J208" i="3"/>
  <c r="I173" i="3" l="1"/>
  <c r="I174" i="3"/>
  <c r="H174" i="3"/>
  <c r="F175" i="3" s="1"/>
  <c r="K209" i="3"/>
  <c r="J209" i="3"/>
  <c r="E211" i="3"/>
  <c r="D210" i="3"/>
  <c r="K175" i="3" l="1"/>
  <c r="J175" i="3" s="1"/>
  <c r="H175" i="3"/>
  <c r="I175" i="3"/>
  <c r="E212" i="3"/>
  <c r="D211" i="3"/>
  <c r="F176" i="3" l="1"/>
  <c r="H176" i="3" s="1"/>
  <c r="F177" i="3" s="1"/>
  <c r="E213" i="3"/>
  <c r="D212" i="3"/>
  <c r="K211" i="3"/>
  <c r="J211" i="3"/>
  <c r="I176" i="3" l="1"/>
  <c r="H177" i="3"/>
  <c r="F178" i="3" s="1"/>
  <c r="I177" i="3"/>
  <c r="K192" i="3"/>
  <c r="J192" i="3"/>
  <c r="E214" i="3"/>
  <c r="D213" i="3"/>
  <c r="H178" i="3" l="1"/>
  <c r="F179" i="3" s="1"/>
  <c r="I178" i="3"/>
  <c r="K213" i="3"/>
  <c r="J213" i="3"/>
  <c r="E215" i="3"/>
  <c r="D214" i="3"/>
  <c r="H179" i="3" l="1"/>
  <c r="F180" i="3" s="1"/>
  <c r="I179" i="3"/>
  <c r="K214" i="3"/>
  <c r="J214" i="3"/>
  <c r="E216" i="3"/>
  <c r="D215" i="3"/>
  <c r="H180" i="3" l="1"/>
  <c r="I180" i="3"/>
  <c r="K180" i="3"/>
  <c r="J180" i="3" s="1"/>
  <c r="E217" i="3"/>
  <c r="D216" i="3"/>
  <c r="F181" i="3" l="1"/>
  <c r="K216" i="3"/>
  <c r="J216" i="3"/>
  <c r="E218" i="3"/>
  <c r="D217" i="3"/>
  <c r="I181" i="3" l="1"/>
  <c r="H181" i="3"/>
  <c r="F182" i="3" s="1"/>
  <c r="K197" i="3"/>
  <c r="J197" i="3"/>
  <c r="E219" i="3"/>
  <c r="D218" i="3"/>
  <c r="H182" i="3" l="1"/>
  <c r="F183" i="3" s="1"/>
  <c r="I182" i="3"/>
  <c r="K218" i="3"/>
  <c r="J218" i="3"/>
  <c r="E220" i="3"/>
  <c r="D219" i="3"/>
  <c r="I183" i="3" l="1"/>
  <c r="H183" i="3"/>
  <c r="F184" i="3" s="1"/>
  <c r="K219" i="3"/>
  <c r="J219" i="3"/>
  <c r="E221" i="3"/>
  <c r="D220" i="3"/>
  <c r="I184" i="3" l="1"/>
  <c r="H184" i="3"/>
  <c r="F185" i="3" s="1"/>
  <c r="E222" i="3"/>
  <c r="D221" i="3"/>
  <c r="H185" i="3" l="1"/>
  <c r="I185" i="3"/>
  <c r="K185" i="3"/>
  <c r="J185" i="3" s="1"/>
  <c r="E223" i="3"/>
  <c r="D222" i="3"/>
  <c r="K221" i="3"/>
  <c r="J221" i="3"/>
  <c r="F186" i="3" l="1"/>
  <c r="K202" i="3"/>
  <c r="J202" i="3" s="1"/>
  <c r="E224" i="3"/>
  <c r="D223" i="3"/>
  <c r="I186" i="3" l="1"/>
  <c r="H186" i="3"/>
  <c r="F187" i="3" s="1"/>
  <c r="E225" i="3"/>
  <c r="D224" i="3"/>
  <c r="K223" i="3"/>
  <c r="J223" i="3"/>
  <c r="I187" i="3" l="1"/>
  <c r="H187" i="3"/>
  <c r="F188" i="3" s="1"/>
  <c r="E226" i="3"/>
  <c r="D225" i="3"/>
  <c r="K224" i="3"/>
  <c r="J224" i="3"/>
  <c r="H188" i="3" l="1"/>
  <c r="F189" i="3" s="1"/>
  <c r="I188" i="3"/>
  <c r="E227" i="3"/>
  <c r="D226" i="3"/>
  <c r="I189" i="3" l="1"/>
  <c r="H189" i="3"/>
  <c r="F190" i="3" s="1"/>
  <c r="E228" i="3"/>
  <c r="D227" i="3"/>
  <c r="K226" i="3"/>
  <c r="J226" i="3"/>
  <c r="K190" i="3" l="1"/>
  <c r="J190" i="3" s="1"/>
  <c r="I190" i="3"/>
  <c r="H190" i="3"/>
  <c r="K207" i="3"/>
  <c r="J207" i="3"/>
  <c r="E229" i="3"/>
  <c r="D228" i="3"/>
  <c r="F191" i="3" l="1"/>
  <c r="H191" i="3"/>
  <c r="F192" i="3" s="1"/>
  <c r="I191" i="3"/>
  <c r="K228" i="3"/>
  <c r="J228" i="3"/>
  <c r="E230" i="3"/>
  <c r="D229" i="3"/>
  <c r="H192" i="3" l="1"/>
  <c r="F193" i="3" s="1"/>
  <c r="I192" i="3"/>
  <c r="K229" i="3"/>
  <c r="J229" i="3"/>
  <c r="E231" i="3"/>
  <c r="D230" i="3"/>
  <c r="H193" i="3" l="1"/>
  <c r="F194" i="3" s="1"/>
  <c r="I193" i="3"/>
  <c r="E232" i="3"/>
  <c r="D231" i="3"/>
  <c r="I194" i="3" l="1"/>
  <c r="H194" i="3"/>
  <c r="F195" i="3" s="1"/>
  <c r="E233" i="3"/>
  <c r="D232" i="3"/>
  <c r="K231" i="3"/>
  <c r="J231" i="3"/>
  <c r="K195" i="3" l="1"/>
  <c r="J195" i="3" s="1"/>
  <c r="I195" i="3"/>
  <c r="H195" i="3"/>
  <c r="K212" i="3"/>
  <c r="J212" i="3" s="1"/>
  <c r="E234" i="3"/>
  <c r="D233" i="3"/>
  <c r="F196" i="3" l="1"/>
  <c r="I196" i="3" s="1"/>
  <c r="K233" i="3"/>
  <c r="J233" i="3"/>
  <c r="E235" i="3"/>
  <c r="D234" i="3"/>
  <c r="H196" i="3" l="1"/>
  <c r="F197" i="3" s="1"/>
  <c r="H197" i="3" s="1"/>
  <c r="F198" i="3" s="1"/>
  <c r="E236" i="3"/>
  <c r="D235" i="3"/>
  <c r="K234" i="3"/>
  <c r="J234" i="3"/>
  <c r="I197" i="3" l="1"/>
  <c r="H198" i="3"/>
  <c r="F199" i="3" s="1"/>
  <c r="I198" i="3"/>
  <c r="E237" i="3"/>
  <c r="D236" i="3"/>
  <c r="H199" i="3" l="1"/>
  <c r="F200" i="3" s="1"/>
  <c r="I199" i="3"/>
  <c r="K236" i="3"/>
  <c r="J236" i="3"/>
  <c r="E238" i="3"/>
  <c r="D237" i="3"/>
  <c r="K200" i="3" l="1"/>
  <c r="J200" i="3" s="1"/>
  <c r="H200" i="3"/>
  <c r="I200" i="3"/>
  <c r="K217" i="3"/>
  <c r="J217" i="3" s="1"/>
  <c r="E239" i="3"/>
  <c r="D238" i="3"/>
  <c r="F201" i="3" l="1"/>
  <c r="I201" i="3" s="1"/>
  <c r="E240" i="3"/>
  <c r="D239" i="3"/>
  <c r="K238" i="3"/>
  <c r="J238" i="3"/>
  <c r="H201" i="3" l="1"/>
  <c r="F202" i="3" s="1"/>
  <c r="I202" i="3" s="1"/>
  <c r="E241" i="3"/>
  <c r="D240" i="3"/>
  <c r="K239" i="3"/>
  <c r="J239" i="3"/>
  <c r="H202" i="3" l="1"/>
  <c r="F203" i="3" s="1"/>
  <c r="I203" i="3" s="1"/>
  <c r="E242" i="3"/>
  <c r="D241" i="3"/>
  <c r="H203" i="3" l="1"/>
  <c r="F204" i="3" s="1"/>
  <c r="I204" i="3" s="1"/>
  <c r="K241" i="3"/>
  <c r="J241" i="3"/>
  <c r="E243" i="3"/>
  <c r="D242" i="3"/>
  <c r="H204" i="3" l="1"/>
  <c r="F205" i="3" s="1"/>
  <c r="H205" i="3" s="1"/>
  <c r="K222" i="3"/>
  <c r="J222" i="3"/>
  <c r="E244" i="3"/>
  <c r="D243" i="3"/>
  <c r="K205" i="3" l="1"/>
  <c r="J205" i="3" s="1"/>
  <c r="I205" i="3"/>
  <c r="K243" i="3"/>
  <c r="J243" i="3"/>
  <c r="E245" i="3"/>
  <c r="D244" i="3"/>
  <c r="F206" i="3" l="1"/>
  <c r="I206" i="3" s="1"/>
  <c r="K244" i="3"/>
  <c r="J244" i="3"/>
  <c r="E246" i="3"/>
  <c r="D245" i="3"/>
  <c r="H206" i="3" l="1"/>
  <c r="F207" i="3" s="1"/>
  <c r="H207" i="3" s="1"/>
  <c r="F208" i="3" s="1"/>
  <c r="E247" i="3"/>
  <c r="D246" i="3"/>
  <c r="I207" i="3" l="1"/>
  <c r="I208" i="3"/>
  <c r="H208" i="3"/>
  <c r="F209" i="3" s="1"/>
  <c r="E248" i="3"/>
  <c r="D247" i="3"/>
  <c r="K246" i="3"/>
  <c r="J246" i="3"/>
  <c r="H209" i="3" l="1"/>
  <c r="F210" i="3" s="1"/>
  <c r="I209" i="3"/>
  <c r="K227" i="3"/>
  <c r="J227" i="3"/>
  <c r="E249" i="3"/>
  <c r="D248" i="3"/>
  <c r="I210" i="3" l="1"/>
  <c r="H210" i="3"/>
  <c r="K210" i="3"/>
  <c r="J210" i="3" s="1"/>
  <c r="E250" i="3"/>
  <c r="D249" i="3"/>
  <c r="K248" i="3"/>
  <c r="J248" i="3"/>
  <c r="F211" i="3" l="1"/>
  <c r="E251" i="3"/>
  <c r="D250" i="3"/>
  <c r="K249" i="3"/>
  <c r="J249" i="3"/>
  <c r="I211" i="3" l="1"/>
  <c r="H211" i="3"/>
  <c r="F212" i="3" s="1"/>
  <c r="E252" i="3"/>
  <c r="D251" i="3"/>
  <c r="H212" i="3" l="1"/>
  <c r="F213" i="3" s="1"/>
  <c r="I212" i="3"/>
  <c r="E253" i="3"/>
  <c r="D252" i="3"/>
  <c r="K251" i="3"/>
  <c r="J251" i="3"/>
  <c r="H213" i="3" l="1"/>
  <c r="F214" i="3" s="1"/>
  <c r="I213" i="3"/>
  <c r="K232" i="3"/>
  <c r="J232" i="3"/>
  <c r="E254" i="3"/>
  <c r="D253" i="3"/>
  <c r="H214" i="3" l="1"/>
  <c r="F215" i="3" s="1"/>
  <c r="I214" i="3"/>
  <c r="E255" i="3"/>
  <c r="D254" i="3"/>
  <c r="K253" i="3"/>
  <c r="J253" i="3"/>
  <c r="H215" i="3" l="1"/>
  <c r="I215" i="3"/>
  <c r="K215" i="3"/>
  <c r="J215" i="3" s="1"/>
  <c r="E256" i="3"/>
  <c r="D255" i="3"/>
  <c r="K254" i="3"/>
  <c r="J254" i="3"/>
  <c r="F216" i="3" l="1"/>
  <c r="I216" i="3" s="1"/>
  <c r="E257" i="3"/>
  <c r="D256" i="3"/>
  <c r="H216" i="3" l="1"/>
  <c r="F217" i="3" s="1"/>
  <c r="H217" i="3" s="1"/>
  <c r="F218" i="3" s="1"/>
  <c r="K256" i="3"/>
  <c r="J256" i="3"/>
  <c r="E258" i="3"/>
  <c r="D257" i="3"/>
  <c r="I217" i="3" l="1"/>
  <c r="H218" i="3"/>
  <c r="F219" i="3" s="1"/>
  <c r="I218" i="3"/>
  <c r="K237" i="3"/>
  <c r="J237" i="3" s="1"/>
  <c r="E259" i="3"/>
  <c r="D258" i="3"/>
  <c r="H219" i="3" l="1"/>
  <c r="F220" i="3" s="1"/>
  <c r="I219" i="3"/>
  <c r="E260" i="3"/>
  <c r="D259" i="3"/>
  <c r="K258" i="3"/>
  <c r="J258" i="3"/>
  <c r="K220" i="3" l="1"/>
  <c r="J220" i="3" s="1"/>
  <c r="I220" i="3"/>
  <c r="H220" i="3"/>
  <c r="E261" i="3"/>
  <c r="D260" i="3"/>
  <c r="K259" i="3"/>
  <c r="J259" i="3"/>
  <c r="F221" i="3" l="1"/>
  <c r="H221" i="3" s="1"/>
  <c r="F222" i="3" s="1"/>
  <c r="E262" i="3"/>
  <c r="D261" i="3"/>
  <c r="I221" i="3" l="1"/>
  <c r="I222" i="3"/>
  <c r="H222" i="3"/>
  <c r="F223" i="3" s="1"/>
  <c r="K261" i="3"/>
  <c r="J261" i="3"/>
  <c r="E263" i="3"/>
  <c r="D262" i="3"/>
  <c r="I223" i="3" l="1"/>
  <c r="H223" i="3"/>
  <c r="F224" i="3" s="1"/>
  <c r="K242" i="3"/>
  <c r="J242" i="3" s="1"/>
  <c r="E264" i="3"/>
  <c r="D263" i="3"/>
  <c r="I224" i="3" l="1"/>
  <c r="H224" i="3"/>
  <c r="F225" i="3" s="1"/>
  <c r="K263" i="3"/>
  <c r="J263" i="3"/>
  <c r="E265" i="3"/>
  <c r="D264" i="3"/>
  <c r="K225" i="3" l="1"/>
  <c r="J225" i="3" s="1"/>
  <c r="I225" i="3"/>
  <c r="H225" i="3"/>
  <c r="K264" i="3"/>
  <c r="J264" i="3"/>
  <c r="E266" i="3"/>
  <c r="D265" i="3"/>
  <c r="F226" i="3" l="1"/>
  <c r="H226" i="3" s="1"/>
  <c r="F227" i="3" s="1"/>
  <c r="E267" i="3"/>
  <c r="D266" i="3"/>
  <c r="I226" i="3" l="1"/>
  <c r="H227" i="3"/>
  <c r="F228" i="3" s="1"/>
  <c r="I227" i="3"/>
  <c r="E268" i="3"/>
  <c r="D267" i="3"/>
  <c r="K266" i="3"/>
  <c r="J266" i="3"/>
  <c r="H228" i="3" l="1"/>
  <c r="F229" i="3" s="1"/>
  <c r="I228" i="3"/>
  <c r="K247" i="3"/>
  <c r="J247" i="3"/>
  <c r="E269" i="3"/>
  <c r="D268" i="3"/>
  <c r="I229" i="3" l="1"/>
  <c r="H229" i="3"/>
  <c r="F230" i="3" s="1"/>
  <c r="K268" i="3"/>
  <c r="J268" i="3"/>
  <c r="E270" i="3"/>
  <c r="D269" i="3"/>
  <c r="K230" i="3" l="1"/>
  <c r="J230" i="3" s="1"/>
  <c r="I230" i="3"/>
  <c r="H230" i="3"/>
  <c r="K269" i="3"/>
  <c r="J269" i="3"/>
  <c r="E271" i="3"/>
  <c r="D270" i="3"/>
  <c r="F231" i="3" l="1"/>
  <c r="H231" i="3"/>
  <c r="F232" i="3" s="1"/>
  <c r="I231" i="3"/>
  <c r="E272" i="3"/>
  <c r="D271" i="3"/>
  <c r="H232" i="3" l="1"/>
  <c r="F233" i="3" s="1"/>
  <c r="I232" i="3"/>
  <c r="K271" i="3"/>
  <c r="J271" i="3"/>
  <c r="E273" i="3"/>
  <c r="D272" i="3"/>
  <c r="H233" i="3" l="1"/>
  <c r="F234" i="3" s="1"/>
  <c r="I233" i="3"/>
  <c r="K252" i="3"/>
  <c r="J252" i="3" s="1"/>
  <c r="E274" i="3"/>
  <c r="D273" i="3"/>
  <c r="I234" i="3" l="1"/>
  <c r="H234" i="3"/>
  <c r="F235" i="3" s="1"/>
  <c r="K273" i="3"/>
  <c r="J273" i="3"/>
  <c r="E275" i="3"/>
  <c r="D274" i="3"/>
  <c r="K235" i="3" l="1"/>
  <c r="J235" i="3" s="1"/>
  <c r="I235" i="3"/>
  <c r="H235" i="3"/>
  <c r="K274" i="3"/>
  <c r="J274" i="3"/>
  <c r="E276" i="3"/>
  <c r="D275" i="3"/>
  <c r="F236" i="3" l="1"/>
  <c r="H236" i="3" s="1"/>
  <c r="F237" i="3" s="1"/>
  <c r="I236" i="3"/>
  <c r="E277" i="3"/>
  <c r="D276" i="3"/>
  <c r="I237" i="3" l="1"/>
  <c r="H237" i="3"/>
  <c r="F238" i="3" s="1"/>
  <c r="K276" i="3"/>
  <c r="J276" i="3"/>
  <c r="E278" i="3"/>
  <c r="D277" i="3"/>
  <c r="I238" i="3" l="1"/>
  <c r="H238" i="3"/>
  <c r="F239" i="3" s="1"/>
  <c r="K257" i="3"/>
  <c r="J257" i="3" s="1"/>
  <c r="E279" i="3"/>
  <c r="D278" i="3"/>
  <c r="I239" i="3" l="1"/>
  <c r="H239" i="3"/>
  <c r="F240" i="3" s="1"/>
  <c r="K278" i="3"/>
  <c r="J278" i="3"/>
  <c r="E280" i="3"/>
  <c r="D279" i="3"/>
  <c r="H240" i="3" l="1"/>
  <c r="K240" i="3"/>
  <c r="J240" i="3" s="1"/>
  <c r="I240" i="3"/>
  <c r="K279" i="3"/>
  <c r="J279" i="3"/>
  <c r="E281" i="3"/>
  <c r="D280" i="3"/>
  <c r="F241" i="3" l="1"/>
  <c r="I241" i="3" s="1"/>
  <c r="E282" i="3"/>
  <c r="D281" i="3"/>
  <c r="H241" i="3" l="1"/>
  <c r="F242" i="3" s="1"/>
  <c r="H242" i="3" s="1"/>
  <c r="F243" i="3" s="1"/>
  <c r="K281" i="3"/>
  <c r="J281" i="3"/>
  <c r="E283" i="3"/>
  <c r="D282" i="3"/>
  <c r="I242" i="3" l="1"/>
  <c r="H243" i="3"/>
  <c r="F244" i="3" s="1"/>
  <c r="I243" i="3"/>
  <c r="K262" i="3"/>
  <c r="J262" i="3"/>
  <c r="E284" i="3"/>
  <c r="D283" i="3"/>
  <c r="I244" i="3" l="1"/>
  <c r="H244" i="3"/>
  <c r="F245" i="3" s="1"/>
  <c r="K283" i="3"/>
  <c r="J283" i="3"/>
  <c r="E285" i="3"/>
  <c r="D284" i="3"/>
  <c r="I245" i="3" l="1"/>
  <c r="K245" i="3"/>
  <c r="J245" i="3" s="1"/>
  <c r="H245" i="3"/>
  <c r="K284" i="3"/>
  <c r="J284" i="3"/>
  <c r="E286" i="3"/>
  <c r="D285" i="3"/>
  <c r="F246" i="3" l="1"/>
  <c r="H246" i="3" s="1"/>
  <c r="F247" i="3" s="1"/>
  <c r="E287" i="3"/>
  <c r="D286" i="3"/>
  <c r="I246" i="3" l="1"/>
  <c r="I247" i="3"/>
  <c r="H247" i="3"/>
  <c r="F248" i="3" s="1"/>
  <c r="K286" i="3"/>
  <c r="J286" i="3"/>
  <c r="E288" i="3"/>
  <c r="D287" i="3"/>
  <c r="I248" i="3" l="1"/>
  <c r="H248" i="3"/>
  <c r="F249" i="3" s="1"/>
  <c r="K267" i="3"/>
  <c r="J267" i="3"/>
  <c r="E289" i="3"/>
  <c r="D288" i="3"/>
  <c r="I249" i="3" l="1"/>
  <c r="H249" i="3"/>
  <c r="F250" i="3" s="1"/>
  <c r="K288" i="3"/>
  <c r="J288" i="3"/>
  <c r="E290" i="3"/>
  <c r="D289" i="3"/>
  <c r="I250" i="3" l="1"/>
  <c r="K250" i="3"/>
  <c r="J250" i="3" s="1"/>
  <c r="H250" i="3"/>
  <c r="K289" i="3"/>
  <c r="J289" i="3"/>
  <c r="E291" i="3"/>
  <c r="D290" i="3"/>
  <c r="F251" i="3" l="1"/>
  <c r="H251" i="3"/>
  <c r="F252" i="3" s="1"/>
  <c r="I251" i="3"/>
  <c r="E292" i="3"/>
  <c r="D291" i="3"/>
  <c r="I252" i="3" l="1"/>
  <c r="H252" i="3"/>
  <c r="F253" i="3" s="1"/>
  <c r="K291" i="3"/>
  <c r="J291" i="3"/>
  <c r="E293" i="3"/>
  <c r="D292" i="3"/>
  <c r="I253" i="3" l="1"/>
  <c r="H253" i="3"/>
  <c r="F254" i="3" s="1"/>
  <c r="K272" i="3"/>
  <c r="J272" i="3" s="1"/>
  <c r="E294" i="3"/>
  <c r="D293" i="3"/>
  <c r="I254" i="3" l="1"/>
  <c r="H254" i="3"/>
  <c r="F255" i="3" s="1"/>
  <c r="K293" i="3"/>
  <c r="J293" i="3"/>
  <c r="E295" i="3"/>
  <c r="D294" i="3"/>
  <c r="I255" i="3" l="1"/>
  <c r="H255" i="3"/>
  <c r="K255" i="3"/>
  <c r="J255" i="3" s="1"/>
  <c r="K294" i="3"/>
  <c r="J294" i="3"/>
  <c r="E296" i="3"/>
  <c r="D295" i="3"/>
  <c r="F256" i="3" l="1"/>
  <c r="E297" i="3"/>
  <c r="D296" i="3"/>
  <c r="I256" i="3" l="1"/>
  <c r="H256" i="3"/>
  <c r="F257" i="3" s="1"/>
  <c r="K296" i="3"/>
  <c r="J296" i="3"/>
  <c r="E298" i="3"/>
  <c r="D297" i="3"/>
  <c r="H257" i="3" l="1"/>
  <c r="F258" i="3" s="1"/>
  <c r="I257" i="3"/>
  <c r="K277" i="3"/>
  <c r="J277" i="3"/>
  <c r="E299" i="3"/>
  <c r="D298" i="3"/>
  <c r="H258" i="3" l="1"/>
  <c r="F259" i="3" s="1"/>
  <c r="I258" i="3"/>
  <c r="K298" i="3"/>
  <c r="J298" i="3"/>
  <c r="E300" i="3"/>
  <c r="D299" i="3"/>
  <c r="I259" i="3" l="1"/>
  <c r="H259" i="3"/>
  <c r="F260" i="3" s="1"/>
  <c r="K299" i="3"/>
  <c r="J299" i="3"/>
  <c r="E301" i="3"/>
  <c r="D300" i="3"/>
  <c r="I260" i="3" l="1"/>
  <c r="K260" i="3"/>
  <c r="J260" i="3" s="1"/>
  <c r="H260" i="3"/>
  <c r="E302" i="3"/>
  <c r="D301" i="3"/>
  <c r="F261" i="3" l="1"/>
  <c r="J301" i="3"/>
  <c r="K301" i="3"/>
  <c r="D302" i="3"/>
  <c r="E303" i="3"/>
  <c r="I261" i="3" l="1"/>
  <c r="H261" i="3"/>
  <c r="F262" i="3" s="1"/>
  <c r="K282" i="3"/>
  <c r="J282" i="3"/>
  <c r="D303" i="3"/>
  <c r="E304" i="3"/>
  <c r="I262" i="3" l="1"/>
  <c r="H262" i="3"/>
  <c r="F263" i="3" s="1"/>
  <c r="J303" i="3"/>
  <c r="K303" i="3"/>
  <c r="D304" i="3"/>
  <c r="E305" i="3"/>
  <c r="I263" i="3" l="1"/>
  <c r="H263" i="3"/>
  <c r="F264" i="3" s="1"/>
  <c r="D305" i="3"/>
  <c r="E306" i="3"/>
  <c r="J304" i="3"/>
  <c r="K304" i="3"/>
  <c r="H264" i="3" l="1"/>
  <c r="F265" i="3" s="1"/>
  <c r="I264" i="3"/>
  <c r="D306" i="3"/>
  <c r="E307" i="3"/>
  <c r="I265" i="3" l="1"/>
  <c r="H265" i="3"/>
  <c r="K265" i="3"/>
  <c r="J265" i="3" s="1"/>
  <c r="D307" i="3"/>
  <c r="E308" i="3"/>
  <c r="J306" i="3"/>
  <c r="K306" i="3"/>
  <c r="F266" i="3" l="1"/>
  <c r="I266" i="3" s="1"/>
  <c r="K287" i="3"/>
  <c r="J287" i="3"/>
  <c r="D308" i="3"/>
  <c r="E309" i="3"/>
  <c r="H266" i="3" l="1"/>
  <c r="F267" i="3" s="1"/>
  <c r="H267" i="3" s="1"/>
  <c r="F268" i="3" s="1"/>
  <c r="D309" i="3"/>
  <c r="E310" i="3"/>
  <c r="J308" i="3"/>
  <c r="K308" i="3"/>
  <c r="I267" i="3" l="1"/>
  <c r="H268" i="3"/>
  <c r="F269" i="3" s="1"/>
  <c r="I268" i="3"/>
  <c r="J309" i="3"/>
  <c r="K309" i="3"/>
  <c r="D310" i="3"/>
  <c r="E311" i="3"/>
  <c r="I269" i="3" l="1"/>
  <c r="H269" i="3"/>
  <c r="F270" i="3" s="1"/>
  <c r="D311" i="3"/>
  <c r="E312" i="3"/>
  <c r="I270" i="3" l="1"/>
  <c r="H270" i="3"/>
  <c r="K270" i="3"/>
  <c r="J270" i="3" s="1"/>
  <c r="J311" i="3"/>
  <c r="K311" i="3"/>
  <c r="D312" i="3"/>
  <c r="E313" i="3"/>
  <c r="F271" i="3" l="1"/>
  <c r="K292" i="3"/>
  <c r="J292" i="3" s="1"/>
  <c r="D313" i="3"/>
  <c r="E314" i="3"/>
  <c r="I271" i="3" l="1"/>
  <c r="H271" i="3"/>
  <c r="F272" i="3" s="1"/>
  <c r="J313" i="3"/>
  <c r="K313" i="3"/>
  <c r="D314" i="3"/>
  <c r="E315" i="3"/>
  <c r="H272" i="3" l="1"/>
  <c r="F273" i="3" s="1"/>
  <c r="I272" i="3"/>
  <c r="D315" i="3"/>
  <c r="E316" i="3"/>
  <c r="J314" i="3"/>
  <c r="K314" i="3"/>
  <c r="I273" i="3" l="1"/>
  <c r="H273" i="3"/>
  <c r="F274" i="3" s="1"/>
  <c r="D316" i="3"/>
  <c r="E317" i="3"/>
  <c r="I274" i="3" l="1"/>
  <c r="H274" i="3"/>
  <c r="F275" i="3" s="1"/>
  <c r="D317" i="3"/>
  <c r="E318" i="3"/>
  <c r="J316" i="3"/>
  <c r="K316" i="3"/>
  <c r="K275" i="3" l="1"/>
  <c r="J275" i="3" s="1"/>
  <c r="I275" i="3"/>
  <c r="H275" i="3"/>
  <c r="K297" i="3"/>
  <c r="J297" i="3" s="1"/>
  <c r="D318" i="3"/>
  <c r="E319" i="3"/>
  <c r="F276" i="3" l="1"/>
  <c r="I276" i="3" s="1"/>
  <c r="H276" i="3"/>
  <c r="F277" i="3" s="1"/>
  <c r="D319" i="3"/>
  <c r="E320" i="3"/>
  <c r="J318" i="3"/>
  <c r="K318" i="3"/>
  <c r="H277" i="3" l="1"/>
  <c r="F278" i="3" s="1"/>
  <c r="I277" i="3"/>
  <c r="J319" i="3"/>
  <c r="K319" i="3"/>
  <c r="D320" i="3"/>
  <c r="E321" i="3"/>
  <c r="I278" i="3" l="1"/>
  <c r="H278" i="3"/>
  <c r="F279" i="3" s="1"/>
  <c r="D321" i="3"/>
  <c r="E322" i="3"/>
  <c r="H279" i="3" l="1"/>
  <c r="F280" i="3" s="1"/>
  <c r="I279" i="3"/>
  <c r="J321" i="3"/>
  <c r="K321" i="3"/>
  <c r="D322" i="3"/>
  <c r="E323" i="3"/>
  <c r="I280" i="3" l="1"/>
  <c r="K280" i="3"/>
  <c r="J280" i="3" s="1"/>
  <c r="H280" i="3"/>
  <c r="K302" i="3"/>
  <c r="J302" i="3"/>
  <c r="D323" i="3"/>
  <c r="E324" i="3"/>
  <c r="F281" i="3" l="1"/>
  <c r="I281" i="3" s="1"/>
  <c r="D324" i="3"/>
  <c r="E325" i="3"/>
  <c r="J323" i="3"/>
  <c r="K323" i="3"/>
  <c r="H281" i="3" l="1"/>
  <c r="F282" i="3" s="1"/>
  <c r="H282" i="3" s="1"/>
  <c r="F283" i="3" s="1"/>
  <c r="J324" i="3"/>
  <c r="K324" i="3"/>
  <c r="D325" i="3"/>
  <c r="E326" i="3"/>
  <c r="I282" i="3" l="1"/>
  <c r="I283" i="3"/>
  <c r="H283" i="3"/>
  <c r="F284" i="3" s="1"/>
  <c r="D326" i="3"/>
  <c r="E327" i="3"/>
  <c r="I284" i="3" l="1"/>
  <c r="H284" i="3"/>
  <c r="F285" i="3" s="1"/>
  <c r="D327" i="3"/>
  <c r="E328" i="3"/>
  <c r="J326" i="3"/>
  <c r="K326" i="3"/>
  <c r="H285" i="3" l="1"/>
  <c r="I285" i="3"/>
  <c r="K285" i="3"/>
  <c r="J285" i="3" s="1"/>
  <c r="D328" i="3"/>
  <c r="E329" i="3"/>
  <c r="F286" i="3" l="1"/>
  <c r="I286" i="3" s="1"/>
  <c r="K307" i="3"/>
  <c r="J307" i="3" s="1"/>
  <c r="J328" i="3"/>
  <c r="K328" i="3"/>
  <c r="D329" i="3"/>
  <c r="E330" i="3"/>
  <c r="H286" i="3" l="1"/>
  <c r="F287" i="3" s="1"/>
  <c r="I287" i="3" s="1"/>
  <c r="J329" i="3"/>
  <c r="K329" i="3"/>
  <c r="D330" i="3"/>
  <c r="E331" i="3"/>
  <c r="H287" i="3" l="1"/>
  <c r="F288" i="3" s="1"/>
  <c r="I288" i="3" s="1"/>
  <c r="D331" i="3"/>
  <c r="E332" i="3"/>
  <c r="H288" i="3" l="1"/>
  <c r="F289" i="3" s="1"/>
  <c r="I289" i="3" s="1"/>
  <c r="D332" i="3"/>
  <c r="E333" i="3"/>
  <c r="J331" i="3"/>
  <c r="K331" i="3"/>
  <c r="H289" i="3" l="1"/>
  <c r="F290" i="3" s="1"/>
  <c r="K290" i="3" s="1"/>
  <c r="J290" i="3" s="1"/>
  <c r="D333" i="3"/>
  <c r="E334" i="3"/>
  <c r="H290" i="3" l="1"/>
  <c r="F291" i="3" s="1"/>
  <c r="H291" i="3" s="1"/>
  <c r="F292" i="3" s="1"/>
  <c r="I290" i="3"/>
  <c r="J333" i="3"/>
  <c r="K333" i="3"/>
  <c r="D334" i="3"/>
  <c r="E335" i="3"/>
  <c r="I291" i="3" l="1"/>
  <c r="I292" i="3"/>
  <c r="H292" i="3"/>
  <c r="F293" i="3" s="1"/>
  <c r="K312" i="3"/>
  <c r="J312" i="3" s="1"/>
  <c r="D335" i="3"/>
  <c r="E336" i="3"/>
  <c r="J334" i="3"/>
  <c r="K334" i="3"/>
  <c r="I293" i="3" l="1"/>
  <c r="H293" i="3"/>
  <c r="F294" i="3" s="1"/>
  <c r="D336" i="3"/>
  <c r="E337" i="3"/>
  <c r="I294" i="3" l="1"/>
  <c r="H294" i="3"/>
  <c r="F295" i="3" s="1"/>
  <c r="J336" i="3"/>
  <c r="K336" i="3"/>
  <c r="D337" i="3"/>
  <c r="E338" i="3"/>
  <c r="I295" i="3" l="1"/>
  <c r="K295" i="3"/>
  <c r="J295" i="3" s="1"/>
  <c r="H295" i="3"/>
  <c r="D338" i="3"/>
  <c r="E339" i="3"/>
  <c r="F296" i="3" l="1"/>
  <c r="D339" i="3"/>
  <c r="E340" i="3"/>
  <c r="J338" i="3"/>
  <c r="K338" i="3"/>
  <c r="I296" i="3" l="1"/>
  <c r="H296" i="3"/>
  <c r="F297" i="3" s="1"/>
  <c r="D340" i="3"/>
  <c r="E341" i="3"/>
  <c r="J339" i="3"/>
  <c r="K339" i="3"/>
  <c r="I297" i="3" l="1"/>
  <c r="H297" i="3"/>
  <c r="F298" i="3" s="1"/>
  <c r="K317" i="3"/>
  <c r="J317" i="3" s="1"/>
  <c r="D341" i="3"/>
  <c r="E342" i="3"/>
  <c r="I298" i="3" l="1"/>
  <c r="H298" i="3"/>
  <c r="F299" i="3" s="1"/>
  <c r="J341" i="3"/>
  <c r="K341" i="3"/>
  <c r="D342" i="3"/>
  <c r="E343" i="3"/>
  <c r="I299" i="3" l="1"/>
  <c r="H299" i="3"/>
  <c r="F300" i="3" s="1"/>
  <c r="D343" i="3"/>
  <c r="E344" i="3"/>
  <c r="I300" i="3" l="1"/>
  <c r="H300" i="3"/>
  <c r="K300" i="3"/>
  <c r="J300" i="3" s="1"/>
  <c r="D344" i="3"/>
  <c r="E345" i="3"/>
  <c r="J343" i="3"/>
  <c r="K343" i="3"/>
  <c r="F301" i="3" l="1"/>
  <c r="J344" i="3"/>
  <c r="K344" i="3"/>
  <c r="D345" i="3"/>
  <c r="E346" i="3"/>
  <c r="I301" i="3" l="1"/>
  <c r="H301" i="3"/>
  <c r="F302" i="3" s="1"/>
  <c r="D346" i="3"/>
  <c r="E347" i="3"/>
  <c r="I302" i="3" l="1"/>
  <c r="H302" i="3"/>
  <c r="F303" i="3" s="1"/>
  <c r="K322" i="3"/>
  <c r="J322" i="3" s="1"/>
  <c r="D347" i="3"/>
  <c r="E348" i="3"/>
  <c r="J346" i="3"/>
  <c r="K346" i="3"/>
  <c r="H303" i="3" l="1"/>
  <c r="F304" i="3" s="1"/>
  <c r="I303" i="3"/>
  <c r="D348" i="3"/>
  <c r="E349" i="3"/>
  <c r="H304" i="3" l="1"/>
  <c r="F305" i="3" s="1"/>
  <c r="I304" i="3"/>
  <c r="J348" i="3"/>
  <c r="K348" i="3"/>
  <c r="D349" i="3"/>
  <c r="E350" i="3"/>
  <c r="H305" i="3" l="1"/>
  <c r="I305" i="3"/>
  <c r="K305" i="3"/>
  <c r="J305" i="3" s="1"/>
  <c r="J349" i="3"/>
  <c r="K349" i="3"/>
  <c r="D350" i="3"/>
  <c r="E351" i="3"/>
  <c r="F306" i="3" l="1"/>
  <c r="D351" i="3"/>
  <c r="E352" i="3"/>
  <c r="H306" i="3" l="1"/>
  <c r="F307" i="3" s="1"/>
  <c r="I306" i="3"/>
  <c r="D352" i="3"/>
  <c r="E353" i="3"/>
  <c r="J351" i="3"/>
  <c r="K351" i="3"/>
  <c r="H307" i="3" l="1"/>
  <c r="F308" i="3" s="1"/>
  <c r="I307" i="3"/>
  <c r="K327" i="3"/>
  <c r="J327" i="3" s="1"/>
  <c r="D353" i="3"/>
  <c r="E354" i="3"/>
  <c r="H308" i="3" l="1"/>
  <c r="F309" i="3" s="1"/>
  <c r="I308" i="3"/>
  <c r="J353" i="3"/>
  <c r="K353" i="3"/>
  <c r="D354" i="3"/>
  <c r="E355" i="3"/>
  <c r="H309" i="3" l="1"/>
  <c r="F310" i="3" s="1"/>
  <c r="I309" i="3"/>
  <c r="D355" i="3"/>
  <c r="E356" i="3"/>
  <c r="J354" i="3"/>
  <c r="K354" i="3"/>
  <c r="K310" i="3" l="1"/>
  <c r="J310" i="3" s="1"/>
  <c r="H310" i="3"/>
  <c r="I310" i="3"/>
  <c r="F311" i="3"/>
  <c r="H311" i="3" s="1"/>
  <c r="F312" i="3" s="1"/>
  <c r="I312" i="3" s="1"/>
  <c r="D356" i="3"/>
  <c r="E357" i="3"/>
  <c r="I311" i="3" l="1"/>
  <c r="H312" i="3"/>
  <c r="F313" i="3" s="1"/>
  <c r="J356" i="3"/>
  <c r="K356" i="3"/>
  <c r="D357" i="3"/>
  <c r="E358" i="3"/>
  <c r="H313" i="3" l="1"/>
  <c r="F314" i="3" s="1"/>
  <c r="H314" i="3" s="1"/>
  <c r="F315" i="3" s="1"/>
  <c r="I313" i="3"/>
  <c r="D358" i="3"/>
  <c r="E359" i="3"/>
  <c r="I314" i="3" l="1"/>
  <c r="H315" i="3"/>
  <c r="I315" i="3"/>
  <c r="K315" i="3"/>
  <c r="J315" i="3" s="1"/>
  <c r="K332" i="3"/>
  <c r="J332" i="3" s="1"/>
  <c r="D359" i="3"/>
  <c r="E360" i="3"/>
  <c r="J358" i="3"/>
  <c r="K358" i="3"/>
  <c r="F316" i="3" l="1"/>
  <c r="I316" i="3" s="1"/>
  <c r="D360" i="3"/>
  <c r="E361" i="3"/>
  <c r="J359" i="3"/>
  <c r="K359" i="3"/>
  <c r="H316" i="3" l="1"/>
  <c r="F317" i="3" s="1"/>
  <c r="I317" i="3" s="1"/>
  <c r="D361" i="3"/>
  <c r="E362" i="3"/>
  <c r="H317" i="3" l="1"/>
  <c r="F318" i="3" s="1"/>
  <c r="I318" i="3" s="1"/>
  <c r="J361" i="3"/>
  <c r="K361" i="3"/>
  <c r="D362" i="3"/>
  <c r="E363" i="3"/>
  <c r="H318" i="3" l="1"/>
  <c r="F319" i="3" s="1"/>
  <c r="I319" i="3" s="1"/>
  <c r="D363" i="3"/>
  <c r="E364" i="3"/>
  <c r="H319" i="3" l="1"/>
  <c r="F320" i="3" s="1"/>
  <c r="H320" i="3" s="1"/>
  <c r="D364" i="3"/>
  <c r="E365" i="3"/>
  <c r="J363" i="3"/>
  <c r="K363" i="3"/>
  <c r="K320" i="3" l="1"/>
  <c r="J320" i="3" s="1"/>
  <c r="I320" i="3"/>
  <c r="K337" i="3"/>
  <c r="J337" i="3"/>
  <c r="J364" i="3"/>
  <c r="K364" i="3"/>
  <c r="E366" i="3"/>
  <c r="D365" i="3"/>
  <c r="F321" i="3" l="1"/>
  <c r="I321" i="3"/>
  <c r="H321" i="3"/>
  <c r="F322" i="3" s="1"/>
  <c r="D366" i="3"/>
  <c r="E367" i="3"/>
  <c r="H322" i="3" l="1"/>
  <c r="F323" i="3" s="1"/>
  <c r="I322" i="3"/>
  <c r="J366" i="3"/>
  <c r="K366" i="3"/>
  <c r="D367" i="3"/>
  <c r="E368" i="3"/>
  <c r="H323" i="3" l="1"/>
  <c r="F324" i="3" s="1"/>
  <c r="I323" i="3"/>
  <c r="D368" i="3"/>
  <c r="E369" i="3"/>
  <c r="H324" i="3" l="1"/>
  <c r="F325" i="3" s="1"/>
  <c r="I324" i="3"/>
  <c r="D369" i="3"/>
  <c r="E370" i="3"/>
  <c r="J368" i="3"/>
  <c r="K368" i="3"/>
  <c r="I325" i="3" l="1"/>
  <c r="H325" i="3"/>
  <c r="K325" i="3"/>
  <c r="J325" i="3" s="1"/>
  <c r="D370" i="3"/>
  <c r="E371" i="3"/>
  <c r="J369" i="3"/>
  <c r="K369" i="3"/>
  <c r="F326" i="3" l="1"/>
  <c r="K342" i="3"/>
  <c r="J342" i="3" s="1"/>
  <c r="D371" i="3"/>
  <c r="E372" i="3"/>
  <c r="H326" i="3" l="1"/>
  <c r="F327" i="3" s="1"/>
  <c r="I326" i="3"/>
  <c r="J371" i="3"/>
  <c r="K371" i="3"/>
  <c r="D372" i="3"/>
  <c r="E373" i="3"/>
  <c r="H327" i="3" l="1"/>
  <c r="F328" i="3" s="1"/>
  <c r="I327" i="3"/>
  <c r="D373" i="3"/>
  <c r="E374" i="3"/>
  <c r="I328" i="3" l="1"/>
  <c r="H328" i="3"/>
  <c r="F329" i="3" s="1"/>
  <c r="D374" i="3"/>
  <c r="E375" i="3"/>
  <c r="J373" i="3"/>
  <c r="K373" i="3"/>
  <c r="H329" i="3" l="1"/>
  <c r="F330" i="3" s="1"/>
  <c r="I329" i="3"/>
  <c r="J374" i="3"/>
  <c r="K374" i="3"/>
  <c r="D375" i="3"/>
  <c r="E376" i="3"/>
  <c r="I330" i="3" l="1"/>
  <c r="K330" i="3"/>
  <c r="J330" i="3" s="1"/>
  <c r="H330" i="3"/>
  <c r="D376" i="3"/>
  <c r="E377" i="3"/>
  <c r="F331" i="3" l="1"/>
  <c r="K347" i="3"/>
  <c r="J347" i="3"/>
  <c r="D377" i="3"/>
  <c r="E378" i="3"/>
  <c r="J376" i="3"/>
  <c r="K376" i="3"/>
  <c r="I331" i="3" l="1"/>
  <c r="H331" i="3"/>
  <c r="F332" i="3" s="1"/>
  <c r="D378" i="3"/>
  <c r="E379" i="3"/>
  <c r="I332" i="3" l="1"/>
  <c r="H332" i="3"/>
  <c r="F333" i="3" s="1"/>
  <c r="J378" i="3"/>
  <c r="K378" i="3"/>
  <c r="D379" i="3"/>
  <c r="E380" i="3"/>
  <c r="I333" i="3" l="1"/>
  <c r="H333" i="3"/>
  <c r="F334" i="3" s="1"/>
  <c r="J379" i="3"/>
  <c r="K379" i="3"/>
  <c r="D380" i="3"/>
  <c r="E381" i="3"/>
  <c r="I334" i="3" l="1"/>
  <c r="H334" i="3"/>
  <c r="F335" i="3" s="1"/>
  <c r="D381" i="3"/>
  <c r="E382" i="3"/>
  <c r="H335" i="3" l="1"/>
  <c r="I335" i="3"/>
  <c r="K335" i="3"/>
  <c r="J335" i="3" s="1"/>
  <c r="D382" i="3"/>
  <c r="E383" i="3"/>
  <c r="J381" i="3"/>
  <c r="K381" i="3"/>
  <c r="F336" i="3" l="1"/>
  <c r="K352" i="3"/>
  <c r="J352" i="3" s="1"/>
  <c r="D383" i="3"/>
  <c r="E384" i="3"/>
  <c r="H336" i="3" l="1"/>
  <c r="F337" i="3" s="1"/>
  <c r="I336" i="3"/>
  <c r="J383" i="3"/>
  <c r="K383" i="3"/>
  <c r="D384" i="3"/>
  <c r="E385" i="3"/>
  <c r="I337" i="3" l="1"/>
  <c r="H337" i="3"/>
  <c r="F338" i="3" s="1"/>
  <c r="D385" i="3"/>
  <c r="E386" i="3"/>
  <c r="J384" i="3"/>
  <c r="K384" i="3"/>
  <c r="H338" i="3" l="1"/>
  <c r="F339" i="3" s="1"/>
  <c r="I338" i="3"/>
  <c r="D386" i="3"/>
  <c r="E387" i="3"/>
  <c r="I339" i="3" l="1"/>
  <c r="H339" i="3"/>
  <c r="F340" i="3" s="1"/>
  <c r="J386" i="3"/>
  <c r="K386" i="3"/>
  <c r="D387" i="3"/>
  <c r="E388" i="3"/>
  <c r="H340" i="3" l="1"/>
  <c r="I340" i="3"/>
  <c r="K340" i="3"/>
  <c r="J340" i="3" s="1"/>
  <c r="D388" i="3"/>
  <c r="E389" i="3"/>
  <c r="F341" i="3" l="1"/>
  <c r="K357" i="3"/>
  <c r="J357" i="3" s="1"/>
  <c r="D389" i="3"/>
  <c r="E390" i="3"/>
  <c r="J388" i="3"/>
  <c r="K388" i="3"/>
  <c r="I341" i="3" l="1"/>
  <c r="H341" i="3"/>
  <c r="F342" i="3" s="1"/>
  <c r="D390" i="3"/>
  <c r="E391" i="3"/>
  <c r="J389" i="3"/>
  <c r="K389" i="3"/>
  <c r="I342" i="3" l="1"/>
  <c r="H342" i="3"/>
  <c r="F343" i="3" s="1"/>
  <c r="D391" i="3"/>
  <c r="E392" i="3"/>
  <c r="H343" i="3" l="1"/>
  <c r="I343" i="3"/>
  <c r="F344" i="3"/>
  <c r="D392" i="3"/>
  <c r="E393" i="3"/>
  <c r="J391" i="3"/>
  <c r="K391" i="3"/>
  <c r="I344" i="3" l="1"/>
  <c r="H344" i="3"/>
  <c r="F345" i="3" s="1"/>
  <c r="E394" i="3"/>
  <c r="D393" i="3"/>
  <c r="H345" i="3" l="1"/>
  <c r="I345" i="3"/>
  <c r="K345" i="3"/>
  <c r="J345" i="3" s="1"/>
  <c r="K393" i="3"/>
  <c r="J393" i="3"/>
  <c r="E395" i="3"/>
  <c r="D394" i="3"/>
  <c r="F346" i="3" l="1"/>
  <c r="K362" i="3"/>
  <c r="J362" i="3" s="1"/>
  <c r="K394" i="3"/>
  <c r="J394" i="3"/>
  <c r="E396" i="3"/>
  <c r="D395" i="3"/>
  <c r="H346" i="3" l="1"/>
  <c r="F347" i="3" s="1"/>
  <c r="I346" i="3"/>
  <c r="E397" i="3"/>
  <c r="D396" i="3"/>
  <c r="I347" i="3" l="1"/>
  <c r="H347" i="3"/>
  <c r="F348" i="3" s="1"/>
  <c r="E398" i="3"/>
  <c r="D397" i="3"/>
  <c r="K396" i="3"/>
  <c r="J396" i="3"/>
  <c r="H348" i="3" l="1"/>
  <c r="F349" i="3" s="1"/>
  <c r="I348" i="3"/>
  <c r="E399" i="3"/>
  <c r="D398" i="3"/>
  <c r="H349" i="3" l="1"/>
  <c r="F350" i="3" s="1"/>
  <c r="I349" i="3"/>
  <c r="E400" i="3"/>
  <c r="D399" i="3"/>
  <c r="K398" i="3"/>
  <c r="J398" i="3"/>
  <c r="I350" i="3" l="1"/>
  <c r="H350" i="3"/>
  <c r="K350" i="3"/>
  <c r="J350" i="3" s="1"/>
  <c r="K399" i="3"/>
  <c r="J399" i="3"/>
  <c r="E401" i="3"/>
  <c r="D400" i="3"/>
  <c r="F351" i="3" l="1"/>
  <c r="K367" i="3"/>
  <c r="J367" i="3" s="1"/>
  <c r="E402" i="3"/>
  <c r="D401" i="3"/>
  <c r="I351" i="3" l="1"/>
  <c r="H351" i="3"/>
  <c r="F352" i="3" s="1"/>
  <c r="E403" i="3"/>
  <c r="D402" i="3"/>
  <c r="K401" i="3"/>
  <c r="J401" i="3"/>
  <c r="I352" i="3" l="1"/>
  <c r="H352" i="3"/>
  <c r="F353" i="3" s="1"/>
  <c r="E404" i="3"/>
  <c r="D403" i="3"/>
  <c r="H353" i="3" l="1"/>
  <c r="F354" i="3" s="1"/>
  <c r="I353" i="3"/>
  <c r="K403" i="3"/>
  <c r="J403" i="3"/>
  <c r="E405" i="3"/>
  <c r="D404" i="3"/>
  <c r="H354" i="3" l="1"/>
  <c r="F355" i="3" s="1"/>
  <c r="I354" i="3"/>
  <c r="K404" i="3"/>
  <c r="J404" i="3"/>
  <c r="E406" i="3"/>
  <c r="D405" i="3"/>
  <c r="H355" i="3" l="1"/>
  <c r="I355" i="3"/>
  <c r="K355" i="3"/>
  <c r="J355" i="3" s="1"/>
  <c r="E407" i="3"/>
  <c r="D406" i="3"/>
  <c r="F356" i="3" l="1"/>
  <c r="K372" i="3"/>
  <c r="J372" i="3" s="1"/>
  <c r="K406" i="3"/>
  <c r="J406" i="3"/>
  <c r="E408" i="3"/>
  <c r="D407" i="3"/>
  <c r="I356" i="3" l="1"/>
  <c r="H356" i="3"/>
  <c r="F357" i="3" s="1"/>
  <c r="E409" i="3"/>
  <c r="D408" i="3"/>
  <c r="I357" i="3" l="1"/>
  <c r="H357" i="3"/>
  <c r="F358" i="3" s="1"/>
  <c r="K408" i="3"/>
  <c r="J408" i="3"/>
  <c r="E410" i="3"/>
  <c r="D409" i="3"/>
  <c r="H358" i="3" l="1"/>
  <c r="F359" i="3" s="1"/>
  <c r="I358" i="3"/>
  <c r="K409" i="3"/>
  <c r="J409" i="3"/>
  <c r="E411" i="3"/>
  <c r="D410" i="3"/>
  <c r="I359" i="3" l="1"/>
  <c r="H359" i="3"/>
  <c r="F360" i="3" s="1"/>
  <c r="E412" i="3"/>
  <c r="D411" i="3"/>
  <c r="I360" i="3" l="1"/>
  <c r="K360" i="3"/>
  <c r="J360" i="3" s="1"/>
  <c r="H360" i="3"/>
  <c r="E413" i="3"/>
  <c r="D412" i="3"/>
  <c r="K411" i="3"/>
  <c r="J411" i="3"/>
  <c r="F361" i="3" l="1"/>
  <c r="I361" i="3" s="1"/>
  <c r="K377" i="3"/>
  <c r="E414" i="3"/>
  <c r="D413" i="3"/>
  <c r="H361" i="3" l="1"/>
  <c r="F362" i="3" s="1"/>
  <c r="I362" i="3" s="1"/>
  <c r="J377" i="3"/>
  <c r="K413" i="3"/>
  <c r="J413" i="3"/>
  <c r="E415" i="3"/>
  <c r="D414" i="3"/>
  <c r="H362" i="3" l="1"/>
  <c r="F363" i="3" s="1"/>
  <c r="H363" i="3" s="1"/>
  <c r="F364" i="3" s="1"/>
  <c r="E416" i="3"/>
  <c r="D415" i="3"/>
  <c r="K414" i="3"/>
  <c r="J414" i="3"/>
  <c r="I363" i="3" l="1"/>
  <c r="H364" i="3"/>
  <c r="F365" i="3" s="1"/>
  <c r="I364" i="3"/>
  <c r="E417" i="3"/>
  <c r="D416" i="3"/>
  <c r="I365" i="3" l="1"/>
  <c r="K365" i="3"/>
  <c r="J365" i="3" s="1"/>
  <c r="H365" i="3"/>
  <c r="K416" i="3"/>
  <c r="J416" i="3"/>
  <c r="E418" i="3"/>
  <c r="D417" i="3"/>
  <c r="F366" i="3" l="1"/>
  <c r="K382" i="3"/>
  <c r="J382" i="3"/>
  <c r="E419" i="3"/>
  <c r="D418" i="3"/>
  <c r="H366" i="3" l="1"/>
  <c r="F367" i="3" s="1"/>
  <c r="I366" i="3"/>
  <c r="E420" i="3"/>
  <c r="D419" i="3"/>
  <c r="K418" i="3"/>
  <c r="J418" i="3"/>
  <c r="I367" i="3" l="1"/>
  <c r="H367" i="3"/>
  <c r="F368" i="3" s="1"/>
  <c r="E421" i="3"/>
  <c r="D420" i="3"/>
  <c r="K419" i="3"/>
  <c r="J419" i="3"/>
  <c r="I368" i="3" l="1"/>
  <c r="H368" i="3"/>
  <c r="F369" i="3" s="1"/>
  <c r="D421" i="3"/>
  <c r="K421" i="3" s="1"/>
  <c r="D54" i="2"/>
  <c r="D53" i="2"/>
  <c r="D49" i="2"/>
  <c r="D51" i="2"/>
  <c r="D50" i="2"/>
  <c r="D48" i="2"/>
  <c r="D52" i="2"/>
  <c r="D45" i="2" l="1"/>
  <c r="D47" i="2"/>
  <c r="J421" i="3"/>
  <c r="H369" i="3"/>
  <c r="F370" i="3" s="1"/>
  <c r="I369" i="3"/>
  <c r="H370" i="3" l="1"/>
  <c r="K370" i="3"/>
  <c r="J370" i="3" s="1"/>
  <c r="I370" i="3"/>
  <c r="K387" i="3"/>
  <c r="J387" i="3" s="1"/>
  <c r="F371" i="3" l="1"/>
  <c r="H371" i="3" s="1"/>
  <c r="F372" i="3" s="1"/>
  <c r="I371" i="3" l="1"/>
  <c r="H372" i="3"/>
  <c r="F373" i="3" s="1"/>
  <c r="I372" i="3"/>
  <c r="I373" i="3" l="1"/>
  <c r="H373" i="3"/>
  <c r="F374" i="3" s="1"/>
  <c r="H374" i="3" l="1"/>
  <c r="F375" i="3" s="1"/>
  <c r="I374" i="3"/>
  <c r="H375" i="3" l="1"/>
  <c r="I375" i="3"/>
  <c r="K375" i="3"/>
  <c r="J375" i="3" s="1"/>
  <c r="F376" i="3" l="1"/>
  <c r="K392" i="3"/>
  <c r="J392" i="3" s="1"/>
  <c r="H376" i="3" l="1"/>
  <c r="F377" i="3" s="1"/>
  <c r="I376" i="3"/>
  <c r="H377" i="3" l="1"/>
  <c r="F378" i="3" s="1"/>
  <c r="I377" i="3"/>
  <c r="H378" i="3" l="1"/>
  <c r="F379" i="3" s="1"/>
  <c r="I378" i="3"/>
  <c r="H379" i="3" l="1"/>
  <c r="F380" i="3" s="1"/>
  <c r="I379" i="3"/>
  <c r="I380" i="3" l="1"/>
  <c r="H380" i="3"/>
  <c r="K380" i="3"/>
  <c r="K397" i="3"/>
  <c r="J397" i="3"/>
  <c r="F381" i="3" l="1"/>
  <c r="J380" i="3"/>
  <c r="H381" i="3"/>
  <c r="F382" i="3" s="1"/>
  <c r="I381" i="3"/>
  <c r="I382" i="3" l="1"/>
  <c r="H382" i="3"/>
  <c r="F383" i="3" s="1"/>
  <c r="H383" i="3" l="1"/>
  <c r="F384" i="3" s="1"/>
  <c r="I383" i="3"/>
  <c r="H384" i="3" l="1"/>
  <c r="F385" i="3" s="1"/>
  <c r="I384" i="3"/>
  <c r="H385" i="3" l="1"/>
  <c r="I385" i="3"/>
  <c r="K385" i="3"/>
  <c r="F386" i="3" s="1"/>
  <c r="K402" i="3"/>
  <c r="J402" i="3"/>
  <c r="J385" i="3" l="1"/>
  <c r="I386" i="3"/>
  <c r="H386" i="3"/>
  <c r="F387" i="3" s="1"/>
  <c r="H387" i="3" l="1"/>
  <c r="F388" i="3" s="1"/>
  <c r="I387" i="3"/>
  <c r="H388" i="3" l="1"/>
  <c r="I388" i="3"/>
  <c r="F389" i="3"/>
  <c r="I389" i="3" l="1"/>
  <c r="H389" i="3"/>
  <c r="F390" i="3" s="1"/>
  <c r="I390" i="3" l="1"/>
  <c r="H390" i="3"/>
  <c r="K390" i="3"/>
  <c r="F391" i="3" s="1"/>
  <c r="J390" i="3" l="1"/>
  <c r="H391" i="3"/>
  <c r="F392" i="3" s="1"/>
  <c r="I391" i="3"/>
  <c r="K407" i="3"/>
  <c r="J407" i="3"/>
  <c r="H392" i="3" l="1"/>
  <c r="F393" i="3" s="1"/>
  <c r="I392" i="3"/>
  <c r="H393" i="3" l="1"/>
  <c r="F394" i="3" s="1"/>
  <c r="I393" i="3"/>
  <c r="I394" i="3" l="1"/>
  <c r="H394" i="3"/>
  <c r="F395" i="3" s="1"/>
  <c r="K395" i="3" l="1"/>
  <c r="J395" i="3" s="1"/>
  <c r="I395" i="3"/>
  <c r="H395" i="3"/>
  <c r="F396" i="3" l="1"/>
  <c r="H396" i="3" s="1"/>
  <c r="F397" i="3" s="1"/>
  <c r="I396" i="3" l="1"/>
  <c r="H397" i="3"/>
  <c r="F398" i="3" s="1"/>
  <c r="I397" i="3"/>
  <c r="K412" i="3"/>
  <c r="J412" i="3"/>
  <c r="I398" i="3" l="1"/>
  <c r="H398" i="3"/>
  <c r="F399" i="3" s="1"/>
  <c r="I399" i="3" l="1"/>
  <c r="H399" i="3"/>
  <c r="F400" i="3" s="1"/>
  <c r="H400" i="3" l="1"/>
  <c r="K400" i="3"/>
  <c r="I400" i="3"/>
  <c r="F401" i="3" l="1"/>
  <c r="I401" i="3" s="1"/>
  <c r="J400" i="3"/>
  <c r="H401" i="3"/>
  <c r="F402" i="3" s="1"/>
  <c r="I402" i="3" l="1"/>
  <c r="H402" i="3"/>
  <c r="F403" i="3" s="1"/>
  <c r="K417" i="3"/>
  <c r="J417" i="3"/>
  <c r="I403" i="3" l="1"/>
  <c r="H403" i="3"/>
  <c r="F404" i="3" s="1"/>
  <c r="H404" i="3" l="1"/>
  <c r="F405" i="3" s="1"/>
  <c r="I404" i="3"/>
  <c r="K405" i="3" l="1"/>
  <c r="J405" i="3" s="1"/>
  <c r="I405" i="3"/>
  <c r="H405" i="3"/>
  <c r="F406" i="3" l="1"/>
  <c r="H406" i="3" s="1"/>
  <c r="F407" i="3" s="1"/>
  <c r="I406" i="3" l="1"/>
  <c r="H407" i="3"/>
  <c r="F408" i="3" s="1"/>
  <c r="I407" i="3"/>
  <c r="E41" i="2"/>
  <c r="I408" i="3" l="1"/>
  <c r="H408" i="3"/>
  <c r="F409" i="3" s="1"/>
  <c r="H6" i="4"/>
  <c r="I409" i="3" l="1"/>
  <c r="H409" i="3"/>
  <c r="F410" i="3" s="1"/>
  <c r="H5" i="4"/>
  <c r="I410" i="3" l="1"/>
  <c r="H410" i="3"/>
  <c r="K410" i="3"/>
  <c r="J410" i="3" s="1"/>
  <c r="H7" i="4"/>
  <c r="F411" i="3" l="1"/>
  <c r="J3" i="4"/>
  <c r="H411" i="3" l="1"/>
  <c r="F412" i="3" s="1"/>
  <c r="I411" i="3"/>
  <c r="J4" i="4"/>
  <c r="H412" i="3" l="1"/>
  <c r="F413" i="3" s="1"/>
  <c r="I412" i="3"/>
  <c r="J5" i="4"/>
  <c r="H413" i="3" l="1"/>
  <c r="F414" i="3" s="1"/>
  <c r="I413" i="3"/>
  <c r="J6" i="4"/>
  <c r="I414" i="3" l="1"/>
  <c r="H414" i="3"/>
  <c r="F415" i="3" s="1"/>
  <c r="L8" i="4"/>
  <c r="H415" i="3" l="1"/>
  <c r="I415" i="3"/>
  <c r="K415" i="3"/>
  <c r="L9" i="4"/>
  <c r="J415" i="3" l="1"/>
  <c r="F416" i="3"/>
  <c r="L10" i="4"/>
  <c r="I416" i="3" l="1"/>
  <c r="H416" i="3"/>
  <c r="F417" i="3" s="1"/>
  <c r="L11" i="4"/>
  <c r="I417" i="3" l="1"/>
  <c r="H417" i="3"/>
  <c r="F418" i="3" s="1"/>
  <c r="L12" i="4"/>
  <c r="I418" i="3" l="1"/>
  <c r="H418" i="3"/>
  <c r="F419" i="3" s="1"/>
  <c r="L13" i="4"/>
  <c r="I419" i="3" l="1"/>
  <c r="H419" i="3"/>
  <c r="F420" i="3" s="1"/>
  <c r="L14" i="4"/>
  <c r="I420" i="3" l="1"/>
  <c r="H420" i="3"/>
  <c r="K420" i="3"/>
  <c r="N19" i="4"/>
  <c r="N3" i="4"/>
  <c r="F421" i="3" l="1"/>
  <c r="E39" i="2" s="1"/>
  <c r="J420" i="3"/>
  <c r="H421" i="3"/>
  <c r="I421" i="3"/>
  <c r="E42" i="2" s="1"/>
  <c r="D46" i="2"/>
  <c r="E40" i="2"/>
  <c r="E38" i="2"/>
  <c r="N20" i="4"/>
  <c r="N21" i="4"/>
  <c r="N22" i="4" l="1"/>
  <c r="N23" i="4" l="1"/>
</calcChain>
</file>

<file path=xl/sharedStrings.xml><?xml version="1.0" encoding="utf-8"?>
<sst xmlns="http://schemas.openxmlformats.org/spreadsheetml/2006/main" count="139" uniqueCount="131">
  <si>
    <t>CALCULATRICE DE POSITION</t>
  </si>
  <si>
    <t>REMARQUES : Ne modifier que les cases en jaune</t>
  </si>
  <si>
    <t>CALCULATEUR DE POSITION</t>
  </si>
  <si>
    <t>MON CAPITAL</t>
  </si>
  <si>
    <t>Montant du capital</t>
  </si>
  <si>
    <t>Début du journal de trading</t>
  </si>
  <si>
    <t>Début</t>
  </si>
  <si>
    <t>Fin</t>
  </si>
  <si>
    <t>STOP LOSS DE PROTECTION</t>
  </si>
  <si>
    <t>Stop placé à X points</t>
  </si>
  <si>
    <t>LE RISQUE</t>
  </si>
  <si>
    <t>% du risque accepté</t>
  </si>
  <si>
    <t>Nombre de positions simultanée</t>
  </si>
  <si>
    <t>Nombre de positions</t>
  </si>
  <si>
    <t>NOMBRE DE MICRO LOTS</t>
  </si>
  <si>
    <t>Valeur du lot</t>
  </si>
  <si>
    <t>Nombre de micro lots maximum à prendre</t>
  </si>
  <si>
    <t>OBJECTIF</t>
  </si>
  <si>
    <t>Objectif jour à</t>
  </si>
  <si>
    <t>Représentant maximum / € le point</t>
  </si>
  <si>
    <t>IMPACT / PERFORMANCE</t>
  </si>
  <si>
    <t>Gain prévisionnel maximum</t>
  </si>
  <si>
    <t>Perte prévisionnelle maximum</t>
  </si>
  <si>
    <t>Niveau de Risk Rendement</t>
  </si>
  <si>
    <t>% Evolution Capital</t>
  </si>
  <si>
    <t>Bilan</t>
  </si>
  <si>
    <t>Gains totaux :</t>
  </si>
  <si>
    <t>Capital de trading final :</t>
  </si>
  <si>
    <t>Rémunération totale :</t>
  </si>
  <si>
    <t>Montant du dernier retrait</t>
  </si>
  <si>
    <t>Lots maximum par position atteints :</t>
  </si>
  <si>
    <t>Somme des virements par année</t>
  </si>
  <si>
    <t>ANALYSE DU COURS</t>
  </si>
  <si>
    <t>Retrait fin de semaine (en %)</t>
  </si>
  <si>
    <t>POSITIONS</t>
  </si>
  <si>
    <t>Jous / Séances de trading</t>
  </si>
  <si>
    <t>Capital</t>
  </si>
  <si>
    <t>Evolution du capital par jour en %</t>
  </si>
  <si>
    <t>Gains par jour</t>
  </si>
  <si>
    <t>Lots par position (3 positions max Stop Loss 40 pts)</t>
  </si>
  <si>
    <t>Laisse</t>
  </si>
  <si>
    <t>Retrait</t>
  </si>
  <si>
    <t>DATES</t>
  </si>
  <si>
    <t>PROJECTIONS</t>
  </si>
  <si>
    <t>Périodes</t>
  </si>
  <si>
    <t>Correspondances</t>
  </si>
  <si>
    <t>Jours fériés</t>
  </si>
  <si>
    <t>Jours</t>
  </si>
  <si>
    <t>Projections</t>
  </si>
  <si>
    <t>Semaine</t>
  </si>
  <si>
    <t>Projections2</t>
  </si>
  <si>
    <t>Mois</t>
  </si>
  <si>
    <t>Projections3</t>
  </si>
  <si>
    <t>Année</t>
  </si>
  <si>
    <t>Projections4</t>
  </si>
  <si>
    <t>Stop loss</t>
  </si>
  <si>
    <t>Conditions</t>
  </si>
  <si>
    <t>Aucun retrait</t>
  </si>
  <si>
    <t>Date</t>
  </si>
  <si>
    <t>Lundi</t>
  </si>
  <si>
    <t>Janvier</t>
  </si>
  <si>
    <t>Par défaut</t>
  </si>
  <si>
    <t>Entrée</t>
  </si>
  <si>
    <t>Sortie</t>
  </si>
  <si>
    <t>Mardi</t>
  </si>
  <si>
    <t>Février</t>
  </si>
  <si>
    <t>Chiffre rond</t>
  </si>
  <si>
    <t>Exercice 1 : histogramme rouge</t>
  </si>
  <si>
    <t>Exercice 1 : histogramme vert</t>
  </si>
  <si>
    <t>Optimisé</t>
  </si>
  <si>
    <t>Mercredi</t>
  </si>
  <si>
    <t>Mars</t>
  </si>
  <si>
    <t>Filtre de tendance</t>
  </si>
  <si>
    <t>Jeudi</t>
  </si>
  <si>
    <t>Avril</t>
  </si>
  <si>
    <t>Plus haut précédent</t>
  </si>
  <si>
    <t>Exercice 2 : histogramme + MACD + filtre de tendance rouge</t>
  </si>
  <si>
    <t>Exercice 2 : histogramme + filtre de tendance vert</t>
  </si>
  <si>
    <t>Jour</t>
  </si>
  <si>
    <t>Vendredi</t>
  </si>
  <si>
    <t>Mai</t>
  </si>
  <si>
    <t>Plus bas précédent</t>
  </si>
  <si>
    <t>Exercice 2 : histogramme + MACD + filtre de tendance vert</t>
  </si>
  <si>
    <t>Exercice 2 : histogramme +  filtre de tendance rouge</t>
  </si>
  <si>
    <t>Premier jour de la semaine</t>
  </si>
  <si>
    <t>Juin</t>
  </si>
  <si>
    <t>R3</t>
  </si>
  <si>
    <t>Exercice 3 : histogramme + MACD + filtre de tendance rouge + Intervale -3</t>
  </si>
  <si>
    <t>Exercice 4 : point haut atteind</t>
  </si>
  <si>
    <t>Dernier jour de la semaine</t>
  </si>
  <si>
    <t>Juillet</t>
  </si>
  <si>
    <t>M5</t>
  </si>
  <si>
    <t>Exercice 3 : histogramme + MACD + filtre de tendance vert + Intervale +3</t>
  </si>
  <si>
    <t>Exercice 4 : point bas atteind</t>
  </si>
  <si>
    <t>Premier jour du mois</t>
  </si>
  <si>
    <t>Août</t>
  </si>
  <si>
    <t>R2</t>
  </si>
  <si>
    <t>Exercice 4 : achat sur point bas</t>
  </si>
  <si>
    <t>Exercice 4 : prise de bénéfices sur ligne technique</t>
  </si>
  <si>
    <t>Dernier jour du mois</t>
  </si>
  <si>
    <t>Septembre</t>
  </si>
  <si>
    <t>M4</t>
  </si>
  <si>
    <t>Exercice 4 : vente sur point haut</t>
  </si>
  <si>
    <t>Prise de bénéfice</t>
  </si>
  <si>
    <t>Premier jour de l'année</t>
  </si>
  <si>
    <t>Octobre</t>
  </si>
  <si>
    <t>R1</t>
  </si>
  <si>
    <t>Exercice 4 : achat sur ligne technique</t>
  </si>
  <si>
    <t>Stop touché</t>
  </si>
  <si>
    <t>Dernier jour de l'année</t>
  </si>
  <si>
    <t>Novembre</t>
  </si>
  <si>
    <t>M3</t>
  </si>
  <si>
    <t>Exercice 4 : vente sur ligne techique</t>
  </si>
  <si>
    <t>Clôture de position</t>
  </si>
  <si>
    <t>Décembre</t>
  </si>
  <si>
    <t>PP</t>
  </si>
  <si>
    <t>Entrée sur le marché</t>
  </si>
  <si>
    <t>M2</t>
  </si>
  <si>
    <t>S1</t>
  </si>
  <si>
    <t>M1</t>
  </si>
  <si>
    <t>S2</t>
  </si>
  <si>
    <t>M0</t>
  </si>
  <si>
    <t>S3</t>
  </si>
  <si>
    <t>Suiveur</t>
  </si>
  <si>
    <t>Médiane du gap</t>
  </si>
  <si>
    <t>Médiane range</t>
  </si>
  <si>
    <t>Libre</t>
  </si>
  <si>
    <t>Zones</t>
  </si>
  <si>
    <t>BE</t>
  </si>
  <si>
    <t>Date de départ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</si>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</sst>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* #,##0.00\ &quot;€&quot;_-;\-* #,##0.00\ &quot;€&quot;_-;_-* &quot;-&quot;??\ &quot;€&quot;_-;_-@_-"/>
    <numFmt numFmtId="164" formatCode="#,##0\ &quot;€&quot;"/>
    <numFmt numFmtId="165" formatCode="General\ &quot;points&quot;"/>
    <numFmt numFmtId="166" formatCode="#,##0.00\ &quot;€&quot;"/>
    <numFmt numFmtId="167" formatCode="#,##0.0\ &quot;€&quot;"/>
    <numFmt numFmtId="168" formatCode="0.0"/>
    <numFmt numFmtId="169" formatCode="General\ &quot;%&quot;"/>
    <numFmt numFmtId="170" formatCode="[$-F800]dddd\,\ mmmm\ dd\,\ yyyy"/>
    <numFmt numFmtId="171" formatCode="_-* #,##0.00\ [$€-40C]_-;\-* #,##0.0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9"/>
      <color theme="0"/>
      <name val="Calibri"/>
      <family val="2"/>
      <scheme val="minor"/>
    </font>
    <font>
      <b/>
      <sz val="15"/>
      <color theme="0"/>
      <name val="Calibri"/>
      <family val="2"/>
      <scheme val="minor"/>
    </font>
    <font>
      <b/>
      <sz val="15"/>
      <name val="Calibri"/>
      <family val="2"/>
      <scheme val="minor"/>
    </font>
    <font>
      <sz val="12"/>
      <color theme="1"/>
      <name val="Calibri"/>
      <family val="2"/>
      <scheme val="minor"/>
    </font>
    <font>
      <sz val="15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5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theme="4" tint="-0.249977111117893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medium">
        <color theme="1"/>
      </bottom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medium">
        <color indexed="64"/>
      </right>
      <top/>
      <bottom style="medium">
        <color theme="1"/>
      </bottom>
      <diagonal/>
    </border>
    <border>
      <left style="medium">
        <color indexed="64"/>
      </left>
      <right style="thin">
        <color theme="0" tint="-0.34998626667073579"/>
      </right>
      <top style="medium">
        <color theme="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/>
      <top style="thin">
        <color indexed="64"/>
      </top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4">
    <xf numFmtId="0" fontId="0" fillId="0" borderId="0" xfId="0"/>
    <xf numFmtId="0" fontId="3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5" borderId="4" xfId="0" applyFont="1" applyFill="1" applyBorder="1" applyAlignment="1">
      <alignment horizontal="left" vertical="center"/>
    </xf>
    <xf numFmtId="0" fontId="5" fillId="5" borderId="0" xfId="0" applyFont="1" applyFill="1" applyAlignment="1">
      <alignment horizontal="left" vertical="center"/>
    </xf>
    <xf numFmtId="0" fontId="3" fillId="5" borderId="5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left" vertical="center"/>
    </xf>
    <xf numFmtId="0" fontId="5" fillId="0" borderId="8" xfId="0" applyFont="1" applyBorder="1" applyAlignment="1">
      <alignment vertical="center"/>
    </xf>
    <xf numFmtId="164" fontId="5" fillId="3" borderId="8" xfId="0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8" fillId="0" borderId="8" xfId="0" applyFont="1" applyBorder="1" applyAlignment="1">
      <alignment vertical="center"/>
    </xf>
    <xf numFmtId="14" fontId="8" fillId="0" borderId="8" xfId="0" applyNumberFormat="1" applyFont="1" applyBorder="1" applyAlignment="1">
      <alignment vertical="center"/>
    </xf>
    <xf numFmtId="0" fontId="3" fillId="5" borderId="9" xfId="0" applyFont="1" applyFill="1" applyBorder="1" applyAlignment="1">
      <alignment horizontal="left" vertical="center"/>
    </xf>
    <xf numFmtId="165" fontId="5" fillId="3" borderId="10" xfId="0" applyNumberFormat="1" applyFont="1" applyFill="1" applyBorder="1" applyAlignment="1">
      <alignment horizontal="center" vertical="center"/>
    </xf>
    <xf numFmtId="9" fontId="5" fillId="6" borderId="8" xfId="2" applyFont="1" applyFill="1" applyBorder="1" applyAlignment="1">
      <alignment horizontal="center" vertical="center"/>
    </xf>
    <xf numFmtId="0" fontId="5" fillId="7" borderId="8" xfId="0" applyFont="1" applyFill="1" applyBorder="1" applyAlignment="1">
      <alignment vertical="center"/>
    </xf>
    <xf numFmtId="0" fontId="5" fillId="3" borderId="8" xfId="0" applyNumberFormat="1" applyFont="1" applyFill="1" applyBorder="1" applyAlignment="1">
      <alignment horizontal="center" vertical="center"/>
    </xf>
    <xf numFmtId="166" fontId="5" fillId="0" borderId="8" xfId="0" applyNumberFormat="1" applyFont="1" applyFill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165" fontId="5" fillId="0" borderId="8" xfId="0" applyNumberFormat="1" applyFont="1" applyFill="1" applyBorder="1" applyAlignment="1">
      <alignment horizontal="center" vertical="center"/>
    </xf>
    <xf numFmtId="167" fontId="5" fillId="0" borderId="8" xfId="0" applyNumberFormat="1" applyFont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167" fontId="5" fillId="2" borderId="0" xfId="0" applyNumberFormat="1" applyFont="1" applyFill="1" applyAlignment="1">
      <alignment horizontal="left" vertical="center"/>
    </xf>
    <xf numFmtId="166" fontId="5" fillId="0" borderId="8" xfId="0" applyNumberFormat="1" applyFont="1" applyBorder="1" applyAlignment="1">
      <alignment horizontal="center" vertical="center"/>
    </xf>
    <xf numFmtId="168" fontId="8" fillId="0" borderId="8" xfId="0" applyNumberFormat="1" applyFont="1" applyBorder="1" applyAlignment="1">
      <alignment horizontal="center" vertical="center"/>
    </xf>
    <xf numFmtId="169" fontId="5" fillId="3" borderId="8" xfId="2" applyNumberFormat="1" applyFont="1" applyFill="1" applyBorder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1" fontId="5" fillId="0" borderId="8" xfId="0" applyNumberFormat="1" applyFont="1" applyFill="1" applyBorder="1" applyAlignment="1">
      <alignment horizontal="center" vertical="center"/>
    </xf>
    <xf numFmtId="0" fontId="3" fillId="8" borderId="0" xfId="0" applyFont="1" applyFill="1" applyAlignment="1">
      <alignment horizontal="left" vertical="center"/>
    </xf>
    <xf numFmtId="0" fontId="3" fillId="5" borderId="13" xfId="0" applyFont="1" applyFill="1" applyBorder="1" applyAlignment="1">
      <alignment horizontal="left" vertical="center"/>
    </xf>
    <xf numFmtId="0" fontId="3" fillId="5" borderId="14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ont="1" applyFill="1" applyBorder="1" applyAlignment="1">
      <alignment horizontal="left" vertical="center"/>
    </xf>
    <xf numFmtId="0" fontId="6" fillId="4" borderId="15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left" vertical="center"/>
    </xf>
    <xf numFmtId="9" fontId="11" fillId="3" borderId="19" xfId="2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9" borderId="20" xfId="0" applyNumberFormat="1" applyFont="1" applyFill="1" applyBorder="1" applyAlignment="1">
      <alignment horizontal="center" vertical="center" wrapText="1"/>
    </xf>
    <xf numFmtId="49" fontId="12" fillId="9" borderId="21" xfId="0" applyNumberFormat="1" applyFont="1" applyFill="1" applyBorder="1" applyAlignment="1">
      <alignment horizontal="center" vertical="center" wrapText="1"/>
    </xf>
    <xf numFmtId="49" fontId="12" fillId="9" borderId="22" xfId="0" applyNumberFormat="1" applyFont="1" applyFill="1" applyBorder="1" applyAlignment="1">
      <alignment horizontal="center" vertical="center" wrapText="1"/>
    </xf>
    <xf numFmtId="170" fontId="9" fillId="0" borderId="23" xfId="0" applyNumberFormat="1" applyFont="1" applyFill="1" applyBorder="1" applyAlignment="1">
      <alignment horizontal="center" vertical="center"/>
    </xf>
    <xf numFmtId="166" fontId="9" fillId="0" borderId="24" xfId="1" applyNumberFormat="1" applyFont="1" applyFill="1" applyBorder="1" applyAlignment="1">
      <alignment horizontal="center" vertical="center"/>
    </xf>
    <xf numFmtId="0" fontId="9" fillId="0" borderId="24" xfId="2" applyNumberFormat="1" applyFont="1" applyFill="1" applyBorder="1" applyAlignment="1">
      <alignment horizontal="center" vertical="center"/>
    </xf>
    <xf numFmtId="44" fontId="9" fillId="0" borderId="24" xfId="1" applyFont="1" applyFill="1" applyBorder="1" applyAlignment="1">
      <alignment horizontal="center" vertical="center"/>
    </xf>
    <xf numFmtId="3" fontId="9" fillId="0" borderId="24" xfId="0" applyNumberFormat="1" applyFont="1" applyFill="1" applyBorder="1" applyAlignment="1">
      <alignment horizontal="center" vertical="center"/>
    </xf>
    <xf numFmtId="44" fontId="9" fillId="0" borderId="25" xfId="1" applyFont="1" applyFill="1" applyBorder="1" applyAlignment="1">
      <alignment horizontal="center" vertical="center"/>
    </xf>
    <xf numFmtId="44" fontId="9" fillId="0" borderId="26" xfId="1" applyFont="1" applyFill="1" applyBorder="1" applyAlignment="1">
      <alignment horizontal="center" vertical="center"/>
    </xf>
    <xf numFmtId="170" fontId="9" fillId="0" borderId="27" xfId="0" applyNumberFormat="1" applyFont="1" applyFill="1" applyBorder="1" applyAlignment="1">
      <alignment horizontal="center" vertical="center"/>
    </xf>
    <xf numFmtId="166" fontId="9" fillId="0" borderId="28" xfId="1" applyNumberFormat="1" applyFont="1" applyFill="1" applyBorder="1" applyAlignment="1">
      <alignment horizontal="center" vertical="center"/>
    </xf>
    <xf numFmtId="166" fontId="9" fillId="2" borderId="0" xfId="0" applyNumberFormat="1" applyFont="1" applyFill="1" applyBorder="1" applyAlignment="1">
      <alignment horizontal="left" vertical="center"/>
    </xf>
    <xf numFmtId="9" fontId="9" fillId="2" borderId="0" xfId="0" applyNumberFormat="1" applyFont="1" applyFill="1" applyBorder="1" applyAlignment="1">
      <alignment horizontal="left" vertical="center"/>
    </xf>
    <xf numFmtId="44" fontId="9" fillId="2" borderId="0" xfId="0" applyNumberFormat="1" applyFont="1" applyFill="1" applyBorder="1" applyAlignment="1">
      <alignment horizontal="left" vertical="center"/>
    </xf>
    <xf numFmtId="20" fontId="0" fillId="2" borderId="0" xfId="0" applyNumberFormat="1" applyFont="1" applyFill="1" applyBorder="1" applyAlignment="1">
      <alignment horizontal="left" vertical="center"/>
    </xf>
    <xf numFmtId="14" fontId="0" fillId="2" borderId="0" xfId="0" applyNumberFormat="1" applyFont="1" applyFill="1" applyBorder="1" applyAlignment="1">
      <alignment horizontal="left" vertical="center"/>
    </xf>
    <xf numFmtId="170" fontId="9" fillId="0" borderId="29" xfId="0" applyNumberFormat="1" applyFont="1" applyFill="1" applyBorder="1" applyAlignment="1">
      <alignment horizontal="center" vertical="center"/>
    </xf>
    <xf numFmtId="0" fontId="9" fillId="0" borderId="30" xfId="0" applyNumberFormat="1" applyFont="1" applyFill="1" applyBorder="1" applyAlignment="1">
      <alignment horizontal="center" vertical="center"/>
    </xf>
    <xf numFmtId="0" fontId="0" fillId="0" borderId="0" xfId="0" applyAlignment="1"/>
    <xf numFmtId="170" fontId="0" fillId="0" borderId="0" xfId="0" applyNumberFormat="1"/>
    <xf numFmtId="14" fontId="0" fillId="0" borderId="0" xfId="0" applyNumberFormat="1"/>
    <xf numFmtId="0" fontId="2" fillId="0" borderId="8" xfId="0" applyFont="1" applyBorder="1" applyAlignment="1" applyProtection="1">
      <alignment horizontal="center"/>
    </xf>
    <xf numFmtId="9" fontId="0" fillId="0" borderId="0" xfId="2" applyFont="1"/>
    <xf numFmtId="171" fontId="0" fillId="0" borderId="0" xfId="0" applyNumberFormat="1"/>
    <xf numFmtId="44" fontId="0" fillId="0" borderId="0" xfId="1" applyFont="1"/>
    <xf numFmtId="0" fontId="0" fillId="0" borderId="8" xfId="0" applyBorder="1"/>
    <xf numFmtId="0" fontId="2" fillId="0" borderId="8" xfId="0" applyFont="1" applyBorder="1" applyProtection="1"/>
    <xf numFmtId="9" fontId="0" fillId="0" borderId="0" xfId="0" applyNumberFormat="1"/>
    <xf numFmtId="166" fontId="0" fillId="0" borderId="8" xfId="0" applyNumberFormat="1" applyBorder="1" applyProtection="1"/>
    <xf numFmtId="0" fontId="0" fillId="0" borderId="8" xfId="0" applyBorder="1" applyProtection="1"/>
    <xf numFmtId="44" fontId="0" fillId="0" borderId="0" xfId="0" applyNumberFormat="1"/>
    <xf numFmtId="0" fontId="0" fillId="0" borderId="8" xfId="0" applyFill="1" applyBorder="1" applyProtection="1"/>
    <xf numFmtId="166" fontId="0" fillId="0" borderId="0" xfId="0" applyNumberFormat="1"/>
    <xf numFmtId="0" fontId="13" fillId="0" borderId="0" xfId="0" applyFont="1" applyFill="1" applyAlignment="1">
      <alignment horizontal="left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166" fontId="5" fillId="0" borderId="11" xfId="0" applyNumberFormat="1" applyFont="1" applyFill="1" applyBorder="1" applyAlignment="1">
      <alignment horizontal="center" vertical="center"/>
    </xf>
    <xf numFmtId="166" fontId="5" fillId="0" borderId="1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8" xfId="0" applyFont="1" applyBorder="1" applyAlignment="1" applyProtection="1">
      <alignment horizontal="center"/>
    </xf>
    <xf numFmtId="2" fontId="3" fillId="2" borderId="0" xfId="0" applyNumberFormat="1" applyFont="1" applyFill="1" applyAlignment="1">
      <alignment horizontal="left" vertical="center"/>
    </xf>
    <xf numFmtId="0" fontId="7" fillId="4" borderId="9" xfId="0" applyFont="1" applyFill="1" applyBorder="1" applyAlignment="1">
      <alignment horizontal="center" vertical="center"/>
    </xf>
    <xf numFmtId="0" fontId="3" fillId="5" borderId="31" xfId="0" applyFont="1" applyFill="1" applyBorder="1" applyAlignment="1">
      <alignment horizontal="left" vertical="center"/>
    </xf>
    <xf numFmtId="0" fontId="3" fillId="5" borderId="32" xfId="0" applyFont="1" applyFill="1" applyBorder="1" applyAlignment="1">
      <alignment horizontal="left" vertical="center"/>
    </xf>
  </cellXfs>
  <cellStyles count="3">
    <cellStyle name="Monétaire" xfId="1" builtinId="4"/>
    <cellStyle name="Normal" xfId="0" builtinId="0"/>
    <cellStyle name="Pourcentage" xfId="2" builtinId="5"/>
  </cellStyles>
  <dxfs count="28">
    <dxf>
      <fill>
        <patternFill>
          <bgColor rgb="FFFFC000"/>
        </patternFill>
      </fill>
    </dxf>
    <dxf>
      <font>
        <b/>
        <i val="0"/>
      </font>
    </dxf>
    <dxf>
      <fill>
        <patternFill>
          <bgColor rgb="FF9BBB59"/>
        </patternFill>
      </fill>
    </dxf>
    <dxf>
      <fill>
        <patternFill>
          <bgColor rgb="FFFCD4B4"/>
        </patternFill>
      </fill>
    </dxf>
    <dxf>
      <fill>
        <patternFill>
          <bgColor rgb="FFF79646"/>
        </patternFill>
      </fill>
    </dxf>
    <dxf>
      <fill>
        <patternFill>
          <bgColor rgb="FFC0504D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171" formatCode="_-* #,##0.00\ [$€-40C]_-;\-* #,##0.00\ [$€-40C]_-;_-* &quot;-&quot;??\ [$€-40C]_-;_-@_-"/>
    </dxf>
    <dxf>
      <numFmt numFmtId="170" formatCode="[$-F800]dddd\,\ mmmm\ dd\,\ yyyy"/>
    </dxf>
    <dxf>
      <numFmt numFmtId="19" formatCode="dd/mm/yyyy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4" formatCode="#,##0.0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" formatCode="#,##0"/>
      <fill>
        <patternFill patternType="solid">
          <fgColor indexed="64"/>
          <bgColor rgb="FFFFFFA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/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AB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indexed="64"/>
          <bgColor rgb="FFFFFFAB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#,##0.00\ &quot;€&quot;"/>
      <fill>
        <patternFill patternType="solid">
          <fgColor indexed="64"/>
          <bgColor rgb="FFFFFFAB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0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border outline="0">
        <right style="medium">
          <color rgb="FF000000"/>
        </right>
        <bottom style="thin">
          <color rgb="FFA6A6A6"/>
        </bottom>
      </border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30" formatCode="@"/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1"/>
        </left>
        <right style="thin">
          <color theme="1"/>
        </right>
        <top/>
        <bottom/>
        <vertical style="thin">
          <color theme="1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69850</xdr:colOff>
      <xdr:row>14</xdr:row>
      <xdr:rowOff>0</xdr:rowOff>
    </xdr:from>
    <xdr:to>
      <xdr:col>5</xdr:col>
      <xdr:colOff>336550</xdr:colOff>
      <xdr:row>15</xdr:row>
      <xdr:rowOff>20874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56250" y="3705225"/>
          <a:ext cx="266700" cy="258999"/>
        </a:xfrm>
        <a:prstGeom prst="rect">
          <a:avLst/>
        </a:prstGeom>
      </xdr:spPr>
    </xdr:pic>
    <xdr:clientData/>
  </xdr:twoCellAnchor>
  <xdr:twoCellAnchor editAs="oneCell">
    <xdr:from>
      <xdr:col>5</xdr:col>
      <xdr:colOff>95250</xdr:colOff>
      <xdr:row>17</xdr:row>
      <xdr:rowOff>0</xdr:rowOff>
    </xdr:from>
    <xdr:to>
      <xdr:col>5</xdr:col>
      <xdr:colOff>349250</xdr:colOff>
      <xdr:row>18</xdr:row>
      <xdr:rowOff>7007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1650" y="4419600"/>
          <a:ext cx="254000" cy="245132"/>
        </a:xfrm>
        <a:prstGeom prst="rect">
          <a:avLst/>
        </a:prstGeom>
      </xdr:spPr>
    </xdr:pic>
    <xdr:clientData/>
  </xdr:twoCellAnchor>
  <xdr:twoCellAnchor editAs="oneCell">
    <xdr:from>
      <xdr:col>5</xdr:col>
      <xdr:colOff>58750</xdr:colOff>
      <xdr:row>7</xdr:row>
      <xdr:rowOff>0</xdr:rowOff>
    </xdr:from>
    <xdr:to>
      <xdr:col>5</xdr:col>
      <xdr:colOff>325450</xdr:colOff>
      <xdr:row>8</xdr:row>
      <xdr:rowOff>17809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45150" y="2038350"/>
          <a:ext cx="266700" cy="255934"/>
        </a:xfrm>
        <a:prstGeom prst="rect">
          <a:avLst/>
        </a:prstGeom>
      </xdr:spPr>
    </xdr:pic>
    <xdr:clientData/>
  </xdr:twoCellAnchor>
  <xdr:twoCellAnchor editAs="oneCell">
    <xdr:from>
      <xdr:col>5</xdr:col>
      <xdr:colOff>80950</xdr:colOff>
      <xdr:row>22</xdr:row>
      <xdr:rowOff>172725</xdr:rowOff>
    </xdr:from>
    <xdr:to>
      <xdr:col>5</xdr:col>
      <xdr:colOff>336550</xdr:colOff>
      <xdr:row>24</xdr:row>
      <xdr:rowOff>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7350" y="5782950"/>
          <a:ext cx="255600" cy="303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ropbox/ALTI%20Trading/1.%20Trading/ALTITRADER&#174;%20-%20201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Travail\Personnel\Bourse\Journal\Journal%20de%20trading%20v3.xlt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tions"/>
      <sheetName val="Hebd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 Version"/>
      <sheetName val="Paramétrage"/>
      <sheetName val="Analyse Cours"/>
      <sheetName val="Dashboard"/>
      <sheetName val="Simulateur Calculatrice Pos."/>
      <sheetName val="Simulateur Gains"/>
      <sheetName val="Simulateur Projection Rent."/>
      <sheetName val="Journal"/>
      <sheetName val="Trader Rentable"/>
      <sheetName val="Perfomance Trading"/>
      <sheetName val="Simulation"/>
      <sheetName val="Travail"/>
      <sheetName val="Paramètres"/>
      <sheetName val="Feuil2"/>
      <sheetName val="Journal de trading v3"/>
    </sheetNames>
    <sheetDataSet>
      <sheetData sheetId="0"/>
      <sheetData sheetId="1">
        <row r="11">
          <cell r="E11">
            <v>44197</v>
          </cell>
        </row>
        <row r="15">
          <cell r="E15">
            <v>0.1</v>
          </cell>
        </row>
        <row r="18">
          <cell r="E18">
            <v>0.02</v>
          </cell>
        </row>
        <row r="25">
          <cell r="E25">
            <v>750</v>
          </cell>
        </row>
        <row r="28">
          <cell r="E28">
            <v>0.05</v>
          </cell>
        </row>
        <row r="31">
          <cell r="D31" t="str">
            <v>Jour de l'an</v>
          </cell>
          <cell r="E31">
            <v>44197</v>
          </cell>
        </row>
        <row r="32">
          <cell r="D32" t="str">
            <v>Vendredi Saint</v>
          </cell>
          <cell r="E32">
            <v>44288</v>
          </cell>
        </row>
        <row r="33">
          <cell r="D33" t="str">
            <v>lundi de Pâques</v>
          </cell>
          <cell r="E33">
            <v>44291</v>
          </cell>
        </row>
        <row r="34">
          <cell r="D34" t="str">
            <v>Fête de travail</v>
          </cell>
          <cell r="E34">
            <v>44317</v>
          </cell>
        </row>
        <row r="35">
          <cell r="D35" t="str">
            <v>Noël</v>
          </cell>
          <cell r="E35">
            <v>44555</v>
          </cell>
        </row>
      </sheetData>
      <sheetData sheetId="2"/>
      <sheetData sheetId="3"/>
      <sheetData sheetId="4">
        <row r="8">
          <cell r="E8">
            <v>1500</v>
          </cell>
        </row>
        <row r="15">
          <cell r="E15">
            <v>40</v>
          </cell>
        </row>
        <row r="21">
          <cell r="E21">
            <v>3</v>
          </cell>
        </row>
        <row r="24">
          <cell r="E24">
            <v>0.1</v>
          </cell>
        </row>
        <row r="35">
          <cell r="E35">
            <v>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ositions" displayName="Positions" ref="E6:K421" totalsRowShown="0" headerRowDxfId="27" headerRowBorderDxfId="26" tableBorderDxfId="25">
  <autoFilter ref="E6:K421" xr:uid="{00000000-0009-0000-0100-000001000000}">
    <filterColumn colId="0">
      <customFilters and="1">
        <customFilter operator="greaterThanOrEqual" val="44348"/>
        <customFilter operator="lessThanOrEqual" val="44746"/>
      </customFilters>
    </filterColumn>
  </autoFilter>
  <tableColumns count="7">
    <tableColumn id="2" xr3:uid="{00000000-0010-0000-0000-000002000000}" name="Jous / Séances de trading" dataDxfId="24"/>
    <tableColumn id="3" xr3:uid="{00000000-0010-0000-0000-000003000000}" name="Capital" dataDxfId="23" dataCellStyle="Monétaire">
      <calculatedColumnFormula>'[2]Simulateur Calculatrice Pos.'!E8+Positions[[#This Row],[Gains par jour]]</calculatedColumnFormula>
    </tableColumn>
    <tableColumn id="4" xr3:uid="{00000000-0010-0000-0000-000004000000}" name="Evolution du capital par jour en %" dataDxfId="22">
      <calculatedColumnFormula>'[2]Simulateur Calculatrice Pos.'!$E$35</calculatedColumnFormula>
    </tableColumn>
    <tableColumn id="5" xr3:uid="{00000000-0010-0000-0000-000005000000}" name="Gains par jour" dataDxfId="21" dataCellStyle="Monétaire">
      <calculatedColumnFormula>Positions[[#This Row],[Capital]]*Positions[[#This Row],[Evolution du capital par jour en %]]%</calculatedColumnFormula>
    </tableColumn>
    <tableColumn id="6" xr3:uid="{00000000-0010-0000-0000-000006000000}" name="Lots par position (3 positions max Stop Loss 40 pts)" dataDxfId="20">
      <calculatedColumnFormula>ROUND((((Positions[[#This Row],[Capital]]*Positions[[#This Row],[Evolution du capital par jour en %]]%)/('[2]Simulateur Calculatrice Pos.'!$E$15*'[2]Simulateur Calculatrice Pos.'!$E$24))/'[2]Simulateur Calculatrice Pos.'!$E$21),0)</calculatedColumnFormula>
    </tableColumn>
    <tableColumn id="7" xr3:uid="{00000000-0010-0000-0000-000007000000}" name="Laisse" dataDxfId="19">
      <calculatedColumnFormula>IFERROR(IF(WEEKDAY(Positions[[#This Row],[Jous / Séances de trading]],2)=5,(((VLOOKUP(5,D3:F7,3,FALSE))-(VLOOKUP(1,D3:F7,3,FALSE)))-K7),0),)</calculatedColumnFormula>
    </tableColumn>
    <tableColumn id="8" xr3:uid="{00000000-0010-0000-0000-000008000000}" name="Retrait" dataDxfId="18">
      <calculatedColumnFormula>IFERROR(IF(WEEKDAY(Positions[[#This Row],[Jous / Séances de trading]],2)=5,IF($B$6="Aucun retrait",0,IF($B$6=75%,(((VLOOKUP(5,D3:F7,3,FALSE))-(VLOOKUP(1,D3:F7,3,FALSE)))*75%))),0),)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Dates" displayName="Dates" ref="A2:B15" totalsRowShown="0" headerRowDxfId="17">
  <autoFilter ref="A2:B15" xr:uid="{00000000-0009-0000-0100-000002000000}"/>
  <tableColumns count="2">
    <tableColumn id="1" xr3:uid="{00000000-0010-0000-0100-000001000000}" name="Périodes"/>
    <tableColumn id="2" xr3:uid="{00000000-0010-0000-0100-000002000000}" name="Correspondances" dataDxfId="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JFériés" displayName="JFériés" ref="D2:E7" totalsRowShown="0">
  <autoFilter ref="D2:E7" xr:uid="{00000000-0009-0000-0100-000003000000}"/>
  <tableColumns count="2">
    <tableColumn id="1" xr3:uid="{00000000-0010-0000-0200-000001000000}" name="Jours fériés">
      <calculatedColumnFormula>[2]Paramétrage!D31</calculatedColumnFormula>
    </tableColumn>
    <tableColumn id="2" xr3:uid="{00000000-0010-0000-0200-000002000000}" name="Correspondances" dataDxfId="15">
      <calculatedColumnFormula>DATE($B$4,1,1)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Projections" displayName="Projections" ref="G2:N55" totalsRowShown="0">
  <autoFilter ref="G2:N55" xr:uid="{00000000-0009-0000-0100-000004000000}"/>
  <tableColumns count="8">
    <tableColumn id="1" xr3:uid="{00000000-0010-0000-0300-000001000000}" name="Jours"/>
    <tableColumn id="2" xr3:uid="{00000000-0010-0000-0300-000002000000}" name="Projections" dataDxfId="14">
      <calculatedColumnFormula>('[2]Simulateur Projection Rent.'!$F$7*'[2]Simulateur Projection Rent.'!$F$5)+'[2]Simulateur Projection Rent.'!$F$7</calculatedColumnFormula>
    </tableColumn>
    <tableColumn id="3" xr3:uid="{00000000-0010-0000-0300-000003000000}" name="Semaine"/>
    <tableColumn id="4" xr3:uid="{00000000-0010-0000-0300-000004000000}" name="Projections2" dataDxfId="13">
      <calculatedColumnFormula>VLOOKUP(B9,[2]!Positions[#Data],2,FALSE)</calculatedColumnFormula>
    </tableColumn>
    <tableColumn id="5" xr3:uid="{00000000-0010-0000-0300-000005000000}" name="Mois"/>
    <tableColumn id="6" xr3:uid="{00000000-0010-0000-0300-000006000000}" name="Projections3" dataDxfId="12">
      <calculatedColumnFormula>VLOOKUP(B8,[2]!Positions[#Data],2,FALSE)</calculatedColumnFormula>
    </tableColumn>
    <tableColumn id="7" xr3:uid="{00000000-0010-0000-0300-000007000000}" name="Année"/>
    <tableColumn id="8" xr3:uid="{00000000-0010-0000-0300-000008000000}" name="Projections4" dataDxfId="11">
      <calculatedColumnFormula>IFERROR(VLOOKUP(WORKDAY(EOMONTH([2]Paramétrage!E11+365,0)+1,-1,JFériés[Correspondances]),[2]!Positions[#Data],2,FALSE),0)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0" tint="-0.499984740745262"/>
  </sheetPr>
  <dimension ref="A1:H55"/>
  <sheetViews>
    <sheetView tabSelected="1" zoomScaleNormal="100" workbookViewId="0">
      <selection activeCell="E13" sqref="E13"/>
    </sheetView>
  </sheetViews>
  <sheetFormatPr baseColWidth="10" defaultColWidth="11.140625" defaultRowHeight="19.5" x14ac:dyDescent="0.25"/>
  <cols>
    <col min="1" max="2" width="3" style="1" customWidth="1"/>
    <col min="3" max="3" width="5.85546875" style="1" customWidth="1"/>
    <col min="4" max="4" width="53.42578125" style="2" bestFit="1" customWidth="1"/>
    <col min="5" max="5" width="18.5703125" style="1" bestFit="1" customWidth="1"/>
    <col min="6" max="6" width="5.85546875" style="1" customWidth="1"/>
    <col min="7" max="7" width="7.85546875" style="1" customWidth="1"/>
    <col min="8" max="8" width="111.28515625" style="1" bestFit="1" customWidth="1"/>
    <col min="9" max="9" width="11.140625" style="1"/>
    <col min="10" max="10" width="35.42578125" style="1" bestFit="1" customWidth="1"/>
    <col min="11" max="11" width="11.85546875" style="1" bestFit="1" customWidth="1"/>
    <col min="12" max="16384" width="11.140625" style="1"/>
  </cols>
  <sheetData>
    <row r="1" spans="1:6" ht="28.5" x14ac:dyDescent="0.25">
      <c r="C1" s="78" t="s">
        <v>0</v>
      </c>
      <c r="D1" s="78"/>
      <c r="E1" s="78"/>
      <c r="F1" s="78"/>
    </row>
    <row r="3" spans="1:6" x14ac:dyDescent="0.25">
      <c r="C3" s="79" t="s">
        <v>1</v>
      </c>
      <c r="D3" s="79"/>
      <c r="E3" s="79"/>
      <c r="F3" s="79"/>
    </row>
    <row r="4" spans="1:6" ht="21" customHeight="1" thickBot="1" x14ac:dyDescent="0.3"/>
    <row r="5" spans="1:6" s="3" customFormat="1" ht="33.950000000000003" customHeight="1" x14ac:dyDescent="0.25">
      <c r="A5" s="1"/>
      <c r="B5" s="1"/>
      <c r="C5" s="80" t="s">
        <v>2</v>
      </c>
      <c r="D5" s="81"/>
      <c r="E5" s="81"/>
      <c r="F5" s="82"/>
    </row>
    <row r="6" spans="1:6" s="3" customFormat="1" x14ac:dyDescent="0.25">
      <c r="A6" s="1"/>
      <c r="B6" s="1"/>
      <c r="C6" s="4"/>
      <c r="D6" s="5"/>
      <c r="E6" s="5"/>
      <c r="F6" s="6"/>
    </row>
    <row r="7" spans="1:6" ht="18.95" customHeight="1" x14ac:dyDescent="0.25">
      <c r="C7" s="7"/>
      <c r="D7" s="74" t="s">
        <v>3</v>
      </c>
      <c r="E7" s="75"/>
      <c r="F7" s="6"/>
    </row>
    <row r="8" spans="1:6" ht="18.95" customHeight="1" x14ac:dyDescent="0.25">
      <c r="C8" s="7"/>
      <c r="D8" s="8" t="s">
        <v>4</v>
      </c>
      <c r="E8" s="9">
        <v>1500</v>
      </c>
      <c r="F8" s="6"/>
    </row>
    <row r="9" spans="1:6" ht="18.95" customHeight="1" x14ac:dyDescent="0.25">
      <c r="C9" s="7"/>
      <c r="D9" s="10"/>
      <c r="E9" s="5"/>
      <c r="F9" s="6"/>
    </row>
    <row r="10" spans="1:6" ht="18.95" customHeight="1" x14ac:dyDescent="0.25">
      <c r="C10" s="7"/>
      <c r="D10" s="74" t="s">
        <v>5</v>
      </c>
      <c r="E10" s="75">
        <v>0.1</v>
      </c>
      <c r="F10" s="6"/>
    </row>
    <row r="11" spans="1:6" ht="18.95" customHeight="1" x14ac:dyDescent="0.25">
      <c r="C11" s="7"/>
      <c r="D11" s="11" t="s">
        <v>6</v>
      </c>
      <c r="E11" s="12">
        <v>44348</v>
      </c>
      <c r="F11" s="6"/>
    </row>
    <row r="12" spans="1:6" ht="18.95" customHeight="1" x14ac:dyDescent="0.25">
      <c r="C12" s="7"/>
      <c r="D12" s="11" t="s">
        <v>7</v>
      </c>
      <c r="E12" s="12">
        <v>44746</v>
      </c>
      <c r="F12" s="6"/>
    </row>
    <row r="13" spans="1:6" ht="18.95" customHeight="1" x14ac:dyDescent="0.25">
      <c r="C13" s="7"/>
      <c r="D13" s="13"/>
      <c r="E13" s="13"/>
      <c r="F13" s="6"/>
    </row>
    <row r="14" spans="1:6" ht="18.95" customHeight="1" x14ac:dyDescent="0.25">
      <c r="C14" s="7"/>
      <c r="D14" s="74" t="s">
        <v>8</v>
      </c>
      <c r="E14" s="75"/>
      <c r="F14" s="6"/>
    </row>
    <row r="15" spans="1:6" ht="18.95" customHeight="1" x14ac:dyDescent="0.25">
      <c r="C15" s="7"/>
      <c r="D15" s="8" t="s">
        <v>9</v>
      </c>
      <c r="E15" s="14">
        <v>40</v>
      </c>
      <c r="F15" s="6"/>
    </row>
    <row r="16" spans="1:6" ht="18.95" customHeight="1" x14ac:dyDescent="0.25">
      <c r="C16" s="7"/>
      <c r="D16" s="10"/>
      <c r="E16" s="5"/>
      <c r="F16" s="6"/>
    </row>
    <row r="17" spans="1:8" ht="18.95" customHeight="1" x14ac:dyDescent="0.25">
      <c r="C17" s="7"/>
      <c r="D17" s="74" t="s">
        <v>10</v>
      </c>
      <c r="E17" s="75"/>
      <c r="F17" s="6"/>
    </row>
    <row r="18" spans="1:8" ht="18.95" customHeight="1" x14ac:dyDescent="0.25">
      <c r="C18" s="7"/>
      <c r="D18" s="8" t="s">
        <v>11</v>
      </c>
      <c r="E18" s="15">
        <v>0.02</v>
      </c>
      <c r="F18" s="6"/>
    </row>
    <row r="19" spans="1:8" ht="18.95" customHeight="1" x14ac:dyDescent="0.25">
      <c r="C19" s="7"/>
      <c r="D19" s="5"/>
      <c r="E19" s="5"/>
      <c r="F19" s="6"/>
    </row>
    <row r="20" spans="1:8" ht="18.95" customHeight="1" x14ac:dyDescent="0.25">
      <c r="C20" s="7"/>
      <c r="D20" s="74" t="s">
        <v>12</v>
      </c>
      <c r="E20" s="75"/>
      <c r="F20" s="6"/>
    </row>
    <row r="21" spans="1:8" ht="18.95" customHeight="1" x14ac:dyDescent="0.25">
      <c r="C21" s="7"/>
      <c r="D21" s="16" t="s">
        <v>13</v>
      </c>
      <c r="E21" s="17">
        <v>3</v>
      </c>
      <c r="F21" s="6"/>
    </row>
    <row r="22" spans="1:8" ht="18.95" customHeight="1" x14ac:dyDescent="0.25">
      <c r="C22" s="7"/>
      <c r="F22" s="6"/>
    </row>
    <row r="23" spans="1:8" ht="18.95" customHeight="1" x14ac:dyDescent="0.25">
      <c r="C23" s="7"/>
      <c r="D23" s="74" t="s">
        <v>14</v>
      </c>
      <c r="E23" s="75"/>
      <c r="F23" s="6"/>
      <c r="G23" s="3"/>
    </row>
    <row r="24" spans="1:8" ht="18.95" customHeight="1" x14ac:dyDescent="0.25">
      <c r="C24" s="7"/>
      <c r="D24" s="11" t="s">
        <v>15</v>
      </c>
      <c r="E24" s="18">
        <f>[2]Paramétrage!E15</f>
        <v>0.1</v>
      </c>
      <c r="F24" s="6"/>
      <c r="G24" s="3"/>
    </row>
    <row r="25" spans="1:8" ht="18.95" customHeight="1" x14ac:dyDescent="0.25">
      <c r="C25" s="7"/>
      <c r="D25" s="11" t="s">
        <v>16</v>
      </c>
      <c r="E25" s="19">
        <f>ROUNDDOWN(((E8*E18)/(E24*E15)),0)</f>
        <v>7</v>
      </c>
      <c r="F25" s="6"/>
    </row>
    <row r="26" spans="1:8" ht="18.95" customHeight="1" x14ac:dyDescent="0.25">
      <c r="C26" s="7"/>
      <c r="D26" s="10"/>
      <c r="E26" s="5"/>
      <c r="F26" s="6"/>
      <c r="G26" s="3"/>
    </row>
    <row r="27" spans="1:8" ht="18.95" customHeight="1" x14ac:dyDescent="0.25">
      <c r="C27" s="7"/>
      <c r="D27" s="74" t="s">
        <v>17</v>
      </c>
      <c r="E27" s="75"/>
      <c r="F27" s="6"/>
      <c r="G27" s="3"/>
    </row>
    <row r="28" spans="1:8" s="3" customFormat="1" ht="18.95" customHeight="1" x14ac:dyDescent="0.25">
      <c r="A28" s="1"/>
      <c r="B28" s="1"/>
      <c r="C28" s="7"/>
      <c r="D28" s="16" t="s">
        <v>18</v>
      </c>
      <c r="E28" s="20">
        <f>ROUND(E32/E29,0)</f>
        <v>43</v>
      </c>
      <c r="F28" s="6"/>
      <c r="G28" s="1"/>
    </row>
    <row r="29" spans="1:8" s="3" customFormat="1" ht="18.95" customHeight="1" x14ac:dyDescent="0.25">
      <c r="A29" s="1"/>
      <c r="B29" s="1"/>
      <c r="C29" s="7"/>
      <c r="D29" s="16" t="s">
        <v>19</v>
      </c>
      <c r="E29" s="21">
        <f>E25*E24</f>
        <v>0.70000000000000007</v>
      </c>
      <c r="F29" s="6"/>
      <c r="G29" s="22"/>
      <c r="H29" s="23"/>
    </row>
    <row r="30" spans="1:8" x14ac:dyDescent="0.25">
      <c r="C30" s="7"/>
      <c r="D30" s="10"/>
      <c r="E30" s="5"/>
      <c r="F30" s="6"/>
    </row>
    <row r="31" spans="1:8" x14ac:dyDescent="0.25">
      <c r="C31" s="7"/>
      <c r="D31" s="74" t="s">
        <v>20</v>
      </c>
      <c r="E31" s="75"/>
      <c r="F31" s="6"/>
    </row>
    <row r="32" spans="1:8" x14ac:dyDescent="0.25">
      <c r="C32" s="7"/>
      <c r="D32" s="16" t="s">
        <v>21</v>
      </c>
      <c r="E32" s="24">
        <f>E8*E35%</f>
        <v>30</v>
      </c>
      <c r="F32" s="6"/>
    </row>
    <row r="33" spans="3:7" x14ac:dyDescent="0.25">
      <c r="C33" s="7"/>
      <c r="D33" s="8" t="s">
        <v>22</v>
      </c>
      <c r="E33" s="24">
        <f>-(E29*E15)</f>
        <v>-28.000000000000004</v>
      </c>
      <c r="F33" s="6"/>
    </row>
    <row r="34" spans="3:7" x14ac:dyDescent="0.25">
      <c r="C34" s="7"/>
      <c r="D34" s="8" t="s">
        <v>23</v>
      </c>
      <c r="E34" s="25">
        <f>-(E32/E33)</f>
        <v>1.0714285714285714</v>
      </c>
      <c r="F34" s="6"/>
    </row>
    <row r="35" spans="3:7" x14ac:dyDescent="0.25">
      <c r="C35" s="7"/>
      <c r="D35" s="8" t="s">
        <v>24</v>
      </c>
      <c r="E35" s="26">
        <v>2</v>
      </c>
      <c r="F35" s="6"/>
    </row>
    <row r="36" spans="3:7" x14ac:dyDescent="0.25">
      <c r="C36" s="7"/>
      <c r="D36" s="27"/>
      <c r="E36" s="27"/>
      <c r="F36" s="6"/>
    </row>
    <row r="37" spans="3:7" x14ac:dyDescent="0.25">
      <c r="C37" s="7"/>
      <c r="D37" s="74" t="s">
        <v>25</v>
      </c>
      <c r="E37" s="75"/>
      <c r="F37" s="6"/>
    </row>
    <row r="38" spans="3:7" x14ac:dyDescent="0.25">
      <c r="C38" s="7"/>
      <c r="D38" s="16" t="s">
        <v>26</v>
      </c>
      <c r="E38" s="18">
        <f>MAX(Positions[Retrait])</f>
        <v>2746.4977463686246</v>
      </c>
      <c r="F38" s="6"/>
    </row>
    <row r="39" spans="3:7" x14ac:dyDescent="0.25">
      <c r="C39" s="7"/>
      <c r="D39" s="8" t="s">
        <v>27</v>
      </c>
      <c r="E39" s="18">
        <f>MAX(Positions[Capital])</f>
        <v>48086.369656970768</v>
      </c>
      <c r="F39" s="6"/>
    </row>
    <row r="40" spans="3:7" x14ac:dyDescent="0.25">
      <c r="C40" s="7"/>
      <c r="D40" s="8" t="s">
        <v>28</v>
      </c>
      <c r="E40" s="18">
        <f>SUM(Positions[Retrait])</f>
        <v>65536.187372757093</v>
      </c>
      <c r="F40" s="6"/>
    </row>
    <row r="41" spans="3:7" x14ac:dyDescent="0.25">
      <c r="C41" s="7"/>
      <c r="D41" s="8" t="s">
        <v>29</v>
      </c>
      <c r="E41" s="18" t="e">
        <f>VLOOKUP((DATE(YEAR([2]!Positions[Jous / Séances de trading]),MONTH([2]!Positions[Jous / Séances de trading])+1,)-MOD(DATE(YEAR([2]!Positions[Jous / Séances de trading]),MONTH([2]!Positions[Jous / Séances de trading])+1,)-1,4)),[2]!Positions[#Data],7,FALSE)</f>
        <v>#REF!</v>
      </c>
      <c r="F41" s="6"/>
    </row>
    <row r="42" spans="3:7" x14ac:dyDescent="0.25">
      <c r="C42" s="7"/>
      <c r="D42" s="16" t="s">
        <v>30</v>
      </c>
      <c r="E42" s="28">
        <f>MAX(Positions[Lots par position (3 positions max Stop Loss 40 pts)])</f>
        <v>80</v>
      </c>
      <c r="F42" s="6"/>
    </row>
    <row r="43" spans="3:7" x14ac:dyDescent="0.25">
      <c r="C43" s="7"/>
      <c r="D43" s="27"/>
      <c r="E43" s="29"/>
      <c r="F43" s="6"/>
    </row>
    <row r="44" spans="3:7" x14ac:dyDescent="0.25">
      <c r="C44" s="7"/>
      <c r="D44" s="74" t="s">
        <v>31</v>
      </c>
      <c r="E44" s="91"/>
      <c r="F44" s="92"/>
    </row>
    <row r="45" spans="3:7" x14ac:dyDescent="0.25">
      <c r="C45" s="7"/>
      <c r="D45" s="76" t="str">
        <f>ROUND(SUMIFS(Positions[Retrait],Positions[Jous / Séances de trading],"&gt;="&amp;DATE(YEAR($E$11)+ROW(D44)-44,1,1),Positions[Jous / Séances de trading],"&lt;="&amp;DATE(YEAR($E$11)+ROW(D44)-44,12,31)),2)&amp;" EUR "&amp;"("&amp;YEAR($E$11)+ROW(D44)-44&amp;") "</f>
        <v xml:space="preserve">5667,73 EUR (2021) </v>
      </c>
      <c r="E45" s="77"/>
      <c r="F45" s="92"/>
      <c r="G45" s="90"/>
    </row>
    <row r="46" spans="3:7" x14ac:dyDescent="0.25">
      <c r="C46" s="7"/>
      <c r="D46" s="76" t="str">
        <f>ROUND(SUMIFS(Positions[Retrait],Positions[Jous / Séances de trading],"&gt;="&amp;DATE(YEAR($E$11)+ROW(D45)-44,1,1),Positions[Jous / Séances de trading],"&lt;="&amp;DATE(YEAR($E$11)+ROW(D45)-44,12,31)),2)&amp;" EUR "&amp;"("&amp;YEAR($E$11)+ROW(D45)-44&amp;") "</f>
        <v xml:space="preserve">59868,46 EUR (2022) </v>
      </c>
      <c r="E46" s="77"/>
      <c r="F46" s="92"/>
    </row>
    <row r="47" spans="3:7" hidden="1" x14ac:dyDescent="0.25">
      <c r="C47" s="7"/>
      <c r="D47" s="76" t="str">
        <f>ROUND(SUMIFS(Positions[Retrait],Positions[Jous / Séances de trading],"&gt;="&amp;DATE(YEAR($E$11)+ROW(D46)-44,1,1),Positions[Jous / Séances de trading],"&lt;="&amp;DATE(YEAR($E$11)+ROW(D46)-44,12,31)),2)&amp;" EUR "&amp;"("&amp;YEAR($E$11)+ROW(D46)-44&amp;") "</f>
        <v xml:space="preserve">0 EUR (2023) </v>
      </c>
      <c r="E47" s="77"/>
      <c r="F47" s="92"/>
    </row>
    <row r="48" spans="3:7" hidden="1" x14ac:dyDescent="0.25">
      <c r="C48" s="7"/>
      <c r="D48" s="76" t="str">
        <f>ROUND(SUMIFS(Positions[Retrait],Positions[Jous / Séances de trading],"&gt;="&amp;DATE(YEAR($E$11)+ROW(D47)-44,1,1),Positions[Jous / Séances de trading],"&lt;="&amp;DATE(YEAR($E$11)+ROW(D47)-44,12,31)),2)&amp;" EUR "&amp;"("&amp;YEAR($E$11)+ROW(D47)-44&amp;") "</f>
        <v xml:space="preserve">0 EUR (2024) </v>
      </c>
      <c r="E48" s="77"/>
      <c r="F48" s="92"/>
    </row>
    <row r="49" spans="3:6" hidden="1" x14ac:dyDescent="0.25">
      <c r="C49" s="7"/>
      <c r="D49" s="76" t="str">
        <f>ROUND(SUMIFS(Positions[Retrait],Positions[Jous / Séances de trading],"&gt;="&amp;DATE(YEAR($E$11)+ROW(D48)-44,1,1),Positions[Jous / Séances de trading],"&lt;="&amp;DATE(YEAR($E$11)+ROW(D48)-44,12,31)),2)&amp;" EUR "&amp;"("&amp;YEAR($E$11)+ROW(D48)-44&amp;") "</f>
        <v xml:space="preserve">0 EUR (2025) </v>
      </c>
      <c r="E49" s="77"/>
      <c r="F49" s="92"/>
    </row>
    <row r="50" spans="3:6" hidden="1" x14ac:dyDescent="0.25">
      <c r="C50" s="7"/>
      <c r="D50" s="76" t="str">
        <f>ROUND(SUMIFS(Positions[Retrait],Positions[Jous / Séances de trading],"&gt;="&amp;DATE(YEAR($E$11)+ROW(D49)-44,1,1),Positions[Jous / Séances de trading],"&lt;="&amp;DATE(YEAR($E$11)+ROW(D49)-44,12,31)),2)&amp;" EUR "&amp;"("&amp;YEAR($E$11)+ROW(D49)-44&amp;") "</f>
        <v xml:space="preserve">0 EUR (2026) </v>
      </c>
      <c r="E50" s="77"/>
      <c r="F50" s="92"/>
    </row>
    <row r="51" spans="3:6" hidden="1" x14ac:dyDescent="0.25">
      <c r="C51" s="7"/>
      <c r="D51" s="76" t="str">
        <f>ROUND(SUMIFS(Positions[Retrait],Positions[Jous / Séances de trading],"&gt;="&amp;DATE(YEAR($E$11)+ROW(D50)-44,1,1),Positions[Jous / Séances de trading],"&lt;="&amp;DATE(YEAR($E$11)+ROW(D50)-44,12,31)),2)&amp;" EUR "&amp;"("&amp;YEAR($E$11)+ROW(D50)-44&amp;") "</f>
        <v xml:space="preserve">0 EUR (2027) </v>
      </c>
      <c r="E51" s="77"/>
      <c r="F51" s="92"/>
    </row>
    <row r="52" spans="3:6" hidden="1" x14ac:dyDescent="0.25">
      <c r="C52" s="7"/>
      <c r="D52" s="76" t="str">
        <f>ROUND(SUMIFS(Positions[Retrait],Positions[Jous / Séances de trading],"&gt;="&amp;DATE(YEAR($E$11)+ROW(D51)-44,1,1),Positions[Jous / Séances de trading],"&lt;="&amp;DATE(YEAR($E$11)+ROW(D51)-44,12,31)),2)&amp;" EUR "&amp;"("&amp;YEAR($E$11)+ROW(D51)-44&amp;") "</f>
        <v xml:space="preserve">0 EUR (2028) </v>
      </c>
      <c r="E52" s="77"/>
      <c r="F52" s="92"/>
    </row>
    <row r="53" spans="3:6" hidden="1" x14ac:dyDescent="0.25">
      <c r="C53" s="7"/>
      <c r="D53" s="76" t="str">
        <f>ROUND(SUMIFS(Positions[Retrait],Positions[Jous / Séances de trading],"&gt;="&amp;DATE(YEAR($E$11)+ROW(D52)-44,1,1),Positions[Jous / Séances de trading],"&lt;="&amp;DATE(YEAR($E$11)+ROW(D52)-44,12,31)),2)&amp;" EUR "&amp;"("&amp;YEAR($E$11)+ROW(D52)-44&amp;") "</f>
        <v xml:space="preserve">0 EUR (2029) </v>
      </c>
      <c r="E53" s="77"/>
      <c r="F53" s="92"/>
    </row>
    <row r="54" spans="3:6" hidden="1" x14ac:dyDescent="0.25">
      <c r="C54" s="7"/>
      <c r="D54" s="76" t="str">
        <f>ROUND(SUMIFS(Positions[Retrait],Positions[Jous / Séances de trading],"&gt;="&amp;DATE(YEAR($E$11)+ROW(D53)-44,1,1),Positions[Jous / Séances de trading],"&lt;="&amp;DATE(YEAR($E$11)+ROW(D53)-44,12,31)),2)&amp;" EUR "&amp;"("&amp;YEAR($E$11)+ROW(D53)-44&amp;") "</f>
        <v xml:space="preserve">0 EUR (2030) </v>
      </c>
      <c r="E54" s="77"/>
      <c r="F54" s="92"/>
    </row>
    <row r="55" spans="3:6" ht="20.25" thickBot="1" x14ac:dyDescent="0.3">
      <c r="C55" s="30"/>
      <c r="D55" s="93"/>
      <c r="E55" s="93"/>
      <c r="F55" s="31"/>
    </row>
  </sheetData>
  <mergeCells count="23">
    <mergeCell ref="D53:E53"/>
    <mergeCell ref="D54:E54"/>
    <mergeCell ref="D48:E48"/>
    <mergeCell ref="D49:E49"/>
    <mergeCell ref="D50:E50"/>
    <mergeCell ref="D51:E51"/>
    <mergeCell ref="D52:E52"/>
    <mergeCell ref="D37:E37"/>
    <mergeCell ref="C1:F1"/>
    <mergeCell ref="C3:F3"/>
    <mergeCell ref="C5:F5"/>
    <mergeCell ref="D7:E7"/>
    <mergeCell ref="D10:E10"/>
    <mergeCell ref="D14:E14"/>
    <mergeCell ref="D17:E17"/>
    <mergeCell ref="D20:E20"/>
    <mergeCell ref="D23:E23"/>
    <mergeCell ref="D27:E27"/>
    <mergeCell ref="D31:E31"/>
    <mergeCell ref="D44:E44"/>
    <mergeCell ref="D45:E45"/>
    <mergeCell ref="D46:E46"/>
    <mergeCell ref="D47:E47"/>
  </mergeCells>
  <conditionalFormatting sqref="E32:E33">
    <cfRule type="cellIs" dxfId="10" priority="9" operator="lessThan">
      <formula>0</formula>
    </cfRule>
  </conditionalFormatting>
  <conditionalFormatting sqref="E32:E33">
    <cfRule type="cellIs" dxfId="9" priority="8" operator="greaterThan">
      <formula>0</formula>
    </cfRule>
  </conditionalFormatting>
  <conditionalFormatting sqref="E34">
    <cfRule type="cellIs" dxfId="8" priority="5" operator="greaterThan">
      <formula>1.5</formula>
    </cfRule>
    <cfRule type="cellIs" dxfId="7" priority="6" operator="between">
      <formula>1</formula>
      <formula>1.5</formula>
    </cfRule>
    <cfRule type="cellIs" dxfId="6" priority="7" operator="lessThan">
      <formula>1</formula>
    </cfRule>
  </conditionalFormatting>
  <conditionalFormatting sqref="E18">
    <cfRule type="cellIs" dxfId="5" priority="1" operator="greaterThan">
      <formula>0.02</formula>
    </cfRule>
    <cfRule type="cellIs" dxfId="4" priority="2" operator="between">
      <formula>0.015</formula>
      <formula>0.02</formula>
    </cfRule>
    <cfRule type="cellIs" dxfId="3" priority="3" operator="between">
      <formula>0.011</formula>
      <formula>0.015</formula>
    </cfRule>
    <cfRule type="cellIs" dxfId="2" priority="4" operator="lessThanOrEqual">
      <formula>0.01</formula>
    </cfRule>
  </conditionalFormatting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tabColor theme="0" tint="-0.499984740745262"/>
  </sheetPr>
  <dimension ref="B1:R421"/>
  <sheetViews>
    <sheetView zoomScale="85" zoomScaleNormal="85" zoomScalePageLayoutView="107" workbookViewId="0">
      <pane ySplit="6" topLeftCell="A7" activePane="bottomLeft" state="frozen"/>
      <selection activeCell="B15" sqref="B15:P15"/>
      <selection pane="bottomLeft" activeCell="E425" sqref="E425"/>
    </sheetView>
  </sheetViews>
  <sheetFormatPr baseColWidth="10" defaultColWidth="11.140625" defaultRowHeight="15" x14ac:dyDescent="0.25"/>
  <cols>
    <col min="1" max="1" width="4.7109375" style="34" customWidth="1"/>
    <col min="2" max="2" width="42.140625" style="34" bestFit="1" customWidth="1"/>
    <col min="3" max="3" width="2.140625" style="34" customWidth="1"/>
    <col min="4" max="4" width="2.28515625" style="34" hidden="1" customWidth="1"/>
    <col min="5" max="5" width="32.42578125" style="34" bestFit="1" customWidth="1"/>
    <col min="6" max="6" width="13.28515625" style="34" bestFit="1" customWidth="1"/>
    <col min="7" max="7" width="21.85546875" style="34" bestFit="1" customWidth="1"/>
    <col min="8" max="8" width="20.7109375" style="34" bestFit="1" customWidth="1"/>
    <col min="9" max="9" width="18.85546875" style="34" customWidth="1"/>
    <col min="10" max="10" width="14.7109375" style="34" bestFit="1" customWidth="1"/>
    <col min="11" max="11" width="13.28515625" style="34" bestFit="1" customWidth="1"/>
    <col min="12" max="12" width="2.28515625" style="34" customWidth="1"/>
    <col min="13" max="13" width="10.28515625" style="34" customWidth="1"/>
    <col min="14" max="14" width="31.7109375" style="34" bestFit="1" customWidth="1"/>
    <col min="15" max="15" width="15.5703125" style="34" bestFit="1" customWidth="1"/>
    <col min="16" max="17" width="10.28515625" style="34" customWidth="1"/>
    <col min="18" max="16384" width="11.140625" style="34"/>
  </cols>
  <sheetData>
    <row r="1" spans="2:16" s="32" customFormat="1" ht="28.5" x14ac:dyDescent="0.25">
      <c r="E1" s="78" t="s">
        <v>32</v>
      </c>
      <c r="F1" s="78"/>
      <c r="G1" s="78"/>
      <c r="H1" s="78"/>
      <c r="I1" s="78"/>
      <c r="J1" s="78"/>
      <c r="K1" s="78"/>
    </row>
    <row r="2" spans="2:16" s="32" customFormat="1" ht="28.5" x14ac:dyDescent="0.25">
      <c r="E2" s="33"/>
      <c r="F2" s="33"/>
      <c r="G2" s="33"/>
      <c r="H2" s="33"/>
      <c r="I2" s="33"/>
      <c r="J2" s="33"/>
      <c r="K2" s="33"/>
    </row>
    <row r="3" spans="2:16" s="32" customFormat="1" ht="23.25" customHeight="1" x14ac:dyDescent="0.25">
      <c r="E3" s="79" t="s">
        <v>1</v>
      </c>
      <c r="F3" s="79"/>
      <c r="G3" s="79"/>
      <c r="H3" s="79"/>
      <c r="I3" s="79"/>
      <c r="J3" s="79"/>
      <c r="K3" s="79"/>
    </row>
    <row r="4" spans="2:16" s="32" customFormat="1" ht="16.5" thickBot="1" x14ac:dyDescent="0.3">
      <c r="L4" s="34"/>
    </row>
    <row r="5" spans="2:16" s="36" customFormat="1" ht="50.25" thickBot="1" x14ac:dyDescent="0.3">
      <c r="B5" s="35" t="s">
        <v>33</v>
      </c>
      <c r="D5" s="32"/>
      <c r="E5" s="83" t="s">
        <v>34</v>
      </c>
      <c r="F5" s="84"/>
      <c r="G5" s="84"/>
      <c r="H5" s="84"/>
      <c r="I5" s="84"/>
      <c r="J5" s="84"/>
      <c r="K5" s="85"/>
      <c r="L5" s="34"/>
    </row>
    <row r="6" spans="2:16" s="38" customFormat="1" ht="48" thickBot="1" x14ac:dyDescent="0.3">
      <c r="B6" s="37">
        <v>0.75</v>
      </c>
      <c r="D6" s="32"/>
      <c r="E6" s="39" t="s">
        <v>35</v>
      </c>
      <c r="F6" s="40" t="s">
        <v>36</v>
      </c>
      <c r="G6" s="40" t="s">
        <v>37</v>
      </c>
      <c r="H6" s="40" t="s">
        <v>38</v>
      </c>
      <c r="I6" s="40" t="s">
        <v>39</v>
      </c>
      <c r="J6" s="40" t="s">
        <v>40</v>
      </c>
      <c r="K6" s="41" t="s">
        <v>41</v>
      </c>
      <c r="L6" s="34"/>
    </row>
    <row r="7" spans="2:16" s="32" customFormat="1" ht="19.5" x14ac:dyDescent="0.25">
      <c r="B7" s="73" t="s">
        <v>129</v>
      </c>
      <c r="D7" s="32">
        <f>WEEKDAY(Positions[[#This Row],[Jous / Séances de trading]],2)</f>
        <v>2</v>
      </c>
      <c r="E7" s="42">
        <v>44348</v>
      </c>
      <c r="F7" s="43">
        <f>'[2]Simulateur Calculatrice Pos.'!E8</f>
        <v>1500</v>
      </c>
      <c r="G7" s="44">
        <f>'[2]Simulateur Calculatrice Pos.'!$E$35</f>
        <v>2</v>
      </c>
      <c r="H7" s="45">
        <f>Positions[[#This Row],[Capital]]*Positions[[#This Row],[Evolution du capital par jour en %]]%</f>
        <v>30</v>
      </c>
      <c r="I7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7" s="47">
        <f>IFERROR(IF(D7=5,((Positions[[#This Row],[Capital]]-F3)-K7),0),)</f>
        <v>0</v>
      </c>
      <c r="K7" s="48">
        <f>IFERROR(IF(D7=5,IF($B$6="Aucun retrait",0,IF($B$6=75%,(Positions[[#This Row],[Capital]]-F3)*75%)),0),)</f>
        <v>0</v>
      </c>
      <c r="L7" s="34"/>
    </row>
    <row r="8" spans="2:16" s="32" customFormat="1" ht="15.75" x14ac:dyDescent="0.25">
      <c r="D8" s="32">
        <f>WEEKDAY(Positions[[#This Row],[Jous / Séances de trading]],2)</f>
        <v>3</v>
      </c>
      <c r="E8" s="49">
        <f>WORKDAY(E7,1)</f>
        <v>44349</v>
      </c>
      <c r="F8" s="50">
        <f>IF(D8=1,(F7+H7)-K7,F7+H7)</f>
        <v>1530</v>
      </c>
      <c r="G8" s="44">
        <f>'[2]Simulateur Calculatrice Pos.'!$E$35</f>
        <v>2</v>
      </c>
      <c r="H8" s="45">
        <f>Positions[[#This Row],[Capital]]*Positions[[#This Row],[Evolution du capital par jour en %]]%</f>
        <v>30.6</v>
      </c>
      <c r="I8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8" s="47">
        <f>IFERROR(IF(D8=5,((Positions[[#This Row],[Capital]]-F4)-K8),0),)</f>
        <v>0</v>
      </c>
      <c r="K8" s="48">
        <f>IFERROR(IF(D8=5,IF($B$6="Aucun retrait",0,IF($B$6=75%,(Positions[[#This Row],[Capital]]-F4)*75%)),0),)</f>
        <v>0</v>
      </c>
      <c r="L8" s="34"/>
    </row>
    <row r="9" spans="2:16" s="32" customFormat="1" ht="15.75" x14ac:dyDescent="0.25">
      <c r="D9" s="32">
        <f>WEEKDAY(Positions[[#This Row],[Jous / Séances de trading]],2)</f>
        <v>4</v>
      </c>
      <c r="E9" s="49">
        <f t="shared" ref="E9:E72" si="0">WORKDAY(E8,1)</f>
        <v>44350</v>
      </c>
      <c r="F9" s="50">
        <f t="shared" ref="F9:F72" si="1">IF(D9=1,(F8+H8)-K8,F8+H8)</f>
        <v>1560.6</v>
      </c>
      <c r="G9" s="44">
        <f>'[2]Simulateur Calculatrice Pos.'!$E$35</f>
        <v>2</v>
      </c>
      <c r="H9" s="45">
        <f>Positions[[#This Row],[Capital]]*Positions[[#This Row],[Evolution du capital par jour en %]]%</f>
        <v>31.212</v>
      </c>
      <c r="I9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9" s="47">
        <f>IFERROR(IF(D9=5,((Positions[[#This Row],[Capital]]-F5)-K9),0),)</f>
        <v>0</v>
      </c>
      <c r="K9" s="48">
        <f>IFERROR(IF(D9=5,IF($B$6="Aucun retrait",0,IF($B$6=75%,(Positions[[#This Row],[Capital]]-F5)*75%)),0),)</f>
        <v>0</v>
      </c>
      <c r="L9" s="34"/>
    </row>
    <row r="10" spans="2:16" s="32" customFormat="1" ht="15.75" x14ac:dyDescent="0.25">
      <c r="D10" s="32">
        <f>WEEKDAY(Positions[[#This Row],[Jous / Séances de trading]],2)</f>
        <v>5</v>
      </c>
      <c r="E10" s="49">
        <f t="shared" si="0"/>
        <v>44351</v>
      </c>
      <c r="F10" s="50">
        <f t="shared" si="1"/>
        <v>1591.8119999999999</v>
      </c>
      <c r="G10" s="44">
        <f>'[2]Simulateur Calculatrice Pos.'!$E$35</f>
        <v>2</v>
      </c>
      <c r="H10" s="45">
        <f>Positions[[#This Row],[Capital]]*Positions[[#This Row],[Evolution du capital par jour en %]]%</f>
        <v>31.83624</v>
      </c>
      <c r="I10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10" s="47">
        <f>IFERROR(IF(D10=5,((Positions[[#This Row],[Capital]]-F$7)-K10),0),)</f>
        <v>22.952999999999975</v>
      </c>
      <c r="K10" s="48">
        <f>IFERROR(IF(D10=5,IF($B$6="Aucun retrait",0,IF($B$6=75%,(Positions[[#This Row],[Capital]]-F7)*75%)),0),)</f>
        <v>68.858999999999924</v>
      </c>
      <c r="L10" s="34"/>
    </row>
    <row r="11" spans="2:16" s="32" customFormat="1" ht="15.75" x14ac:dyDescent="0.25">
      <c r="D11" s="32">
        <f>WEEKDAY(Positions[[#This Row],[Jous / Séances de trading]],2)</f>
        <v>1</v>
      </c>
      <c r="E11" s="49">
        <f t="shared" si="0"/>
        <v>44354</v>
      </c>
      <c r="F11" s="50">
        <f t="shared" si="1"/>
        <v>1554.7892400000001</v>
      </c>
      <c r="G11" s="44">
        <f>'[2]Simulateur Calculatrice Pos.'!$E$35</f>
        <v>2</v>
      </c>
      <c r="H11" s="45">
        <f>Positions[[#This Row],[Capital]]*Positions[[#This Row],[Evolution du capital par jour en %]]%</f>
        <v>31.095784800000001</v>
      </c>
      <c r="I11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11" s="47">
        <f>IFERROR(IF(D11=5,((Positions[[#This Row],[Capital]]-F7)-K11),0),)</f>
        <v>0</v>
      </c>
      <c r="K11" s="48">
        <f>IFERROR(IF(D11=5,IF($B$6="Aucun retrait",0,IF($B$6=75%,(Positions[[#This Row],[Capital]]-F7)*75%)),0),)</f>
        <v>0</v>
      </c>
      <c r="L11" s="34"/>
    </row>
    <row r="12" spans="2:16" s="32" customFormat="1" ht="15.75" x14ac:dyDescent="0.25">
      <c r="D12" s="32">
        <f>WEEKDAY(Positions[[#This Row],[Jous / Séances de trading]],2)</f>
        <v>2</v>
      </c>
      <c r="E12" s="49">
        <f t="shared" si="0"/>
        <v>44355</v>
      </c>
      <c r="F12" s="50">
        <f>IF(D12=1,(F11+H11)-K11,F11+H11)</f>
        <v>1585.8850248000001</v>
      </c>
      <c r="G12" s="44">
        <f>'[2]Simulateur Calculatrice Pos.'!$E$35</f>
        <v>2</v>
      </c>
      <c r="H12" s="45">
        <f>Positions[[#This Row],[Capital]]*Positions[[#This Row],[Evolution du capital par jour en %]]%</f>
        <v>31.717700496000003</v>
      </c>
      <c r="I12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12" s="47">
        <f>IFERROR(IF(D12=5,((Positions[[#This Row],[Capital]]-F8)-K12),0),)</f>
        <v>0</v>
      </c>
      <c r="K12" s="48">
        <f>IFERROR(IF(D12=5,IF($B$6="Aucun retrait",0,IF($B$6=75%,(Positions[[#This Row],[Capital]]-F8)*75%)),0),)</f>
        <v>0</v>
      </c>
      <c r="L12" s="34"/>
      <c r="O12" s="51"/>
    </row>
    <row r="13" spans="2:16" s="32" customFormat="1" ht="15.75" x14ac:dyDescent="0.25">
      <c r="D13" s="32">
        <f>WEEKDAY(Positions[[#This Row],[Jous / Séances de trading]],2)</f>
        <v>3</v>
      </c>
      <c r="E13" s="49">
        <f t="shared" si="0"/>
        <v>44356</v>
      </c>
      <c r="F13" s="50">
        <f t="shared" si="1"/>
        <v>1617.602725296</v>
      </c>
      <c r="G13" s="44">
        <f>'[2]Simulateur Calculatrice Pos.'!$E$35</f>
        <v>2</v>
      </c>
      <c r="H13" s="45">
        <f>Positions[[#This Row],[Capital]]*Positions[[#This Row],[Evolution du capital par jour en %]]%</f>
        <v>32.352054505920002</v>
      </c>
      <c r="I13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13" s="47">
        <f>IFERROR(IF(D13=5,((Positions[[#This Row],[Capital]]-F9)-K13),0),)</f>
        <v>0</v>
      </c>
      <c r="K13" s="48">
        <f>IFERROR(IF(D13=5,IF($B$6="Aucun retrait",0,IF($B$6=75%,(Positions[[#This Row],[Capital]]-F9)*75%)),0),)</f>
        <v>0</v>
      </c>
      <c r="L13" s="34"/>
      <c r="O13" s="51"/>
    </row>
    <row r="14" spans="2:16" s="32" customFormat="1" ht="15.75" x14ac:dyDescent="0.25">
      <c r="D14" s="32">
        <f>WEEKDAY(Positions[[#This Row],[Jous / Séances de trading]],2)</f>
        <v>4</v>
      </c>
      <c r="E14" s="49">
        <f t="shared" si="0"/>
        <v>44357</v>
      </c>
      <c r="F14" s="50">
        <f t="shared" si="1"/>
        <v>1649.95477980192</v>
      </c>
      <c r="G14" s="44">
        <f>'[2]Simulateur Calculatrice Pos.'!$E$35</f>
        <v>2</v>
      </c>
      <c r="H14" s="45">
        <f>Positions[[#This Row],[Capital]]*Positions[[#This Row],[Evolution du capital par jour en %]]%</f>
        <v>32.999095596038401</v>
      </c>
      <c r="I14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14" s="47">
        <f>IFERROR(IF(D14=5,((Positions[[#This Row],[Capital]]-F10)-K14),0),)</f>
        <v>0</v>
      </c>
      <c r="K14" s="48">
        <f>IFERROR(IF(D14=5,IF($B$6="Aucun retrait",0,IF($B$6=75%,(Positions[[#This Row],[Capital]]-F10)*75%)),0),)</f>
        <v>0</v>
      </c>
      <c r="L14" s="34"/>
    </row>
    <row r="15" spans="2:16" s="32" customFormat="1" ht="15.75" x14ac:dyDescent="0.25">
      <c r="D15" s="32">
        <f>WEEKDAY(Positions[[#This Row],[Jous / Séances de trading]],2)</f>
        <v>5</v>
      </c>
      <c r="E15" s="49">
        <f t="shared" si="0"/>
        <v>44358</v>
      </c>
      <c r="F15" s="50">
        <f t="shared" si="1"/>
        <v>1682.9538753979584</v>
      </c>
      <c r="G15" s="44">
        <f>'[2]Simulateur Calculatrice Pos.'!$E$35</f>
        <v>2</v>
      </c>
      <c r="H15" s="45">
        <f>Positions[[#This Row],[Capital]]*Positions[[#This Row],[Evolution du capital par jour en %]]%</f>
        <v>33.659077507959168</v>
      </c>
      <c r="I15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15" s="47">
        <f>IFERROR(IF(D15=5,((Positions[[#This Row],[Capital]]-F11)-K15),0),)</f>
        <v>32.041158849489591</v>
      </c>
      <c r="K15" s="48">
        <f>IFERROR(IF(D15=5,IF($B$6="Aucun retrait",0,IF($B$6=75%,(Positions[[#This Row],[Capital]]-F11)*75%)),0),)</f>
        <v>96.123476548468773</v>
      </c>
      <c r="L15" s="34"/>
      <c r="P15" s="52"/>
    </row>
    <row r="16" spans="2:16" s="32" customFormat="1" ht="15.75" x14ac:dyDescent="0.25">
      <c r="D16" s="32">
        <f>WEEKDAY(Positions[[#This Row],[Jous / Séances de trading]],2)</f>
        <v>1</v>
      </c>
      <c r="E16" s="49">
        <f t="shared" si="0"/>
        <v>44361</v>
      </c>
      <c r="F16" s="50">
        <f t="shared" si="1"/>
        <v>1620.4894763574489</v>
      </c>
      <c r="G16" s="44">
        <f>'[2]Simulateur Calculatrice Pos.'!$E$35</f>
        <v>2</v>
      </c>
      <c r="H16" s="45">
        <f>Positions[[#This Row],[Capital]]*Positions[[#This Row],[Evolution du capital par jour en %]]%</f>
        <v>32.40978952714898</v>
      </c>
      <c r="I16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16" s="47">
        <f>IFERROR(IF(D16=5,((Positions[[#This Row],[Capital]]-F12)-K16),0),)</f>
        <v>0</v>
      </c>
      <c r="K16" s="48">
        <f>IFERROR(IF(D16=5,IF($B$6="Aucun retrait",0,IF($B$6=75%,(Positions[[#This Row],[Capital]]-F12)*75%)),0),)</f>
        <v>0</v>
      </c>
      <c r="L16" s="34"/>
      <c r="P16" s="51"/>
    </row>
    <row r="17" spans="4:15" s="32" customFormat="1" ht="15.75" x14ac:dyDescent="0.25">
      <c r="D17" s="32">
        <f>WEEKDAY(Positions[[#This Row],[Jous / Séances de trading]],2)</f>
        <v>2</v>
      </c>
      <c r="E17" s="49">
        <f t="shared" si="0"/>
        <v>44362</v>
      </c>
      <c r="F17" s="50">
        <f t="shared" si="1"/>
        <v>1652.899265884598</v>
      </c>
      <c r="G17" s="44">
        <f>'[2]Simulateur Calculatrice Pos.'!$E$35</f>
        <v>2</v>
      </c>
      <c r="H17" s="45">
        <f>Positions[[#This Row],[Capital]]*Positions[[#This Row],[Evolution du capital par jour en %]]%</f>
        <v>33.057985317691958</v>
      </c>
      <c r="I17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17" s="47">
        <f>IFERROR(IF(D17=5,((Positions[[#This Row],[Capital]]-F13)-K17),0),)</f>
        <v>0</v>
      </c>
      <c r="K17" s="48">
        <f>IFERROR(IF(D17=5,IF($B$6="Aucun retrait",0,IF($B$6=75%,(Positions[[#This Row],[Capital]]-F13)*75%)),0),)</f>
        <v>0</v>
      </c>
      <c r="L17" s="34"/>
    </row>
    <row r="18" spans="4:15" s="32" customFormat="1" ht="15.75" x14ac:dyDescent="0.25">
      <c r="D18" s="32">
        <f>WEEKDAY(Positions[[#This Row],[Jous / Séances de trading]],2)</f>
        <v>3</v>
      </c>
      <c r="E18" s="49">
        <f t="shared" si="0"/>
        <v>44363</v>
      </c>
      <c r="F18" s="50">
        <f t="shared" si="1"/>
        <v>1685.9572512022899</v>
      </c>
      <c r="G18" s="44">
        <f>'[2]Simulateur Calculatrice Pos.'!$E$35</f>
        <v>2</v>
      </c>
      <c r="H18" s="45">
        <f>Positions[[#This Row],[Capital]]*Positions[[#This Row],[Evolution du capital par jour en %]]%</f>
        <v>33.719145024045801</v>
      </c>
      <c r="I18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18" s="47">
        <f>IFERROR(IF(D18=5,((Positions[[#This Row],[Capital]]-F14)-K18),0),)</f>
        <v>0</v>
      </c>
      <c r="K18" s="48">
        <f>IFERROR(IF(D18=5,IF($B$6="Aucun retrait",0,IF($B$6=75%,(Positions[[#This Row],[Capital]]-F14)*75%)),0),)</f>
        <v>0</v>
      </c>
      <c r="L18" s="34"/>
    </row>
    <row r="19" spans="4:15" s="32" customFormat="1" ht="15.75" x14ac:dyDescent="0.25">
      <c r="D19" s="32">
        <f>WEEKDAY(Positions[[#This Row],[Jous / Séances de trading]],2)</f>
        <v>4</v>
      </c>
      <c r="E19" s="49">
        <f t="shared" si="0"/>
        <v>44364</v>
      </c>
      <c r="F19" s="50">
        <f t="shared" si="1"/>
        <v>1719.6763962263356</v>
      </c>
      <c r="G19" s="44">
        <f>'[2]Simulateur Calculatrice Pos.'!$E$35</f>
        <v>2</v>
      </c>
      <c r="H19" s="45">
        <f>Positions[[#This Row],[Capital]]*Positions[[#This Row],[Evolution du capital par jour en %]]%</f>
        <v>34.393527924526715</v>
      </c>
      <c r="I19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19" s="47">
        <f>IFERROR(IF(D19=5,((Positions[[#This Row],[Capital]]-F15)-K19),0),)</f>
        <v>0</v>
      </c>
      <c r="K19" s="48">
        <f>IFERROR(IF(D19=5,IF($B$6="Aucun retrait",0,IF($B$6=75%,(Positions[[#This Row],[Capital]]-F15)*75%)),0),)</f>
        <v>0</v>
      </c>
      <c r="L19" s="34"/>
    </row>
    <row r="20" spans="4:15" s="32" customFormat="1" ht="15.75" x14ac:dyDescent="0.25">
      <c r="D20" s="32">
        <f>WEEKDAY(Positions[[#This Row],[Jous / Séances de trading]],2)</f>
        <v>5</v>
      </c>
      <c r="E20" s="49">
        <f t="shared" si="0"/>
        <v>44365</v>
      </c>
      <c r="F20" s="50">
        <f t="shared" si="1"/>
        <v>1754.0699241508623</v>
      </c>
      <c r="G20" s="44">
        <f>'[2]Simulateur Calculatrice Pos.'!$E$35</f>
        <v>2</v>
      </c>
      <c r="H20" s="45">
        <f>Positions[[#This Row],[Capital]]*Positions[[#This Row],[Evolution du capital par jour en %]]%</f>
        <v>35.081398483017246</v>
      </c>
      <c r="I20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20" s="47">
        <f>IFERROR(IF(D20=5,((Positions[[#This Row],[Capital]]-F16)-K20),0),)</f>
        <v>33.39511194835336</v>
      </c>
      <c r="K20" s="48">
        <f>IFERROR(IF(D20=5,IF($B$6="Aucun retrait",0,IF($B$6=75%,(Positions[[#This Row],[Capital]]-F16)*75%)),0),)</f>
        <v>100.18533584506008</v>
      </c>
      <c r="L20" s="34"/>
      <c r="N20" s="53"/>
      <c r="O20" s="51"/>
    </row>
    <row r="21" spans="4:15" s="32" customFormat="1" ht="15.75" x14ac:dyDescent="0.25">
      <c r="D21" s="32">
        <f>WEEKDAY(Positions[[#This Row],[Jous / Séances de trading]],2)</f>
        <v>1</v>
      </c>
      <c r="E21" s="49">
        <f t="shared" si="0"/>
        <v>44368</v>
      </c>
      <c r="F21" s="50">
        <f t="shared" si="1"/>
        <v>1688.9659867888195</v>
      </c>
      <c r="G21" s="44">
        <f>'[2]Simulateur Calculatrice Pos.'!$E$35</f>
        <v>2</v>
      </c>
      <c r="H21" s="45">
        <f>Positions[[#This Row],[Capital]]*Positions[[#This Row],[Evolution du capital par jour en %]]%</f>
        <v>33.77931973577639</v>
      </c>
      <c r="I21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21" s="47">
        <f>IFERROR(IF(D21=5,((Positions[[#This Row],[Capital]]-F17)-K21),0),)</f>
        <v>0</v>
      </c>
      <c r="K21" s="48">
        <f>IFERROR(IF(D21=5,IF($B$6="Aucun retrait",0,IF($B$6=75%,(Positions[[#This Row],[Capital]]-F17)*75%)),0),)</f>
        <v>0</v>
      </c>
      <c r="L21" s="34"/>
      <c r="N21" s="53"/>
      <c r="O21" s="51"/>
    </row>
    <row r="22" spans="4:15" s="32" customFormat="1" ht="15.75" x14ac:dyDescent="0.25">
      <c r="D22" s="32">
        <f>WEEKDAY(Positions[[#This Row],[Jous / Séances de trading]],2)</f>
        <v>2</v>
      </c>
      <c r="E22" s="49">
        <f t="shared" si="0"/>
        <v>44369</v>
      </c>
      <c r="F22" s="50">
        <f t="shared" si="1"/>
        <v>1722.7453065245959</v>
      </c>
      <c r="G22" s="44">
        <f>'[2]Simulateur Calculatrice Pos.'!$E$35</f>
        <v>2</v>
      </c>
      <c r="H22" s="45">
        <f>Positions[[#This Row],[Capital]]*Positions[[#This Row],[Evolution du capital par jour en %]]%</f>
        <v>34.454906130491921</v>
      </c>
      <c r="I22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22" s="47">
        <f>IFERROR(IF(D22=5,((Positions[[#This Row],[Capital]]-F18)-K22),0),)</f>
        <v>0</v>
      </c>
      <c r="K22" s="48">
        <f>IFERROR(IF(D22=5,IF($B$6="Aucun retrait",0,IF($B$6=75%,(Positions[[#This Row],[Capital]]-F18)*75%)),0),)</f>
        <v>0</v>
      </c>
      <c r="L22" s="34"/>
      <c r="O22" s="51"/>
    </row>
    <row r="23" spans="4:15" s="32" customFormat="1" ht="15.75" x14ac:dyDescent="0.25">
      <c r="D23" s="32">
        <f>WEEKDAY(Positions[[#This Row],[Jous / Séances de trading]],2)</f>
        <v>3</v>
      </c>
      <c r="E23" s="49">
        <f t="shared" si="0"/>
        <v>44370</v>
      </c>
      <c r="F23" s="50">
        <f t="shared" si="1"/>
        <v>1757.2002126550879</v>
      </c>
      <c r="G23" s="44">
        <f>'[2]Simulateur Calculatrice Pos.'!$E$35</f>
        <v>2</v>
      </c>
      <c r="H23" s="45">
        <f>Positions[[#This Row],[Capital]]*Positions[[#This Row],[Evolution du capital par jour en %]]%</f>
        <v>35.144004253101755</v>
      </c>
      <c r="I23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23" s="47">
        <f>IFERROR(IF(D23=5,((Positions[[#This Row],[Capital]]-F19)-K23),0),)</f>
        <v>0</v>
      </c>
      <c r="K23" s="48">
        <f>IFERROR(IF(D23=5,IF($B$6="Aucun retrait",0,IF($B$6=75%,(Positions[[#This Row],[Capital]]-F19)*75%)),0),)</f>
        <v>0</v>
      </c>
      <c r="L23" s="34"/>
      <c r="O23" s="51"/>
    </row>
    <row r="24" spans="4:15" s="32" customFormat="1" ht="15.75" x14ac:dyDescent="0.25">
      <c r="D24" s="32">
        <f>WEEKDAY(Positions[[#This Row],[Jous / Séances de trading]],2)</f>
        <v>4</v>
      </c>
      <c r="E24" s="49">
        <f t="shared" si="0"/>
        <v>44371</v>
      </c>
      <c r="F24" s="50">
        <f t="shared" si="1"/>
        <v>1792.3442169081895</v>
      </c>
      <c r="G24" s="44">
        <f>'[2]Simulateur Calculatrice Pos.'!$E$35</f>
        <v>2</v>
      </c>
      <c r="H24" s="45">
        <f>Positions[[#This Row],[Capital]]*Positions[[#This Row],[Evolution du capital par jour en %]]%</f>
        <v>35.84688433816379</v>
      </c>
      <c r="I24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24" s="47">
        <f>IFERROR(IF(D24=5,((Positions[[#This Row],[Capital]]-F20)-K24),0),)</f>
        <v>0</v>
      </c>
      <c r="K24" s="48">
        <f>IFERROR(IF(D24=5,IF($B$6="Aucun retrait",0,IF($B$6=75%,(Positions[[#This Row],[Capital]]-F20)*75%)),0),)</f>
        <v>0</v>
      </c>
      <c r="L24" s="34"/>
      <c r="O24" s="51"/>
    </row>
    <row r="25" spans="4:15" s="32" customFormat="1" ht="15.75" x14ac:dyDescent="0.25">
      <c r="D25" s="32">
        <f>WEEKDAY(Positions[[#This Row],[Jous / Séances de trading]],2)</f>
        <v>5</v>
      </c>
      <c r="E25" s="49">
        <f t="shared" si="0"/>
        <v>44372</v>
      </c>
      <c r="F25" s="50">
        <f t="shared" si="1"/>
        <v>1828.1911012463534</v>
      </c>
      <c r="G25" s="44">
        <f>'[2]Simulateur Calculatrice Pos.'!$E$35</f>
        <v>2</v>
      </c>
      <c r="H25" s="45">
        <f>Positions[[#This Row],[Capital]]*Positions[[#This Row],[Evolution du capital par jour en %]]%</f>
        <v>36.56382202492707</v>
      </c>
      <c r="I25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25" s="47">
        <f>IFERROR(IF(D25=5,((Positions[[#This Row],[Capital]]-F21)-K25),0),)</f>
        <v>34.806278614383473</v>
      </c>
      <c r="K25" s="48">
        <f>IFERROR(IF(D25=5,IF($B$6="Aucun retrait",0,IF($B$6=75%,(Positions[[#This Row],[Capital]]-F21)*75%)),0),)</f>
        <v>104.41883584315042</v>
      </c>
      <c r="L25" s="34"/>
    </row>
    <row r="26" spans="4:15" s="32" customFormat="1" ht="15.75" x14ac:dyDescent="0.25">
      <c r="D26" s="32">
        <f>WEEKDAY(Positions[[#This Row],[Jous / Séances de trading]],2)</f>
        <v>1</v>
      </c>
      <c r="E26" s="49">
        <f t="shared" si="0"/>
        <v>44375</v>
      </c>
      <c r="F26" s="50">
        <f t="shared" si="1"/>
        <v>1760.33608742813</v>
      </c>
      <c r="G26" s="44">
        <f>'[2]Simulateur Calculatrice Pos.'!$E$35</f>
        <v>2</v>
      </c>
      <c r="H26" s="45">
        <f>Positions[[#This Row],[Capital]]*Positions[[#This Row],[Evolution du capital par jour en %]]%</f>
        <v>35.2067217485626</v>
      </c>
      <c r="I26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26" s="47">
        <f>IFERROR(IF(D26=5,((Positions[[#This Row],[Capital]]-F22)-K26),0),)</f>
        <v>0</v>
      </c>
      <c r="K26" s="48">
        <f>IFERROR(IF(D26=5,IF($B$6="Aucun retrait",0,IF($B$6=75%,(Positions[[#This Row],[Capital]]-F22)*75%)),0),)</f>
        <v>0</v>
      </c>
      <c r="L26" s="34"/>
    </row>
    <row r="27" spans="4:15" s="32" customFormat="1" ht="15.75" x14ac:dyDescent="0.25">
      <c r="D27" s="32">
        <f>WEEKDAY(Positions[[#This Row],[Jous / Séances de trading]],2)</f>
        <v>2</v>
      </c>
      <c r="E27" s="49">
        <f t="shared" si="0"/>
        <v>44376</v>
      </c>
      <c r="F27" s="50">
        <f t="shared" si="1"/>
        <v>1795.5428091766926</v>
      </c>
      <c r="G27" s="44">
        <f>'[2]Simulateur Calculatrice Pos.'!$E$35</f>
        <v>2</v>
      </c>
      <c r="H27" s="45">
        <f>Positions[[#This Row],[Capital]]*Positions[[#This Row],[Evolution du capital par jour en %]]%</f>
        <v>35.910856183533852</v>
      </c>
      <c r="I27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27" s="47">
        <f>IFERROR(IF(D27=5,((Positions[[#This Row],[Capital]]-F23)-K27),0),)</f>
        <v>0</v>
      </c>
      <c r="K27" s="48">
        <f>IFERROR(IF(D27=5,IF($B$6="Aucun retrait",0,IF($B$6=75%,(Positions[[#This Row],[Capital]]-F23)*75%)),0),)</f>
        <v>0</v>
      </c>
      <c r="L27" s="34"/>
    </row>
    <row r="28" spans="4:15" s="32" customFormat="1" ht="15.75" x14ac:dyDescent="0.25">
      <c r="D28" s="32">
        <f>WEEKDAY(Positions[[#This Row],[Jous / Séances de trading]],2)</f>
        <v>3</v>
      </c>
      <c r="E28" s="49">
        <f t="shared" si="0"/>
        <v>44377</v>
      </c>
      <c r="F28" s="50">
        <f t="shared" si="1"/>
        <v>1831.4536653602265</v>
      </c>
      <c r="G28" s="44">
        <f>'[2]Simulateur Calculatrice Pos.'!$E$35</f>
        <v>2</v>
      </c>
      <c r="H28" s="45">
        <f>Positions[[#This Row],[Capital]]*Positions[[#This Row],[Evolution du capital par jour en %]]%</f>
        <v>36.629073307204528</v>
      </c>
      <c r="I28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28" s="47">
        <f>IFERROR(IF(D28=5,((Positions[[#This Row],[Capital]]-F24)-K28),0),)</f>
        <v>0</v>
      </c>
      <c r="K28" s="48">
        <f>IFERROR(IF(D28=5,IF($B$6="Aucun retrait",0,IF($B$6=75%,(Positions[[#This Row],[Capital]]-F24)*75%)),0),)</f>
        <v>0</v>
      </c>
      <c r="L28" s="34"/>
      <c r="N28" s="51"/>
    </row>
    <row r="29" spans="4:15" s="32" customFormat="1" ht="15.75" x14ac:dyDescent="0.25">
      <c r="D29" s="32">
        <f>WEEKDAY(Positions[[#This Row],[Jous / Séances de trading]],2)</f>
        <v>4</v>
      </c>
      <c r="E29" s="49">
        <f t="shared" si="0"/>
        <v>44378</v>
      </c>
      <c r="F29" s="50">
        <f t="shared" si="1"/>
        <v>1868.0827386674312</v>
      </c>
      <c r="G29" s="44">
        <f>'[2]Simulateur Calculatrice Pos.'!$E$35</f>
        <v>2</v>
      </c>
      <c r="H29" s="45">
        <f>Positions[[#This Row],[Capital]]*Positions[[#This Row],[Evolution du capital par jour en %]]%</f>
        <v>37.361654773348626</v>
      </c>
      <c r="I29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29" s="47">
        <f>IFERROR(IF(D29=5,((Positions[[#This Row],[Capital]]-F25)-K29),0),)</f>
        <v>0</v>
      </c>
      <c r="K29" s="48">
        <f>IFERROR(IF(D29=5,IF($B$6="Aucun retrait",0,IF($B$6=75%,(Positions[[#This Row],[Capital]]-F25)*75%)),0),)</f>
        <v>0</v>
      </c>
      <c r="L29" s="34"/>
    </row>
    <row r="30" spans="4:15" s="32" customFormat="1" ht="15.75" x14ac:dyDescent="0.25">
      <c r="D30" s="32">
        <f>WEEKDAY(Positions[[#This Row],[Jous / Séances de trading]],2)</f>
        <v>5</v>
      </c>
      <c r="E30" s="49">
        <f t="shared" si="0"/>
        <v>44379</v>
      </c>
      <c r="F30" s="50">
        <f t="shared" si="1"/>
        <v>1905.4443934407798</v>
      </c>
      <c r="G30" s="44">
        <f>'[2]Simulateur Calculatrice Pos.'!$E$35</f>
        <v>2</v>
      </c>
      <c r="H30" s="45">
        <f>Positions[[#This Row],[Capital]]*Positions[[#This Row],[Evolution du capital par jour en %]]%</f>
        <v>38.108887868815593</v>
      </c>
      <c r="I30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30" s="47">
        <f>IFERROR(IF(D30=5,((Positions[[#This Row],[Capital]]-F26)-K30),0),)</f>
        <v>36.277076503162448</v>
      </c>
      <c r="K30" s="48">
        <f>IFERROR(IF(D30=5,IF($B$6="Aucun retrait",0,IF($B$6=75%,(Positions[[#This Row],[Capital]]-F26)*75%)),0),)</f>
        <v>108.83122950948734</v>
      </c>
      <c r="L30" s="34"/>
      <c r="N30" s="51"/>
    </row>
    <row r="31" spans="4:15" s="32" customFormat="1" ht="15.75" x14ac:dyDescent="0.25">
      <c r="D31" s="32">
        <f>WEEKDAY(Positions[[#This Row],[Jous / Séances de trading]],2)</f>
        <v>1</v>
      </c>
      <c r="E31" s="49">
        <f t="shared" si="0"/>
        <v>44382</v>
      </c>
      <c r="F31" s="50">
        <f t="shared" si="1"/>
        <v>1834.7220518001081</v>
      </c>
      <c r="G31" s="44">
        <f>'[2]Simulateur Calculatrice Pos.'!$E$35</f>
        <v>2</v>
      </c>
      <c r="H31" s="45">
        <f>Positions[[#This Row],[Capital]]*Positions[[#This Row],[Evolution du capital par jour en %]]%</f>
        <v>36.694441036002161</v>
      </c>
      <c r="I31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31" s="47">
        <f>IFERROR(IF(D31=5,((Positions[[#This Row],[Capital]]-F27)-K31),0),)</f>
        <v>0</v>
      </c>
      <c r="K31" s="48">
        <f>IFERROR(IF(D31=5,IF($B$6="Aucun retrait",0,IF($B$6=75%,(Positions[[#This Row],[Capital]]-F27)*75%)),0),)</f>
        <v>0</v>
      </c>
      <c r="L31" s="34"/>
    </row>
    <row r="32" spans="4:15" s="32" customFormat="1" ht="15.75" x14ac:dyDescent="0.25">
      <c r="D32" s="32">
        <f>WEEKDAY(Positions[[#This Row],[Jous / Séances de trading]],2)</f>
        <v>2</v>
      </c>
      <c r="E32" s="49">
        <f t="shared" si="0"/>
        <v>44383</v>
      </c>
      <c r="F32" s="50">
        <f t="shared" si="1"/>
        <v>1871.4164928361104</v>
      </c>
      <c r="G32" s="44">
        <f>'[2]Simulateur Calculatrice Pos.'!$E$35</f>
        <v>2</v>
      </c>
      <c r="H32" s="45">
        <f>Positions[[#This Row],[Capital]]*Positions[[#This Row],[Evolution du capital par jour en %]]%</f>
        <v>37.428329856722208</v>
      </c>
      <c r="I32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32" s="47">
        <f>IFERROR(IF(D32=5,((Positions[[#This Row],[Capital]]-F28)-K32),0),)</f>
        <v>0</v>
      </c>
      <c r="K32" s="48">
        <f>IFERROR(IF(D32=5,IF($B$6="Aucun retrait",0,IF($B$6=75%,(Positions[[#This Row],[Capital]]-F28)*75%)),0),)</f>
        <v>0</v>
      </c>
      <c r="L32" s="34"/>
    </row>
    <row r="33" spans="4:12" s="32" customFormat="1" ht="15.75" x14ac:dyDescent="0.25">
      <c r="D33" s="32">
        <f>WEEKDAY(Positions[[#This Row],[Jous / Séances de trading]],2)</f>
        <v>3</v>
      </c>
      <c r="E33" s="49">
        <f t="shared" si="0"/>
        <v>44384</v>
      </c>
      <c r="F33" s="50">
        <f t="shared" si="1"/>
        <v>1908.8448226928326</v>
      </c>
      <c r="G33" s="44">
        <f>'[2]Simulateur Calculatrice Pos.'!$E$35</f>
        <v>2</v>
      </c>
      <c r="H33" s="45">
        <f>Positions[[#This Row],[Capital]]*Positions[[#This Row],[Evolution du capital par jour en %]]%</f>
        <v>38.176896453856656</v>
      </c>
      <c r="I33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33" s="47">
        <f>IFERROR(IF(D33=5,((Positions[[#This Row],[Capital]]-F29)-K33),0),)</f>
        <v>0</v>
      </c>
      <c r="K33" s="48">
        <f>IFERROR(IF(D33=5,IF($B$6="Aucun retrait",0,IF($B$6=75%,(Positions[[#This Row],[Capital]]-F29)*75%)),0),)</f>
        <v>0</v>
      </c>
      <c r="L33" s="34"/>
    </row>
    <row r="34" spans="4:12" s="32" customFormat="1" ht="15.75" x14ac:dyDescent="0.25">
      <c r="D34" s="32">
        <f>WEEKDAY(Positions[[#This Row],[Jous / Séances de trading]],2)</f>
        <v>4</v>
      </c>
      <c r="E34" s="49">
        <f t="shared" si="0"/>
        <v>44385</v>
      </c>
      <c r="F34" s="50">
        <f t="shared" si="1"/>
        <v>1947.0217191466893</v>
      </c>
      <c r="G34" s="44">
        <f>'[2]Simulateur Calculatrice Pos.'!$E$35</f>
        <v>2</v>
      </c>
      <c r="H34" s="45">
        <f>Positions[[#This Row],[Capital]]*Positions[[#This Row],[Evolution du capital par jour en %]]%</f>
        <v>38.940434382933788</v>
      </c>
      <c r="I34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34" s="47">
        <f>IFERROR(IF(D34=5,((Positions[[#This Row],[Capital]]-F30)-K34),0),)</f>
        <v>0</v>
      </c>
      <c r="K34" s="48">
        <f>IFERROR(IF(D34=5,IF($B$6="Aucun retrait",0,IF($B$6=75%,(Positions[[#This Row],[Capital]]-F30)*75%)),0),)</f>
        <v>0</v>
      </c>
      <c r="L34" s="34"/>
    </row>
    <row r="35" spans="4:12" s="32" customFormat="1" ht="15.75" x14ac:dyDescent="0.25">
      <c r="D35" s="32">
        <f>WEEKDAY(Positions[[#This Row],[Jous / Séances de trading]],2)</f>
        <v>5</v>
      </c>
      <c r="E35" s="49">
        <f t="shared" si="0"/>
        <v>44386</v>
      </c>
      <c r="F35" s="50">
        <f t="shared" si="1"/>
        <v>1985.962153529623</v>
      </c>
      <c r="G35" s="44">
        <f>'[2]Simulateur Calculatrice Pos.'!$E$35</f>
        <v>2</v>
      </c>
      <c r="H35" s="45">
        <f>Positions[[#This Row],[Capital]]*Positions[[#This Row],[Evolution du capital par jour en %]]%</f>
        <v>39.719243070592462</v>
      </c>
      <c r="I35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35" s="47">
        <f>IFERROR(IF(D35=5,((Positions[[#This Row],[Capital]]-F31)-K35),0),)</f>
        <v>37.810025432378723</v>
      </c>
      <c r="K35" s="48">
        <f>IFERROR(IF(D35=5,IF($B$6="Aucun retrait",0,IF($B$6=75%,(Positions[[#This Row],[Capital]]-F31)*75%)),0),)</f>
        <v>113.43007629713617</v>
      </c>
      <c r="L35" s="34"/>
    </row>
    <row r="36" spans="4:12" s="32" customFormat="1" ht="15.75" x14ac:dyDescent="0.25">
      <c r="D36" s="32">
        <f>WEEKDAY(Positions[[#This Row],[Jous / Séances de trading]],2)</f>
        <v>1</v>
      </c>
      <c r="E36" s="49">
        <f t="shared" si="0"/>
        <v>44389</v>
      </c>
      <c r="F36" s="50">
        <f t="shared" si="1"/>
        <v>1912.2513203030794</v>
      </c>
      <c r="G36" s="44">
        <f>'[2]Simulateur Calculatrice Pos.'!$E$35</f>
        <v>2</v>
      </c>
      <c r="H36" s="45">
        <f>Positions[[#This Row],[Capital]]*Positions[[#This Row],[Evolution du capital par jour en %]]%</f>
        <v>38.245026406061591</v>
      </c>
      <c r="I36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36" s="47">
        <f>IFERROR(IF(D36=5,((Positions[[#This Row],[Capital]]-F32)-K36),0),)</f>
        <v>0</v>
      </c>
      <c r="K36" s="48">
        <f>IFERROR(IF(D36=5,IF($B$6="Aucun retrait",0,IF($B$6=75%,(Positions[[#This Row],[Capital]]-F32)*75%)),0),)</f>
        <v>0</v>
      </c>
      <c r="L36" s="34"/>
    </row>
    <row r="37" spans="4:12" s="32" customFormat="1" ht="15.75" x14ac:dyDescent="0.25">
      <c r="D37" s="32">
        <f>WEEKDAY(Positions[[#This Row],[Jous / Séances de trading]],2)</f>
        <v>2</v>
      </c>
      <c r="E37" s="49">
        <f t="shared" si="0"/>
        <v>44390</v>
      </c>
      <c r="F37" s="50">
        <f t="shared" si="1"/>
        <v>1950.4963467091411</v>
      </c>
      <c r="G37" s="44">
        <f>'[2]Simulateur Calculatrice Pos.'!$E$35</f>
        <v>2</v>
      </c>
      <c r="H37" s="45">
        <f>Positions[[#This Row],[Capital]]*Positions[[#This Row],[Evolution du capital par jour en %]]%</f>
        <v>39.009926934182822</v>
      </c>
      <c r="I37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37" s="47">
        <f>IFERROR(IF(D37=5,((Positions[[#This Row],[Capital]]-F33)-K37),0),)</f>
        <v>0</v>
      </c>
      <c r="K37" s="48">
        <f>IFERROR(IF(D37=5,IF($B$6="Aucun retrait",0,IF($B$6=75%,(Positions[[#This Row],[Capital]]-F33)*75%)),0),)</f>
        <v>0</v>
      </c>
      <c r="L37" s="34"/>
    </row>
    <row r="38" spans="4:12" s="32" customFormat="1" ht="15.75" x14ac:dyDescent="0.25">
      <c r="D38" s="32">
        <f>WEEKDAY(Positions[[#This Row],[Jous / Séances de trading]],2)</f>
        <v>3</v>
      </c>
      <c r="E38" s="49">
        <f t="shared" si="0"/>
        <v>44391</v>
      </c>
      <c r="F38" s="50">
        <f t="shared" si="1"/>
        <v>1989.506273643324</v>
      </c>
      <c r="G38" s="44">
        <f>'[2]Simulateur Calculatrice Pos.'!$E$35</f>
        <v>2</v>
      </c>
      <c r="H38" s="45">
        <f>Positions[[#This Row],[Capital]]*Positions[[#This Row],[Evolution du capital par jour en %]]%</f>
        <v>39.790125472866478</v>
      </c>
      <c r="I38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38" s="47">
        <f>IFERROR(IF(D38=5,((Positions[[#This Row],[Capital]]-F34)-K38),0),)</f>
        <v>0</v>
      </c>
      <c r="K38" s="48">
        <f>IFERROR(IF(D38=5,IF($B$6="Aucun retrait",0,IF($B$6=75%,(Positions[[#This Row],[Capital]]-F34)*75%)),0),)</f>
        <v>0</v>
      </c>
      <c r="L38" s="34"/>
    </row>
    <row r="39" spans="4:12" s="32" customFormat="1" ht="15.75" x14ac:dyDescent="0.25">
      <c r="D39" s="32">
        <f>WEEKDAY(Positions[[#This Row],[Jous / Séances de trading]],2)</f>
        <v>4</v>
      </c>
      <c r="E39" s="49">
        <f t="shared" si="0"/>
        <v>44392</v>
      </c>
      <c r="F39" s="50">
        <f t="shared" si="1"/>
        <v>2029.2963991161905</v>
      </c>
      <c r="G39" s="44">
        <f>'[2]Simulateur Calculatrice Pos.'!$E$35</f>
        <v>2</v>
      </c>
      <c r="H39" s="45">
        <f>Positions[[#This Row],[Capital]]*Positions[[#This Row],[Evolution du capital par jour en %]]%</f>
        <v>40.58592798232381</v>
      </c>
      <c r="I39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39" s="47">
        <f>IFERROR(IF(D39=5,((Positions[[#This Row],[Capital]]-F35)-K39),0),)</f>
        <v>0</v>
      </c>
      <c r="K39" s="48">
        <f>IFERROR(IF(D39=5,IF($B$6="Aucun retrait",0,IF($B$6=75%,(Positions[[#This Row],[Capital]]-F35)*75%)),0),)</f>
        <v>0</v>
      </c>
      <c r="L39" s="34"/>
    </row>
    <row r="40" spans="4:12" s="32" customFormat="1" ht="15.75" x14ac:dyDescent="0.25">
      <c r="D40" s="32">
        <f>WEEKDAY(Positions[[#This Row],[Jous / Séances de trading]],2)</f>
        <v>5</v>
      </c>
      <c r="E40" s="49">
        <f t="shared" si="0"/>
        <v>44393</v>
      </c>
      <c r="F40" s="50">
        <f t="shared" si="1"/>
        <v>2069.8823270985145</v>
      </c>
      <c r="G40" s="44">
        <f>'[2]Simulateur Calculatrice Pos.'!$E$35</f>
        <v>2</v>
      </c>
      <c r="H40" s="45">
        <f>Positions[[#This Row],[Capital]]*Positions[[#This Row],[Evolution du capital par jour en %]]%</f>
        <v>41.397646541970289</v>
      </c>
      <c r="I40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40" s="47">
        <f>IFERROR(IF(D40=5,((Positions[[#This Row],[Capital]]-F36)-K40),0),)</f>
        <v>39.40775169885876</v>
      </c>
      <c r="K40" s="48">
        <f>IFERROR(IF(D40=5,IF($B$6="Aucun retrait",0,IF($B$6=75%,(Positions[[#This Row],[Capital]]-F36)*75%)),0),)</f>
        <v>118.22325509657628</v>
      </c>
      <c r="L40" s="34"/>
    </row>
    <row r="41" spans="4:12" s="32" customFormat="1" ht="15.75" x14ac:dyDescent="0.25">
      <c r="D41" s="32">
        <f>WEEKDAY(Positions[[#This Row],[Jous / Séances de trading]],2)</f>
        <v>1</v>
      </c>
      <c r="E41" s="49">
        <f t="shared" si="0"/>
        <v>44396</v>
      </c>
      <c r="F41" s="50">
        <f t="shared" si="1"/>
        <v>1993.0567185439086</v>
      </c>
      <c r="G41" s="44">
        <f>'[2]Simulateur Calculatrice Pos.'!$E$35</f>
        <v>2</v>
      </c>
      <c r="H41" s="45">
        <f>Positions[[#This Row],[Capital]]*Positions[[#This Row],[Evolution du capital par jour en %]]%</f>
        <v>39.861134370878169</v>
      </c>
      <c r="I41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41" s="47">
        <f>IFERROR(IF(D41=5,((Positions[[#This Row],[Capital]]-F37)-K41),0),)</f>
        <v>0</v>
      </c>
      <c r="K41" s="48">
        <f>IFERROR(IF(D41=5,IF($B$6="Aucun retrait",0,IF($B$6=75%,(Positions[[#This Row],[Capital]]-F37)*75%)),0),)</f>
        <v>0</v>
      </c>
      <c r="L41" s="34"/>
    </row>
    <row r="42" spans="4:12" s="32" customFormat="1" ht="15.75" x14ac:dyDescent="0.25">
      <c r="D42" s="32">
        <f>WEEKDAY(Positions[[#This Row],[Jous / Séances de trading]],2)</f>
        <v>2</v>
      </c>
      <c r="E42" s="49">
        <f t="shared" si="0"/>
        <v>44397</v>
      </c>
      <c r="F42" s="50">
        <f t="shared" si="1"/>
        <v>2032.9178529147866</v>
      </c>
      <c r="G42" s="44">
        <f>'[2]Simulateur Calculatrice Pos.'!$E$35</f>
        <v>2</v>
      </c>
      <c r="H42" s="45">
        <f>Positions[[#This Row],[Capital]]*Positions[[#This Row],[Evolution du capital par jour en %]]%</f>
        <v>40.658357058295735</v>
      </c>
      <c r="I42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42" s="47">
        <f>IFERROR(IF(D42=5,((Positions[[#This Row],[Capital]]-F38)-K42),0),)</f>
        <v>0</v>
      </c>
      <c r="K42" s="48">
        <f>IFERROR(IF(D42=5,IF($B$6="Aucun retrait",0,IF($B$6=75%,(Positions[[#This Row],[Capital]]-F38)*75%)),0),)</f>
        <v>0</v>
      </c>
      <c r="L42" s="34"/>
    </row>
    <row r="43" spans="4:12" s="32" customFormat="1" ht="15.75" x14ac:dyDescent="0.25">
      <c r="D43" s="32">
        <f>WEEKDAY(Positions[[#This Row],[Jous / Séances de trading]],2)</f>
        <v>3</v>
      </c>
      <c r="E43" s="49">
        <f t="shared" si="0"/>
        <v>44398</v>
      </c>
      <c r="F43" s="50">
        <f t="shared" si="1"/>
        <v>2073.5762099730823</v>
      </c>
      <c r="G43" s="44">
        <f>'[2]Simulateur Calculatrice Pos.'!$E$35</f>
        <v>2</v>
      </c>
      <c r="H43" s="45">
        <f>Positions[[#This Row],[Capital]]*Positions[[#This Row],[Evolution du capital par jour en %]]%</f>
        <v>41.471524199461648</v>
      </c>
      <c r="I43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43" s="47">
        <f>IFERROR(IF(D43=5,((Positions[[#This Row],[Capital]]-F39)-K43),0),)</f>
        <v>0</v>
      </c>
      <c r="K43" s="48">
        <f>IFERROR(IF(D43=5,IF($B$6="Aucun retrait",0,IF($B$6=75%,(Positions[[#This Row],[Capital]]-F39)*75%)),0),)</f>
        <v>0</v>
      </c>
      <c r="L43" s="34"/>
    </row>
    <row r="44" spans="4:12" s="32" customFormat="1" ht="15.75" x14ac:dyDescent="0.25">
      <c r="D44" s="32">
        <f>WEEKDAY(Positions[[#This Row],[Jous / Séances de trading]],2)</f>
        <v>4</v>
      </c>
      <c r="E44" s="49">
        <f t="shared" si="0"/>
        <v>44399</v>
      </c>
      <c r="F44" s="50">
        <f t="shared" si="1"/>
        <v>2115.0477341725441</v>
      </c>
      <c r="G44" s="44">
        <f>'[2]Simulateur Calculatrice Pos.'!$E$35</f>
        <v>2</v>
      </c>
      <c r="H44" s="45">
        <f>Positions[[#This Row],[Capital]]*Positions[[#This Row],[Evolution du capital par jour en %]]%</f>
        <v>42.300954683450882</v>
      </c>
      <c r="I44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44" s="47">
        <f>IFERROR(IF(D44=5,((Positions[[#This Row],[Capital]]-F40)-K44),0),)</f>
        <v>0</v>
      </c>
      <c r="K44" s="48">
        <f>IFERROR(IF(D44=5,IF($B$6="Aucun retrait",0,IF($B$6=75%,(Positions[[#This Row],[Capital]]-F40)*75%)),0),)</f>
        <v>0</v>
      </c>
      <c r="L44" s="34"/>
    </row>
    <row r="45" spans="4:12" s="32" customFormat="1" ht="15.75" x14ac:dyDescent="0.25">
      <c r="D45" s="32">
        <f>WEEKDAY(Positions[[#This Row],[Jous / Séances de trading]],2)</f>
        <v>5</v>
      </c>
      <c r="E45" s="49">
        <f t="shared" si="0"/>
        <v>44400</v>
      </c>
      <c r="F45" s="50">
        <f t="shared" si="1"/>
        <v>2157.3486888559951</v>
      </c>
      <c r="G45" s="44">
        <f>'[2]Simulateur Calculatrice Pos.'!$E$35</f>
        <v>2</v>
      </c>
      <c r="H45" s="45">
        <f>Positions[[#This Row],[Capital]]*Positions[[#This Row],[Evolution du capital par jour en %]]%</f>
        <v>43.146973777119904</v>
      </c>
      <c r="I45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45" s="47">
        <f>IFERROR(IF(D45=5,((Positions[[#This Row],[Capital]]-F41)-K45),0),)</f>
        <v>41.072992578021626</v>
      </c>
      <c r="K45" s="48">
        <f>IFERROR(IF(D45=5,IF($B$6="Aucun retrait",0,IF($B$6=75%,(Positions[[#This Row],[Capital]]-F41)*75%)),0),)</f>
        <v>123.21897773406488</v>
      </c>
      <c r="L45" s="34"/>
    </row>
    <row r="46" spans="4:12" s="32" customFormat="1" ht="15.75" x14ac:dyDescent="0.25">
      <c r="D46" s="32">
        <f>WEEKDAY(Positions[[#This Row],[Jous / Séances de trading]],2)</f>
        <v>1</v>
      </c>
      <c r="E46" s="49">
        <f t="shared" si="0"/>
        <v>44403</v>
      </c>
      <c r="F46" s="50">
        <f t="shared" si="1"/>
        <v>2077.27668489905</v>
      </c>
      <c r="G46" s="44">
        <f>'[2]Simulateur Calculatrice Pos.'!$E$35</f>
        <v>2</v>
      </c>
      <c r="H46" s="45">
        <f>Positions[[#This Row],[Capital]]*Positions[[#This Row],[Evolution du capital par jour en %]]%</f>
        <v>41.545533697981</v>
      </c>
      <c r="I46" s="46">
        <f>ROUND((((Positions[[#This Row],[Capital]]*Positions[[#This Row],[Evolution du capital par jour en %]]%)/('[2]Simulateur Calculatrice Pos.'!$E$15*'[2]Simulateur Calculatrice Pos.'!$E$24))/'[2]Simulateur Calculatrice Pos.'!$E$21),0)</f>
        <v>3</v>
      </c>
      <c r="J46" s="47">
        <f>IFERROR(IF(D46=5,((Positions[[#This Row],[Capital]]-F42)-K46),0),)</f>
        <v>0</v>
      </c>
      <c r="K46" s="48">
        <f>IFERROR(IF(D46=5,IF($B$6="Aucun retrait",0,IF($B$6=75%,(Positions[[#This Row],[Capital]]-F42)*75%)),0),)</f>
        <v>0</v>
      </c>
      <c r="L46" s="34"/>
    </row>
    <row r="47" spans="4:12" s="32" customFormat="1" ht="15.75" x14ac:dyDescent="0.25">
      <c r="D47" s="32">
        <f>WEEKDAY(Positions[[#This Row],[Jous / Séances de trading]],2)</f>
        <v>2</v>
      </c>
      <c r="E47" s="49">
        <f t="shared" si="0"/>
        <v>44404</v>
      </c>
      <c r="F47" s="50">
        <f t="shared" si="1"/>
        <v>2118.8222185970308</v>
      </c>
      <c r="G47" s="44">
        <f>'[2]Simulateur Calculatrice Pos.'!$E$35</f>
        <v>2</v>
      </c>
      <c r="H47" s="45">
        <f>Positions[[#This Row],[Capital]]*Positions[[#This Row],[Evolution du capital par jour en %]]%</f>
        <v>42.376444371940615</v>
      </c>
      <c r="I47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47" s="47">
        <f>IFERROR(IF(D47=5,((Positions[[#This Row],[Capital]]-F43)-K47),0),)</f>
        <v>0</v>
      </c>
      <c r="K47" s="48">
        <f>IFERROR(IF(D47=5,IF($B$6="Aucun retrait",0,IF($B$6=75%,(Positions[[#This Row],[Capital]]-F43)*75%)),0),)</f>
        <v>0</v>
      </c>
      <c r="L47" s="34"/>
    </row>
    <row r="48" spans="4:12" s="32" customFormat="1" ht="15.75" x14ac:dyDescent="0.25">
      <c r="D48" s="32">
        <f>WEEKDAY(Positions[[#This Row],[Jous / Séances de trading]],2)</f>
        <v>3</v>
      </c>
      <c r="E48" s="49">
        <f t="shared" si="0"/>
        <v>44405</v>
      </c>
      <c r="F48" s="50">
        <f t="shared" si="1"/>
        <v>2161.1986629689713</v>
      </c>
      <c r="G48" s="44">
        <f>'[2]Simulateur Calculatrice Pos.'!$E$35</f>
        <v>2</v>
      </c>
      <c r="H48" s="45">
        <f>Positions[[#This Row],[Capital]]*Positions[[#This Row],[Evolution du capital par jour en %]]%</f>
        <v>43.223973259379427</v>
      </c>
      <c r="I48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48" s="47">
        <f>IFERROR(IF(D48=5,((Positions[[#This Row],[Capital]]-F44)-K48),0),)</f>
        <v>0</v>
      </c>
      <c r="K48" s="48">
        <f>IFERROR(IF(D48=5,IF($B$6="Aucun retrait",0,IF($B$6=75%,(Positions[[#This Row],[Capital]]-F44)*75%)),0),)</f>
        <v>0</v>
      </c>
      <c r="L48" s="34"/>
    </row>
    <row r="49" spans="4:12" s="32" customFormat="1" ht="15.75" x14ac:dyDescent="0.25">
      <c r="D49" s="32">
        <f>WEEKDAY(Positions[[#This Row],[Jous / Séances de trading]],2)</f>
        <v>4</v>
      </c>
      <c r="E49" s="49">
        <f t="shared" si="0"/>
        <v>44406</v>
      </c>
      <c r="F49" s="50">
        <f t="shared" si="1"/>
        <v>2204.4226362283507</v>
      </c>
      <c r="G49" s="44">
        <f>'[2]Simulateur Calculatrice Pos.'!$E$35</f>
        <v>2</v>
      </c>
      <c r="H49" s="45">
        <f>Positions[[#This Row],[Capital]]*Positions[[#This Row],[Evolution du capital par jour en %]]%</f>
        <v>44.088452724567013</v>
      </c>
      <c r="I49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49" s="47">
        <f>IFERROR(IF(D49=5,((Positions[[#This Row],[Capital]]-F45)-K49),0),)</f>
        <v>0</v>
      </c>
      <c r="K49" s="48">
        <f>IFERROR(IF(D49=5,IF($B$6="Aucun retrait",0,IF($B$6=75%,(Positions[[#This Row],[Capital]]-F45)*75%)),0),)</f>
        <v>0</v>
      </c>
      <c r="L49" s="34"/>
    </row>
    <row r="50" spans="4:12" s="32" customFormat="1" ht="15.75" x14ac:dyDescent="0.25">
      <c r="D50" s="32">
        <f>WEEKDAY(Positions[[#This Row],[Jous / Séances de trading]],2)</f>
        <v>5</v>
      </c>
      <c r="E50" s="49">
        <f t="shared" si="0"/>
        <v>44407</v>
      </c>
      <c r="F50" s="50">
        <f t="shared" si="1"/>
        <v>2248.5110889529178</v>
      </c>
      <c r="G50" s="44">
        <f>'[2]Simulateur Calculatrice Pos.'!$E$35</f>
        <v>2</v>
      </c>
      <c r="H50" s="45">
        <f>Positions[[#This Row],[Capital]]*Positions[[#This Row],[Evolution du capital par jour en %]]%</f>
        <v>44.970221779058356</v>
      </c>
      <c r="I50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50" s="47">
        <f>IFERROR(IF(D50=5,((Positions[[#This Row],[Capital]]-F46)-K50),0),)</f>
        <v>42.808601013466955</v>
      </c>
      <c r="K50" s="48">
        <f>IFERROR(IF(D50=5,IF($B$6="Aucun retrait",0,IF($B$6=75%,(Positions[[#This Row],[Capital]]-F46)*75%)),0),)</f>
        <v>128.42580304040087</v>
      </c>
      <c r="L50" s="34"/>
    </row>
    <row r="51" spans="4:12" s="32" customFormat="1" ht="15.75" x14ac:dyDescent="0.25">
      <c r="D51" s="32">
        <f>WEEKDAY(Positions[[#This Row],[Jous / Séances de trading]],2)</f>
        <v>1</v>
      </c>
      <c r="E51" s="49">
        <f>WORKDAY(E50,1)</f>
        <v>44410</v>
      </c>
      <c r="F51" s="50">
        <f t="shared" si="1"/>
        <v>2165.0555076915753</v>
      </c>
      <c r="G51" s="44">
        <f>'[2]Simulateur Calculatrice Pos.'!$E$35</f>
        <v>2</v>
      </c>
      <c r="H51" s="45">
        <f>Positions[[#This Row],[Capital]]*Positions[[#This Row],[Evolution du capital par jour en %]]%</f>
        <v>43.301110153831509</v>
      </c>
      <c r="I51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51" s="47">
        <f>IFERROR(IF(D51=5,((Positions[[#This Row],[Capital]]-F47)-K51),0),)</f>
        <v>0</v>
      </c>
      <c r="K51" s="48">
        <f>IFERROR(IF(D51=5,IF($B$6="Aucun retrait",0,IF($B$6=75%,(Positions[[#This Row],[Capital]]-F47)*75%)),0),)</f>
        <v>0</v>
      </c>
      <c r="L51" s="34"/>
    </row>
    <row r="52" spans="4:12" s="32" customFormat="1" ht="15.75" x14ac:dyDescent="0.25">
      <c r="D52" s="32">
        <f>WEEKDAY(Positions[[#This Row],[Jous / Séances de trading]],2)</f>
        <v>2</v>
      </c>
      <c r="E52" s="49">
        <f t="shared" si="0"/>
        <v>44411</v>
      </c>
      <c r="F52" s="50">
        <f t="shared" si="1"/>
        <v>2208.3566178454066</v>
      </c>
      <c r="G52" s="44">
        <f>'[2]Simulateur Calculatrice Pos.'!$E$35</f>
        <v>2</v>
      </c>
      <c r="H52" s="45">
        <f>Positions[[#This Row],[Capital]]*Positions[[#This Row],[Evolution du capital par jour en %]]%</f>
        <v>44.167132356908134</v>
      </c>
      <c r="I52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52" s="47">
        <f>IFERROR(IF(D52=5,((Positions[[#This Row],[Capital]]-F48)-K52),0),)</f>
        <v>0</v>
      </c>
      <c r="K52" s="48">
        <f>IFERROR(IF(D52=5,IF($B$6="Aucun retrait",0,IF($B$6=75%,(Positions[[#This Row],[Capital]]-F48)*75%)),0),)</f>
        <v>0</v>
      </c>
      <c r="L52" s="34"/>
    </row>
    <row r="53" spans="4:12" s="32" customFormat="1" ht="15.75" x14ac:dyDescent="0.25">
      <c r="D53" s="32">
        <f>WEEKDAY(Positions[[#This Row],[Jous / Séances de trading]],2)</f>
        <v>3</v>
      </c>
      <c r="E53" s="49">
        <f t="shared" si="0"/>
        <v>44412</v>
      </c>
      <c r="F53" s="50">
        <f t="shared" si="1"/>
        <v>2252.5237502023147</v>
      </c>
      <c r="G53" s="44">
        <f>'[2]Simulateur Calculatrice Pos.'!$E$35</f>
        <v>2</v>
      </c>
      <c r="H53" s="45">
        <f>Positions[[#This Row],[Capital]]*Positions[[#This Row],[Evolution du capital par jour en %]]%</f>
        <v>45.050475004046291</v>
      </c>
      <c r="I53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53" s="47">
        <f>IFERROR(IF(D53=5,((Positions[[#This Row],[Capital]]-F49)-K53),0),)</f>
        <v>0</v>
      </c>
      <c r="K53" s="48">
        <f>IFERROR(IF(D53=5,IF($B$6="Aucun retrait",0,IF($B$6=75%,(Positions[[#This Row],[Capital]]-F49)*75%)),0),)</f>
        <v>0</v>
      </c>
      <c r="L53" s="34"/>
    </row>
    <row r="54" spans="4:12" s="32" customFormat="1" ht="15.75" x14ac:dyDescent="0.25">
      <c r="D54" s="32">
        <f>WEEKDAY(Positions[[#This Row],[Jous / Séances de trading]],2)</f>
        <v>4</v>
      </c>
      <c r="E54" s="49">
        <f t="shared" si="0"/>
        <v>44413</v>
      </c>
      <c r="F54" s="50">
        <f t="shared" si="1"/>
        <v>2297.574225206361</v>
      </c>
      <c r="G54" s="44">
        <f>'[2]Simulateur Calculatrice Pos.'!$E$35</f>
        <v>2</v>
      </c>
      <c r="H54" s="45">
        <f>Positions[[#This Row],[Capital]]*Positions[[#This Row],[Evolution du capital par jour en %]]%</f>
        <v>45.951484504127222</v>
      </c>
      <c r="I54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54" s="47">
        <f>IFERROR(IF(D54=5,((Positions[[#This Row],[Capital]]-F50)-K54),0),)</f>
        <v>0</v>
      </c>
      <c r="K54" s="48">
        <f>IFERROR(IF(D54=5,IF($B$6="Aucun retrait",0,IF($B$6=75%,(Positions[[#This Row],[Capital]]-F50)*75%)),0),)</f>
        <v>0</v>
      </c>
      <c r="L54" s="34"/>
    </row>
    <row r="55" spans="4:12" s="32" customFormat="1" ht="15.75" x14ac:dyDescent="0.25">
      <c r="D55" s="32">
        <f>WEEKDAY(Positions[[#This Row],[Jous / Séances de trading]],2)</f>
        <v>5</v>
      </c>
      <c r="E55" s="49">
        <f t="shared" si="0"/>
        <v>44414</v>
      </c>
      <c r="F55" s="50">
        <f t="shared" si="1"/>
        <v>2343.5257097104882</v>
      </c>
      <c r="G55" s="44">
        <f>'[2]Simulateur Calculatrice Pos.'!$E$35</f>
        <v>2</v>
      </c>
      <c r="H55" s="45">
        <f>Positions[[#This Row],[Capital]]*Positions[[#This Row],[Evolution du capital par jour en %]]%</f>
        <v>46.870514194209761</v>
      </c>
      <c r="I55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55" s="47">
        <f>IFERROR(IF(D55=5,((Positions[[#This Row],[Capital]]-F51)-K55),0),)</f>
        <v>44.617550504728229</v>
      </c>
      <c r="K55" s="48">
        <f>IFERROR(IF(D55=5,IF($B$6="Aucun retrait",0,IF($B$6=75%,(Positions[[#This Row],[Capital]]-F51)*75%)),0),)</f>
        <v>133.85265151418469</v>
      </c>
      <c r="L55" s="34"/>
    </row>
    <row r="56" spans="4:12" s="32" customFormat="1" ht="15.75" x14ac:dyDescent="0.25">
      <c r="D56" s="32">
        <f>WEEKDAY(Positions[[#This Row],[Jous / Séances de trading]],2)</f>
        <v>1</v>
      </c>
      <c r="E56" s="49">
        <f t="shared" si="0"/>
        <v>44417</v>
      </c>
      <c r="F56" s="50">
        <f t="shared" si="1"/>
        <v>2256.543572390513</v>
      </c>
      <c r="G56" s="44">
        <f>'[2]Simulateur Calculatrice Pos.'!$E$35</f>
        <v>2</v>
      </c>
      <c r="H56" s="45">
        <f>Positions[[#This Row],[Capital]]*Positions[[#This Row],[Evolution du capital par jour en %]]%</f>
        <v>45.130871447810257</v>
      </c>
      <c r="I56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56" s="47">
        <f>IFERROR(IF(D56=5,((Positions[[#This Row],[Capital]]-F52)-K56),0),)</f>
        <v>0</v>
      </c>
      <c r="K56" s="48">
        <f>IFERROR(IF(D56=5,IF($B$6="Aucun retrait",0,IF($B$6=75%,(Positions[[#This Row],[Capital]]-F52)*75%)),0),)</f>
        <v>0</v>
      </c>
      <c r="L56" s="34"/>
    </row>
    <row r="57" spans="4:12" s="32" customFormat="1" ht="15.75" x14ac:dyDescent="0.25">
      <c r="D57" s="32">
        <f>WEEKDAY(Positions[[#This Row],[Jous / Séances de trading]],2)</f>
        <v>2</v>
      </c>
      <c r="E57" s="49">
        <f t="shared" si="0"/>
        <v>44418</v>
      </c>
      <c r="F57" s="50">
        <f t="shared" si="1"/>
        <v>2301.6744438383234</v>
      </c>
      <c r="G57" s="44">
        <f>'[2]Simulateur Calculatrice Pos.'!$E$35</f>
        <v>2</v>
      </c>
      <c r="H57" s="45">
        <f>Positions[[#This Row],[Capital]]*Positions[[#This Row],[Evolution du capital par jour en %]]%</f>
        <v>46.033488876766469</v>
      </c>
      <c r="I57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57" s="47">
        <f>IFERROR(IF(D57=5,((Positions[[#This Row],[Capital]]-F53)-K57),0),)</f>
        <v>0</v>
      </c>
      <c r="K57" s="48">
        <f>IFERROR(IF(D57=5,IF($B$6="Aucun retrait",0,IF($B$6=75%,(Positions[[#This Row],[Capital]]-F53)*75%)),0),)</f>
        <v>0</v>
      </c>
      <c r="L57" s="34"/>
    </row>
    <row r="58" spans="4:12" s="32" customFormat="1" ht="15.75" x14ac:dyDescent="0.25">
      <c r="D58" s="32">
        <f>WEEKDAY(Positions[[#This Row],[Jous / Séances de trading]],2)</f>
        <v>3</v>
      </c>
      <c r="E58" s="49">
        <f t="shared" si="0"/>
        <v>44419</v>
      </c>
      <c r="F58" s="50">
        <f t="shared" si="1"/>
        <v>2347.70793271509</v>
      </c>
      <c r="G58" s="44">
        <f>'[2]Simulateur Calculatrice Pos.'!$E$35</f>
        <v>2</v>
      </c>
      <c r="H58" s="45">
        <f>Positions[[#This Row],[Capital]]*Positions[[#This Row],[Evolution du capital par jour en %]]%</f>
        <v>46.9541586543018</v>
      </c>
      <c r="I58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58" s="47">
        <f>IFERROR(IF(D58=5,((Positions[[#This Row],[Capital]]-F54)-K58),0),)</f>
        <v>0</v>
      </c>
      <c r="K58" s="48">
        <f>IFERROR(IF(D58=5,IF($B$6="Aucun retrait",0,IF($B$6=75%,(Positions[[#This Row],[Capital]]-F54)*75%)),0),)</f>
        <v>0</v>
      </c>
      <c r="L58" s="34"/>
    </row>
    <row r="59" spans="4:12" s="32" customFormat="1" ht="15.75" x14ac:dyDescent="0.25">
      <c r="D59" s="32">
        <f>WEEKDAY(Positions[[#This Row],[Jous / Séances de trading]],2)</f>
        <v>4</v>
      </c>
      <c r="E59" s="49">
        <f t="shared" si="0"/>
        <v>44420</v>
      </c>
      <c r="F59" s="50">
        <f t="shared" si="1"/>
        <v>2394.6620913693919</v>
      </c>
      <c r="G59" s="44">
        <f>'[2]Simulateur Calculatrice Pos.'!$E$35</f>
        <v>2</v>
      </c>
      <c r="H59" s="45">
        <f>Positions[[#This Row],[Capital]]*Positions[[#This Row],[Evolution du capital par jour en %]]%</f>
        <v>47.89324182738784</v>
      </c>
      <c r="I59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59" s="47">
        <f>IFERROR(IF(D59=5,((Positions[[#This Row],[Capital]]-F55)-K59),0),)</f>
        <v>0</v>
      </c>
      <c r="K59" s="48">
        <f>IFERROR(IF(D59=5,IF($B$6="Aucun retrait",0,IF($B$6=75%,(Positions[[#This Row],[Capital]]-F55)*75%)),0),)</f>
        <v>0</v>
      </c>
      <c r="L59" s="34"/>
    </row>
    <row r="60" spans="4:12" s="32" customFormat="1" ht="15.75" x14ac:dyDescent="0.25">
      <c r="D60" s="32">
        <f>WEEKDAY(Positions[[#This Row],[Jous / Séances de trading]],2)</f>
        <v>5</v>
      </c>
      <c r="E60" s="49">
        <f t="shared" si="0"/>
        <v>44421</v>
      </c>
      <c r="F60" s="50">
        <f t="shared" si="1"/>
        <v>2442.5553331967799</v>
      </c>
      <c r="G60" s="44">
        <f>'[2]Simulateur Calculatrice Pos.'!$E$35</f>
        <v>2</v>
      </c>
      <c r="H60" s="45">
        <f>Positions[[#This Row],[Capital]]*Positions[[#This Row],[Evolution du capital par jour en %]]%</f>
        <v>48.851106663935596</v>
      </c>
      <c r="I60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60" s="47">
        <f>IFERROR(IF(D60=5,((Positions[[#This Row],[Capital]]-F56)-K60),0),)</f>
        <v>46.50294020156673</v>
      </c>
      <c r="K60" s="48">
        <f>IFERROR(IF(D60=5,IF($B$6="Aucun retrait",0,IF($B$6=75%,(Positions[[#This Row],[Capital]]-F56)*75%)),0),)</f>
        <v>139.50882060470019</v>
      </c>
      <c r="L60" s="34"/>
    </row>
    <row r="61" spans="4:12" s="32" customFormat="1" ht="15.75" x14ac:dyDescent="0.25">
      <c r="D61" s="32">
        <f>WEEKDAY(Positions[[#This Row],[Jous / Séances de trading]],2)</f>
        <v>1</v>
      </c>
      <c r="E61" s="49">
        <f t="shared" si="0"/>
        <v>44424</v>
      </c>
      <c r="F61" s="50">
        <f t="shared" si="1"/>
        <v>2351.8976192560153</v>
      </c>
      <c r="G61" s="44">
        <f>'[2]Simulateur Calculatrice Pos.'!$E$35</f>
        <v>2</v>
      </c>
      <c r="H61" s="45">
        <f>Positions[[#This Row],[Capital]]*Positions[[#This Row],[Evolution du capital par jour en %]]%</f>
        <v>47.037952385120306</v>
      </c>
      <c r="I61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61" s="47">
        <f>IFERROR(IF(D61=5,((Positions[[#This Row],[Capital]]-F57)-K61),0),)</f>
        <v>0</v>
      </c>
      <c r="K61" s="48">
        <f>IFERROR(IF(D61=5,IF($B$6="Aucun retrait",0,IF($B$6=75%,(Positions[[#This Row],[Capital]]-F57)*75%)),0),)</f>
        <v>0</v>
      </c>
      <c r="L61" s="34"/>
    </row>
    <row r="62" spans="4:12" s="32" customFormat="1" ht="15.75" x14ac:dyDescent="0.25">
      <c r="D62" s="32">
        <f>WEEKDAY(Positions[[#This Row],[Jous / Séances de trading]],2)</f>
        <v>2</v>
      </c>
      <c r="E62" s="49">
        <f t="shared" si="0"/>
        <v>44425</v>
      </c>
      <c r="F62" s="50">
        <f t="shared" si="1"/>
        <v>2398.9355716411355</v>
      </c>
      <c r="G62" s="44">
        <f>'[2]Simulateur Calculatrice Pos.'!$E$35</f>
        <v>2</v>
      </c>
      <c r="H62" s="45">
        <f>Positions[[#This Row],[Capital]]*Positions[[#This Row],[Evolution du capital par jour en %]]%</f>
        <v>47.978711432822713</v>
      </c>
      <c r="I62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62" s="47">
        <f>IFERROR(IF(D62=5,((Positions[[#This Row],[Capital]]-F58)-K62),0),)</f>
        <v>0</v>
      </c>
      <c r="K62" s="48">
        <f>IFERROR(IF(D62=5,IF($B$6="Aucun retrait",0,IF($B$6=75%,(Positions[[#This Row],[Capital]]-F58)*75%)),0),)</f>
        <v>0</v>
      </c>
      <c r="L62" s="34"/>
    </row>
    <row r="63" spans="4:12" s="32" customFormat="1" ht="15.75" x14ac:dyDescent="0.25">
      <c r="D63" s="32">
        <f>WEEKDAY(Positions[[#This Row],[Jous / Séances de trading]],2)</f>
        <v>3</v>
      </c>
      <c r="E63" s="49">
        <f t="shared" si="0"/>
        <v>44426</v>
      </c>
      <c r="F63" s="50">
        <f t="shared" si="1"/>
        <v>2446.9142830739584</v>
      </c>
      <c r="G63" s="44">
        <f>'[2]Simulateur Calculatrice Pos.'!$E$35</f>
        <v>2</v>
      </c>
      <c r="H63" s="45">
        <f>Positions[[#This Row],[Capital]]*Positions[[#This Row],[Evolution du capital par jour en %]]%</f>
        <v>48.938285661479171</v>
      </c>
      <c r="I63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63" s="47">
        <f>IFERROR(IF(D63=5,((Positions[[#This Row],[Capital]]-F59)-K63),0),)</f>
        <v>0</v>
      </c>
      <c r="K63" s="48">
        <f>IFERROR(IF(D63=5,IF($B$6="Aucun retrait",0,IF($B$6=75%,(Positions[[#This Row],[Capital]]-F59)*75%)),0),)</f>
        <v>0</v>
      </c>
      <c r="L63" s="34"/>
    </row>
    <row r="64" spans="4:12" s="32" customFormat="1" ht="15.75" x14ac:dyDescent="0.25">
      <c r="D64" s="32">
        <f>WEEKDAY(Positions[[#This Row],[Jous / Séances de trading]],2)</f>
        <v>4</v>
      </c>
      <c r="E64" s="49">
        <f t="shared" si="0"/>
        <v>44427</v>
      </c>
      <c r="F64" s="50">
        <f t="shared" si="1"/>
        <v>2495.8525687354377</v>
      </c>
      <c r="G64" s="44">
        <f>'[2]Simulateur Calculatrice Pos.'!$E$35</f>
        <v>2</v>
      </c>
      <c r="H64" s="45">
        <f>Positions[[#This Row],[Capital]]*Positions[[#This Row],[Evolution du capital par jour en %]]%</f>
        <v>49.917051374708755</v>
      </c>
      <c r="I64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64" s="47">
        <f>IFERROR(IF(D64=5,((Positions[[#This Row],[Capital]]-F60)-K64),0),)</f>
        <v>0</v>
      </c>
      <c r="K64" s="48">
        <f>IFERROR(IF(D64=5,IF($B$6="Aucun retrait",0,IF($B$6=75%,(Positions[[#This Row],[Capital]]-F60)*75%)),0),)</f>
        <v>0</v>
      </c>
      <c r="L64" s="34"/>
    </row>
    <row r="65" spans="4:12" s="32" customFormat="1" ht="15.75" x14ac:dyDescent="0.25">
      <c r="D65" s="32">
        <f>WEEKDAY(Positions[[#This Row],[Jous / Séances de trading]],2)</f>
        <v>5</v>
      </c>
      <c r="E65" s="49">
        <f t="shared" si="0"/>
        <v>44428</v>
      </c>
      <c r="F65" s="50">
        <f t="shared" si="1"/>
        <v>2545.7696201101462</v>
      </c>
      <c r="G65" s="44">
        <f>'[2]Simulateur Calculatrice Pos.'!$E$35</f>
        <v>2</v>
      </c>
      <c r="H65" s="45">
        <f>Positions[[#This Row],[Capital]]*Positions[[#This Row],[Evolution du capital par jour en %]]%</f>
        <v>50.915392402202926</v>
      </c>
      <c r="I65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65" s="47">
        <f>IFERROR(IF(D65=5,((Positions[[#This Row],[Capital]]-F61)-K65),0),)</f>
        <v>48.468000213532719</v>
      </c>
      <c r="K65" s="48">
        <f>IFERROR(IF(D65=5,IF($B$6="Aucun retrait",0,IF($B$6=75%,(Positions[[#This Row],[Capital]]-F61)*75%)),0),)</f>
        <v>145.40400064059816</v>
      </c>
      <c r="L65" s="34"/>
    </row>
    <row r="66" spans="4:12" s="32" customFormat="1" ht="15.75" x14ac:dyDescent="0.25">
      <c r="D66" s="32">
        <f>WEEKDAY(Positions[[#This Row],[Jous / Séances de trading]],2)</f>
        <v>1</v>
      </c>
      <c r="E66" s="49">
        <f t="shared" si="0"/>
        <v>44431</v>
      </c>
      <c r="F66" s="50">
        <f t="shared" si="1"/>
        <v>2451.2810118717512</v>
      </c>
      <c r="G66" s="44">
        <f>'[2]Simulateur Calculatrice Pos.'!$E$35</f>
        <v>2</v>
      </c>
      <c r="H66" s="45">
        <f>Positions[[#This Row],[Capital]]*Positions[[#This Row],[Evolution du capital par jour en %]]%</f>
        <v>49.025620237435021</v>
      </c>
      <c r="I66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66" s="47">
        <f>IFERROR(IF(D66=5,((Positions[[#This Row],[Capital]]-F62)-K66),0),)</f>
        <v>0</v>
      </c>
      <c r="K66" s="48">
        <f>IFERROR(IF(D66=5,IF($B$6="Aucun retrait",0,IF($B$6=75%,(Positions[[#This Row],[Capital]]-F62)*75%)),0),)</f>
        <v>0</v>
      </c>
      <c r="L66" s="34"/>
    </row>
    <row r="67" spans="4:12" s="32" customFormat="1" ht="15.75" x14ac:dyDescent="0.25">
      <c r="D67" s="32">
        <f>WEEKDAY(Positions[[#This Row],[Jous / Séances de trading]],2)</f>
        <v>2</v>
      </c>
      <c r="E67" s="49">
        <f t="shared" si="0"/>
        <v>44432</v>
      </c>
      <c r="F67" s="50">
        <f t="shared" si="1"/>
        <v>2500.306632109186</v>
      </c>
      <c r="G67" s="44">
        <f>'[2]Simulateur Calculatrice Pos.'!$E$35</f>
        <v>2</v>
      </c>
      <c r="H67" s="45">
        <f>Positions[[#This Row],[Capital]]*Positions[[#This Row],[Evolution du capital par jour en %]]%</f>
        <v>50.006132642183722</v>
      </c>
      <c r="I67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67" s="47">
        <f>IFERROR(IF(D67=5,((Positions[[#This Row],[Capital]]-F63)-K67),0),)</f>
        <v>0</v>
      </c>
      <c r="K67" s="48">
        <f>IFERROR(IF(D67=5,IF($B$6="Aucun retrait",0,IF($B$6=75%,(Positions[[#This Row],[Capital]]-F63)*75%)),0),)</f>
        <v>0</v>
      </c>
      <c r="L67" s="34"/>
    </row>
    <row r="68" spans="4:12" s="32" customFormat="1" ht="15.75" x14ac:dyDescent="0.25">
      <c r="D68" s="32">
        <f>WEEKDAY(Positions[[#This Row],[Jous / Séances de trading]],2)</f>
        <v>3</v>
      </c>
      <c r="E68" s="49">
        <f t="shared" si="0"/>
        <v>44433</v>
      </c>
      <c r="F68" s="50">
        <f t="shared" si="1"/>
        <v>2550.3127647513697</v>
      </c>
      <c r="G68" s="44">
        <f>'[2]Simulateur Calculatrice Pos.'!$E$35</f>
        <v>2</v>
      </c>
      <c r="H68" s="45">
        <f>Positions[[#This Row],[Capital]]*Positions[[#This Row],[Evolution du capital par jour en %]]%</f>
        <v>51.006255295027394</v>
      </c>
      <c r="I68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68" s="47">
        <f>IFERROR(IF(D68=5,((Positions[[#This Row],[Capital]]-F64)-K68),0),)</f>
        <v>0</v>
      </c>
      <c r="K68" s="48">
        <f>IFERROR(IF(D68=5,IF($B$6="Aucun retrait",0,IF($B$6=75%,(Positions[[#This Row],[Capital]]-F64)*75%)),0),)</f>
        <v>0</v>
      </c>
      <c r="L68" s="34"/>
    </row>
    <row r="69" spans="4:12" s="32" customFormat="1" ht="15.75" x14ac:dyDescent="0.25">
      <c r="D69" s="32">
        <f>WEEKDAY(Positions[[#This Row],[Jous / Séances de trading]],2)</f>
        <v>4</v>
      </c>
      <c r="E69" s="49">
        <f t="shared" si="0"/>
        <v>44434</v>
      </c>
      <c r="F69" s="50">
        <f t="shared" si="1"/>
        <v>2601.3190200463973</v>
      </c>
      <c r="G69" s="44">
        <f>'[2]Simulateur Calculatrice Pos.'!$E$35</f>
        <v>2</v>
      </c>
      <c r="H69" s="45">
        <f>Positions[[#This Row],[Capital]]*Positions[[#This Row],[Evolution du capital par jour en %]]%</f>
        <v>52.026380400927948</v>
      </c>
      <c r="I69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69" s="47">
        <f>IFERROR(IF(D69=5,((Positions[[#This Row],[Capital]]-F65)-K69),0),)</f>
        <v>0</v>
      </c>
      <c r="K69" s="48">
        <f>IFERROR(IF(D69=5,IF($B$6="Aucun retrait",0,IF($B$6=75%,(Positions[[#This Row],[Capital]]-F65)*75%)),0),)</f>
        <v>0</v>
      </c>
      <c r="L69" s="34"/>
    </row>
    <row r="70" spans="4:12" s="32" customFormat="1" ht="15.75" x14ac:dyDescent="0.25">
      <c r="D70" s="32">
        <f>WEEKDAY(Positions[[#This Row],[Jous / Séances de trading]],2)</f>
        <v>5</v>
      </c>
      <c r="E70" s="49">
        <f t="shared" si="0"/>
        <v>44435</v>
      </c>
      <c r="F70" s="50">
        <f t="shared" si="1"/>
        <v>2653.3454004473251</v>
      </c>
      <c r="G70" s="44">
        <f>'[2]Simulateur Calculatrice Pos.'!$E$35</f>
        <v>2</v>
      </c>
      <c r="H70" s="45">
        <f>Positions[[#This Row],[Capital]]*Positions[[#This Row],[Evolution du capital par jour en %]]%</f>
        <v>53.066908008946506</v>
      </c>
      <c r="I70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70" s="47">
        <f>IFERROR(IF(D70=5,((Positions[[#This Row],[Capital]]-F66)-K70),0),)</f>
        <v>50.516097143893489</v>
      </c>
      <c r="K70" s="48">
        <f>IFERROR(IF(D70=5,IF($B$6="Aucun retrait",0,IF($B$6=75%,(Positions[[#This Row],[Capital]]-F66)*75%)),0),)</f>
        <v>151.54829143168047</v>
      </c>
      <c r="L70" s="34"/>
    </row>
    <row r="71" spans="4:12" s="32" customFormat="1" ht="15.75" x14ac:dyDescent="0.25">
      <c r="D71" s="32">
        <f>WEEKDAY(Positions[[#This Row],[Jous / Séances de trading]],2)</f>
        <v>1</v>
      </c>
      <c r="E71" s="49">
        <f t="shared" si="0"/>
        <v>44438</v>
      </c>
      <c r="F71" s="50">
        <f t="shared" si="1"/>
        <v>2554.8640170245912</v>
      </c>
      <c r="G71" s="44">
        <f>'[2]Simulateur Calculatrice Pos.'!$E$35</f>
        <v>2</v>
      </c>
      <c r="H71" s="45">
        <f>Positions[[#This Row],[Capital]]*Positions[[#This Row],[Evolution du capital par jour en %]]%</f>
        <v>51.097280340491828</v>
      </c>
      <c r="I71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71" s="47">
        <f>IFERROR(IF(D71=5,((Positions[[#This Row],[Capital]]-F67)-K71),0),)</f>
        <v>0</v>
      </c>
      <c r="K71" s="48">
        <f>IFERROR(IF(D71=5,IF($B$6="Aucun retrait",0,IF($B$6=75%,(Positions[[#This Row],[Capital]]-F67)*75%)),0),)</f>
        <v>0</v>
      </c>
      <c r="L71" s="34"/>
    </row>
    <row r="72" spans="4:12" s="32" customFormat="1" ht="15.75" x14ac:dyDescent="0.25">
      <c r="D72" s="32">
        <f>WEEKDAY(Positions[[#This Row],[Jous / Séances de trading]],2)</f>
        <v>2</v>
      </c>
      <c r="E72" s="49">
        <f t="shared" si="0"/>
        <v>44439</v>
      </c>
      <c r="F72" s="50">
        <f t="shared" si="1"/>
        <v>2605.9612973650833</v>
      </c>
      <c r="G72" s="44">
        <f>'[2]Simulateur Calculatrice Pos.'!$E$35</f>
        <v>2</v>
      </c>
      <c r="H72" s="45">
        <f>Positions[[#This Row],[Capital]]*Positions[[#This Row],[Evolution du capital par jour en %]]%</f>
        <v>52.119225947301665</v>
      </c>
      <c r="I72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72" s="47">
        <f>IFERROR(IF(D72=5,((Positions[[#This Row],[Capital]]-F68)-K72),0),)</f>
        <v>0</v>
      </c>
      <c r="K72" s="48">
        <f>IFERROR(IF(D72=5,IF($B$6="Aucun retrait",0,IF($B$6=75%,(Positions[[#This Row],[Capital]]-F68)*75%)),0),)</f>
        <v>0</v>
      </c>
      <c r="L72" s="34"/>
    </row>
    <row r="73" spans="4:12" s="32" customFormat="1" ht="15.75" x14ac:dyDescent="0.25">
      <c r="D73" s="32">
        <f>WEEKDAY(Positions[[#This Row],[Jous / Séances de trading]],2)</f>
        <v>3</v>
      </c>
      <c r="E73" s="49">
        <f t="shared" ref="E73:E136" si="2">WORKDAY(E72,1)</f>
        <v>44440</v>
      </c>
      <c r="F73" s="50">
        <f t="shared" ref="F73:F136" si="3">IF(D73=1,(F72+H72)-K72,F72+H72)</f>
        <v>2658.0805233123851</v>
      </c>
      <c r="G73" s="44">
        <f>'[2]Simulateur Calculatrice Pos.'!$E$35</f>
        <v>2</v>
      </c>
      <c r="H73" s="45">
        <f>Positions[[#This Row],[Capital]]*Positions[[#This Row],[Evolution du capital par jour en %]]%</f>
        <v>53.161610466247701</v>
      </c>
      <c r="I73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73" s="47">
        <f>IFERROR(IF(D73=5,((Positions[[#This Row],[Capital]]-F69)-K73),0),)</f>
        <v>0</v>
      </c>
      <c r="K73" s="48">
        <f>IFERROR(IF(D73=5,IF($B$6="Aucun retrait",0,IF($B$6=75%,(Positions[[#This Row],[Capital]]-F69)*75%)),0),)</f>
        <v>0</v>
      </c>
      <c r="L73" s="34"/>
    </row>
    <row r="74" spans="4:12" s="32" customFormat="1" ht="15.75" x14ac:dyDescent="0.25">
      <c r="D74" s="32">
        <f>WEEKDAY(Positions[[#This Row],[Jous / Séances de trading]],2)</f>
        <v>4</v>
      </c>
      <c r="E74" s="49">
        <f t="shared" si="2"/>
        <v>44441</v>
      </c>
      <c r="F74" s="50">
        <f t="shared" si="3"/>
        <v>2711.2421337786327</v>
      </c>
      <c r="G74" s="44">
        <f>'[2]Simulateur Calculatrice Pos.'!$E$35</f>
        <v>2</v>
      </c>
      <c r="H74" s="45">
        <f>Positions[[#This Row],[Capital]]*Positions[[#This Row],[Evolution du capital par jour en %]]%</f>
        <v>54.224842675572653</v>
      </c>
      <c r="I74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74" s="47">
        <f>IFERROR(IF(D74=5,((Positions[[#This Row],[Capital]]-F70)-K74),0),)</f>
        <v>0</v>
      </c>
      <c r="K74" s="48">
        <f>IFERROR(IF(D74=5,IF($B$6="Aucun retrait",0,IF($B$6=75%,(Positions[[#This Row],[Capital]]-F70)*75%)),0),)</f>
        <v>0</v>
      </c>
      <c r="L74" s="34"/>
    </row>
    <row r="75" spans="4:12" s="32" customFormat="1" ht="15.75" x14ac:dyDescent="0.25">
      <c r="D75" s="32">
        <f>WEEKDAY(Positions[[#This Row],[Jous / Séances de trading]],2)</f>
        <v>5</v>
      </c>
      <c r="E75" s="49">
        <f t="shared" si="2"/>
        <v>44442</v>
      </c>
      <c r="F75" s="50">
        <f t="shared" si="3"/>
        <v>2765.4669764542055</v>
      </c>
      <c r="G75" s="44">
        <f>'[2]Simulateur Calculatrice Pos.'!$E$35</f>
        <v>2</v>
      </c>
      <c r="H75" s="45">
        <f>Positions[[#This Row],[Capital]]*Positions[[#This Row],[Evolution du capital par jour en %]]%</f>
        <v>55.309339529084113</v>
      </c>
      <c r="I75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75" s="47">
        <f>IFERROR(IF(D75=5,((Positions[[#This Row],[Capital]]-F71)-K75),0),)</f>
        <v>52.650739857403551</v>
      </c>
      <c r="K75" s="48">
        <f>IFERROR(IF(D75=5,IF($B$6="Aucun retrait",0,IF($B$6=75%,(Positions[[#This Row],[Capital]]-F71)*75%)),0),)</f>
        <v>157.95221957221065</v>
      </c>
      <c r="L75" s="34"/>
    </row>
    <row r="76" spans="4:12" s="32" customFormat="1" ht="15.75" x14ac:dyDescent="0.25">
      <c r="D76" s="32">
        <f>WEEKDAY(Positions[[#This Row],[Jous / Séances de trading]],2)</f>
        <v>1</v>
      </c>
      <c r="E76" s="49">
        <f t="shared" si="2"/>
        <v>44445</v>
      </c>
      <c r="F76" s="50">
        <f t="shared" si="3"/>
        <v>2662.8240964110787</v>
      </c>
      <c r="G76" s="44">
        <f>'[2]Simulateur Calculatrice Pos.'!$E$35</f>
        <v>2</v>
      </c>
      <c r="H76" s="45">
        <f>Positions[[#This Row],[Capital]]*Positions[[#This Row],[Evolution du capital par jour en %]]%</f>
        <v>53.256481928221575</v>
      </c>
      <c r="I76" s="46">
        <f>ROUND((((Positions[[#This Row],[Capital]]*Positions[[#This Row],[Evolution du capital par jour en %]]%)/('[2]Simulateur Calculatrice Pos.'!$E$15*'[2]Simulateur Calculatrice Pos.'!$E$24))/'[2]Simulateur Calculatrice Pos.'!$E$21),0)</f>
        <v>4</v>
      </c>
      <c r="J76" s="47">
        <f>IFERROR(IF(D76=5,((Positions[[#This Row],[Capital]]-F72)-K76),0),)</f>
        <v>0</v>
      </c>
      <c r="K76" s="48">
        <f>IFERROR(IF(D76=5,IF($B$6="Aucun retrait",0,IF($B$6=75%,(Positions[[#This Row],[Capital]]-F72)*75%)),0),)</f>
        <v>0</v>
      </c>
      <c r="L76" s="34"/>
    </row>
    <row r="77" spans="4:12" ht="15.75" collapsed="1" x14ac:dyDescent="0.25">
      <c r="D77" s="32">
        <f>WEEKDAY(Positions[[#This Row],[Jous / Séances de trading]],2)</f>
        <v>2</v>
      </c>
      <c r="E77" s="49">
        <f t="shared" si="2"/>
        <v>44446</v>
      </c>
      <c r="F77" s="50">
        <f t="shared" si="3"/>
        <v>2716.0805783393002</v>
      </c>
      <c r="G77" s="44">
        <f>'[2]Simulateur Calculatrice Pos.'!$E$35</f>
        <v>2</v>
      </c>
      <c r="H77" s="45">
        <f>Positions[[#This Row],[Capital]]*Positions[[#This Row],[Evolution du capital par jour en %]]%</f>
        <v>54.321611566786004</v>
      </c>
      <c r="I77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77" s="47">
        <f>IFERROR(IF(D77=5,((Positions[[#This Row],[Capital]]-F73)-K77),0),)</f>
        <v>0</v>
      </c>
      <c r="K77" s="48">
        <f>IFERROR(IF(D77=5,IF($B$6="Aucun retrait",0,IF($B$6=75%,(Positions[[#This Row],[Capital]]-F73)*75%)),0),)</f>
        <v>0</v>
      </c>
    </row>
    <row r="78" spans="4:12" ht="15.75" x14ac:dyDescent="0.25">
      <c r="D78" s="32">
        <f>WEEKDAY(Positions[[#This Row],[Jous / Séances de trading]],2)</f>
        <v>3</v>
      </c>
      <c r="E78" s="49">
        <f t="shared" si="2"/>
        <v>44447</v>
      </c>
      <c r="F78" s="50">
        <f t="shared" si="3"/>
        <v>2770.4021899060863</v>
      </c>
      <c r="G78" s="44">
        <f>'[2]Simulateur Calculatrice Pos.'!$E$35</f>
        <v>2</v>
      </c>
      <c r="H78" s="45">
        <f>Positions[[#This Row],[Capital]]*Positions[[#This Row],[Evolution du capital par jour en %]]%</f>
        <v>55.408043798121724</v>
      </c>
      <c r="I78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78" s="47">
        <f>IFERROR(IF(D78=5,((Positions[[#This Row],[Capital]]-F74)-K78),0),)</f>
        <v>0</v>
      </c>
      <c r="K78" s="48">
        <f>IFERROR(IF(D78=5,IF($B$6="Aucun retrait",0,IF($B$6=75%,(Positions[[#This Row],[Capital]]-F74)*75%)),0),)</f>
        <v>0</v>
      </c>
    </row>
    <row r="79" spans="4:12" ht="15.75" x14ac:dyDescent="0.25">
      <c r="D79" s="32">
        <f>WEEKDAY(Positions[[#This Row],[Jous / Séances de trading]],2)</f>
        <v>4</v>
      </c>
      <c r="E79" s="49">
        <f t="shared" si="2"/>
        <v>44448</v>
      </c>
      <c r="F79" s="50">
        <f t="shared" si="3"/>
        <v>2825.8102337042078</v>
      </c>
      <c r="G79" s="44">
        <f>'[2]Simulateur Calculatrice Pos.'!$E$35</f>
        <v>2</v>
      </c>
      <c r="H79" s="45">
        <f>Positions[[#This Row],[Capital]]*Positions[[#This Row],[Evolution du capital par jour en %]]%</f>
        <v>56.516204674084157</v>
      </c>
      <c r="I79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79" s="47">
        <f>IFERROR(IF(D79=5,((Positions[[#This Row],[Capital]]-F75)-K79),0),)</f>
        <v>0</v>
      </c>
      <c r="K79" s="48">
        <f>IFERROR(IF(D79=5,IF($B$6="Aucun retrait",0,IF($B$6=75%,(Positions[[#This Row],[Capital]]-F75)*75%)),0),)</f>
        <v>0</v>
      </c>
    </row>
    <row r="80" spans="4:12" ht="15.75" x14ac:dyDescent="0.25">
      <c r="D80" s="32">
        <f>WEEKDAY(Positions[[#This Row],[Jous / Séances de trading]],2)</f>
        <v>5</v>
      </c>
      <c r="E80" s="49">
        <f t="shared" si="2"/>
        <v>44449</v>
      </c>
      <c r="F80" s="50">
        <f t="shared" si="3"/>
        <v>2882.3264383782921</v>
      </c>
      <c r="G80" s="44">
        <f>'[2]Simulateur Calculatrice Pos.'!$E$35</f>
        <v>2</v>
      </c>
      <c r="H80" s="45">
        <f>Positions[[#This Row],[Capital]]*Positions[[#This Row],[Evolution du capital par jour en %]]%</f>
        <v>57.64652876756584</v>
      </c>
      <c r="I80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80" s="47">
        <f>IFERROR(IF(D80=5,((Positions[[#This Row],[Capital]]-F76)-K80),0),)</f>
        <v>54.875585491803349</v>
      </c>
      <c r="K80" s="48">
        <f>IFERROR(IF(D80=5,IF($B$6="Aucun retrait",0,IF($B$6=75%,(Positions[[#This Row],[Capital]]-F76)*75%)),0),)</f>
        <v>164.62675647541005</v>
      </c>
    </row>
    <row r="81" spans="4:11" ht="15.75" x14ac:dyDescent="0.25">
      <c r="D81" s="32">
        <f>WEEKDAY(Positions[[#This Row],[Jous / Séances de trading]],2)</f>
        <v>1</v>
      </c>
      <c r="E81" s="49">
        <f t="shared" si="2"/>
        <v>44452</v>
      </c>
      <c r="F81" s="50">
        <f t="shared" si="3"/>
        <v>2775.3462106704483</v>
      </c>
      <c r="G81" s="44">
        <f>'[2]Simulateur Calculatrice Pos.'!$E$35</f>
        <v>2</v>
      </c>
      <c r="H81" s="45">
        <f>Positions[[#This Row],[Capital]]*Positions[[#This Row],[Evolution du capital par jour en %]]%</f>
        <v>55.506924213408965</v>
      </c>
      <c r="I81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81" s="47">
        <f>IFERROR(IF(D81=5,((Positions[[#This Row],[Capital]]-F77)-K81),0),)</f>
        <v>0</v>
      </c>
      <c r="K81" s="48">
        <f>IFERROR(IF(D81=5,IF($B$6="Aucun retrait",0,IF($B$6=75%,(Positions[[#This Row],[Capital]]-F77)*75%)),0),)</f>
        <v>0</v>
      </c>
    </row>
    <row r="82" spans="4:11" ht="15.75" x14ac:dyDescent="0.25">
      <c r="D82" s="32">
        <f>WEEKDAY(Positions[[#This Row],[Jous / Séances de trading]],2)</f>
        <v>2</v>
      </c>
      <c r="E82" s="49">
        <f t="shared" si="2"/>
        <v>44453</v>
      </c>
      <c r="F82" s="50">
        <f t="shared" si="3"/>
        <v>2830.8531348838574</v>
      </c>
      <c r="G82" s="44">
        <f>'[2]Simulateur Calculatrice Pos.'!$E$35</f>
        <v>2</v>
      </c>
      <c r="H82" s="45">
        <f>Positions[[#This Row],[Capital]]*Positions[[#This Row],[Evolution du capital par jour en %]]%</f>
        <v>56.617062697677149</v>
      </c>
      <c r="I82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82" s="47">
        <f>IFERROR(IF(D82=5,((Positions[[#This Row],[Capital]]-F78)-K82),0),)</f>
        <v>0</v>
      </c>
      <c r="K82" s="48">
        <f>IFERROR(IF(D82=5,IF($B$6="Aucun retrait",0,IF($B$6=75%,(Positions[[#This Row],[Capital]]-F78)*75%)),0),)</f>
        <v>0</v>
      </c>
    </row>
    <row r="83" spans="4:11" ht="15.75" x14ac:dyDescent="0.25">
      <c r="D83" s="32">
        <f>WEEKDAY(Positions[[#This Row],[Jous / Séances de trading]],2)</f>
        <v>3</v>
      </c>
      <c r="E83" s="49">
        <f t="shared" si="2"/>
        <v>44454</v>
      </c>
      <c r="F83" s="50">
        <f t="shared" si="3"/>
        <v>2887.4701975815346</v>
      </c>
      <c r="G83" s="44">
        <f>'[2]Simulateur Calculatrice Pos.'!$E$35</f>
        <v>2</v>
      </c>
      <c r="H83" s="45">
        <f>Positions[[#This Row],[Capital]]*Positions[[#This Row],[Evolution du capital par jour en %]]%</f>
        <v>57.749403951630697</v>
      </c>
      <c r="I83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83" s="47">
        <f>IFERROR(IF(D83=5,((Positions[[#This Row],[Capital]]-F79)-K83),0),)</f>
        <v>0</v>
      </c>
      <c r="K83" s="48">
        <f>IFERROR(IF(D83=5,IF($B$6="Aucun retrait",0,IF($B$6=75%,(Positions[[#This Row],[Capital]]-F79)*75%)),0),)</f>
        <v>0</v>
      </c>
    </row>
    <row r="84" spans="4:11" ht="15.75" x14ac:dyDescent="0.25">
      <c r="D84" s="32">
        <f>WEEKDAY(Positions[[#This Row],[Jous / Séances de trading]],2)</f>
        <v>4</v>
      </c>
      <c r="E84" s="49">
        <f t="shared" si="2"/>
        <v>44455</v>
      </c>
      <c r="F84" s="50">
        <f t="shared" si="3"/>
        <v>2945.2196015331651</v>
      </c>
      <c r="G84" s="44">
        <f>'[2]Simulateur Calculatrice Pos.'!$E$35</f>
        <v>2</v>
      </c>
      <c r="H84" s="45">
        <f>Positions[[#This Row],[Capital]]*Positions[[#This Row],[Evolution du capital par jour en %]]%</f>
        <v>58.904392030663303</v>
      </c>
      <c r="I84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84" s="47">
        <f>IFERROR(IF(D84=5,((Positions[[#This Row],[Capital]]-F80)-K84),0),)</f>
        <v>0</v>
      </c>
      <c r="K84" s="48">
        <f>IFERROR(IF(D84=5,IF($B$6="Aucun retrait",0,IF($B$6=75%,(Positions[[#This Row],[Capital]]-F80)*75%)),0),)</f>
        <v>0</v>
      </c>
    </row>
    <row r="85" spans="4:11" ht="15.75" x14ac:dyDescent="0.25">
      <c r="D85" s="32">
        <f>WEEKDAY(Positions[[#This Row],[Jous / Séances de trading]],2)</f>
        <v>5</v>
      </c>
      <c r="E85" s="49">
        <f t="shared" si="2"/>
        <v>44456</v>
      </c>
      <c r="F85" s="50">
        <f t="shared" si="3"/>
        <v>3004.1239935638287</v>
      </c>
      <c r="G85" s="44">
        <f>'[2]Simulateur Calculatrice Pos.'!$E$35</f>
        <v>2</v>
      </c>
      <c r="H85" s="45">
        <f>Positions[[#This Row],[Capital]]*Positions[[#This Row],[Evolution du capital par jour en %]]%</f>
        <v>60.082479871276576</v>
      </c>
      <c r="I85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85" s="47">
        <f>IFERROR(IF(D85=5,((Positions[[#This Row],[Capital]]-F81)-K85),0),)</f>
        <v>57.194445723345098</v>
      </c>
      <c r="K85" s="48">
        <f>IFERROR(IF(D85=5,IF($B$6="Aucun retrait",0,IF($B$6=75%,(Positions[[#This Row],[Capital]]-F81)*75%)),0),)</f>
        <v>171.58333717003529</v>
      </c>
    </row>
    <row r="86" spans="4:11" ht="15.75" x14ac:dyDescent="0.25">
      <c r="D86" s="32">
        <f>WEEKDAY(Positions[[#This Row],[Jous / Séances de trading]],2)</f>
        <v>1</v>
      </c>
      <c r="E86" s="49">
        <f t="shared" si="2"/>
        <v>44459</v>
      </c>
      <c r="F86" s="50">
        <f t="shared" si="3"/>
        <v>2892.6231362650697</v>
      </c>
      <c r="G86" s="44">
        <f>'[2]Simulateur Calculatrice Pos.'!$E$35</f>
        <v>2</v>
      </c>
      <c r="H86" s="45">
        <f>Positions[[#This Row],[Capital]]*Positions[[#This Row],[Evolution du capital par jour en %]]%</f>
        <v>57.852462725301393</v>
      </c>
      <c r="I86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86" s="47">
        <f>IFERROR(IF(D86=5,((Positions[[#This Row],[Capital]]-F82)-K86),0),)</f>
        <v>0</v>
      </c>
      <c r="K86" s="48">
        <f>IFERROR(IF(D86=5,IF($B$6="Aucun retrait",0,IF($B$6=75%,(Positions[[#This Row],[Capital]]-F82)*75%)),0),)</f>
        <v>0</v>
      </c>
    </row>
    <row r="87" spans="4:11" ht="15.75" x14ac:dyDescent="0.25">
      <c r="D87" s="32">
        <f>WEEKDAY(Positions[[#This Row],[Jous / Séances de trading]],2)</f>
        <v>2</v>
      </c>
      <c r="E87" s="49">
        <f t="shared" si="2"/>
        <v>44460</v>
      </c>
      <c r="F87" s="50">
        <f t="shared" si="3"/>
        <v>2950.4755989903711</v>
      </c>
      <c r="G87" s="44">
        <f>'[2]Simulateur Calculatrice Pos.'!$E$35</f>
        <v>2</v>
      </c>
      <c r="H87" s="45">
        <f>Positions[[#This Row],[Capital]]*Positions[[#This Row],[Evolution du capital par jour en %]]%</f>
        <v>59.009511979807421</v>
      </c>
      <c r="I87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87" s="47">
        <f>IFERROR(IF(D87=5,((Positions[[#This Row],[Capital]]-F83)-K87),0),)</f>
        <v>0</v>
      </c>
      <c r="K87" s="48">
        <f>IFERROR(IF(D87=5,IF($B$6="Aucun retrait",0,IF($B$6=75%,(Positions[[#This Row],[Capital]]-F83)*75%)),0),)</f>
        <v>0</v>
      </c>
    </row>
    <row r="88" spans="4:11" ht="15.75" x14ac:dyDescent="0.25">
      <c r="D88" s="32">
        <f>WEEKDAY(Positions[[#This Row],[Jous / Séances de trading]],2)</f>
        <v>3</v>
      </c>
      <c r="E88" s="49">
        <f t="shared" si="2"/>
        <v>44461</v>
      </c>
      <c r="F88" s="50">
        <f t="shared" si="3"/>
        <v>3009.4851109701785</v>
      </c>
      <c r="G88" s="44">
        <f>'[2]Simulateur Calculatrice Pos.'!$E$35</f>
        <v>2</v>
      </c>
      <c r="H88" s="45">
        <f>Positions[[#This Row],[Capital]]*Positions[[#This Row],[Evolution du capital par jour en %]]%</f>
        <v>60.189702219403571</v>
      </c>
      <c r="I88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88" s="47">
        <f>IFERROR(IF(D88=5,((Positions[[#This Row],[Capital]]-F84)-K88),0),)</f>
        <v>0</v>
      </c>
      <c r="K88" s="48">
        <f>IFERROR(IF(D88=5,IF($B$6="Aucun retrait",0,IF($B$6=75%,(Positions[[#This Row],[Capital]]-F84)*75%)),0),)</f>
        <v>0</v>
      </c>
    </row>
    <row r="89" spans="4:11" ht="15.75" x14ac:dyDescent="0.25">
      <c r="D89" s="32">
        <f>WEEKDAY(Positions[[#This Row],[Jous / Séances de trading]],2)</f>
        <v>4</v>
      </c>
      <c r="E89" s="49">
        <f t="shared" si="2"/>
        <v>44462</v>
      </c>
      <c r="F89" s="50">
        <f t="shared" si="3"/>
        <v>3069.674813189582</v>
      </c>
      <c r="G89" s="44">
        <f>'[2]Simulateur Calculatrice Pos.'!$E$35</f>
        <v>2</v>
      </c>
      <c r="H89" s="45">
        <f>Positions[[#This Row],[Capital]]*Positions[[#This Row],[Evolution du capital par jour en %]]%</f>
        <v>61.39349626379164</v>
      </c>
      <c r="I89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89" s="47">
        <f>IFERROR(IF(D89=5,((Positions[[#This Row],[Capital]]-F85)-K89),0),)</f>
        <v>0</v>
      </c>
      <c r="K89" s="48">
        <f>IFERROR(IF(D89=5,IF($B$6="Aucun retrait",0,IF($B$6=75%,(Positions[[#This Row],[Capital]]-F85)*75%)),0),)</f>
        <v>0</v>
      </c>
    </row>
    <row r="90" spans="4:11" ht="15.75" x14ac:dyDescent="0.25">
      <c r="D90" s="32">
        <f>WEEKDAY(Positions[[#This Row],[Jous / Séances de trading]],2)</f>
        <v>5</v>
      </c>
      <c r="E90" s="49">
        <f t="shared" si="2"/>
        <v>44463</v>
      </c>
      <c r="F90" s="50">
        <f t="shared" si="3"/>
        <v>3131.0683094533738</v>
      </c>
      <c r="G90" s="44">
        <f>'[2]Simulateur Calculatrice Pos.'!$E$35</f>
        <v>2</v>
      </c>
      <c r="H90" s="45">
        <f>Positions[[#This Row],[Capital]]*Positions[[#This Row],[Evolution du capital par jour en %]]%</f>
        <v>62.62136618906748</v>
      </c>
      <c r="I90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90" s="47">
        <f>IFERROR(IF(D90=5,((Positions[[#This Row],[Capital]]-F86)-K90),0),)</f>
        <v>59.611293297076031</v>
      </c>
      <c r="K90" s="48">
        <f>IFERROR(IF(D90=5,IF($B$6="Aucun retrait",0,IF($B$6=75%,(Positions[[#This Row],[Capital]]-F86)*75%)),0),)</f>
        <v>178.83387989122809</v>
      </c>
    </row>
    <row r="91" spans="4:11" ht="15.75" x14ac:dyDescent="0.25">
      <c r="D91" s="32">
        <f>WEEKDAY(Positions[[#This Row],[Jous / Séances de trading]],2)</f>
        <v>1</v>
      </c>
      <c r="E91" s="49">
        <f t="shared" si="2"/>
        <v>44466</v>
      </c>
      <c r="F91" s="50">
        <f t="shared" si="3"/>
        <v>3014.855795751213</v>
      </c>
      <c r="G91" s="44">
        <f>'[2]Simulateur Calculatrice Pos.'!$E$35</f>
        <v>2</v>
      </c>
      <c r="H91" s="45">
        <f>Positions[[#This Row],[Capital]]*Positions[[#This Row],[Evolution du capital par jour en %]]%</f>
        <v>60.297115915024264</v>
      </c>
      <c r="I91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91" s="47">
        <f>IFERROR(IF(D91=5,((Positions[[#This Row],[Capital]]-F87)-K91),0),)</f>
        <v>0</v>
      </c>
      <c r="K91" s="48">
        <f>IFERROR(IF(D91=5,IF($B$6="Aucun retrait",0,IF($B$6=75%,(Positions[[#This Row],[Capital]]-F87)*75%)),0),)</f>
        <v>0</v>
      </c>
    </row>
    <row r="92" spans="4:11" ht="15.75" x14ac:dyDescent="0.25">
      <c r="D92" s="32">
        <f>WEEKDAY(Positions[[#This Row],[Jous / Séances de trading]],2)</f>
        <v>2</v>
      </c>
      <c r="E92" s="49">
        <f t="shared" si="2"/>
        <v>44467</v>
      </c>
      <c r="F92" s="50">
        <f t="shared" si="3"/>
        <v>3075.1529116662373</v>
      </c>
      <c r="G92" s="44">
        <f>'[2]Simulateur Calculatrice Pos.'!$E$35</f>
        <v>2</v>
      </c>
      <c r="H92" s="45">
        <f>Positions[[#This Row],[Capital]]*Positions[[#This Row],[Evolution du capital par jour en %]]%</f>
        <v>61.503058233324744</v>
      </c>
      <c r="I92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92" s="47">
        <f>IFERROR(IF(D92=5,((Positions[[#This Row],[Capital]]-F88)-K92),0),)</f>
        <v>0</v>
      </c>
      <c r="K92" s="48">
        <f>IFERROR(IF(D92=5,IF($B$6="Aucun retrait",0,IF($B$6=75%,(Positions[[#This Row],[Capital]]-F88)*75%)),0),)</f>
        <v>0</v>
      </c>
    </row>
    <row r="93" spans="4:11" ht="15.75" x14ac:dyDescent="0.25">
      <c r="D93" s="32">
        <f>WEEKDAY(Positions[[#This Row],[Jous / Séances de trading]],2)</f>
        <v>3</v>
      </c>
      <c r="E93" s="49">
        <f t="shared" si="2"/>
        <v>44468</v>
      </c>
      <c r="F93" s="50">
        <f t="shared" si="3"/>
        <v>3136.655969899562</v>
      </c>
      <c r="G93" s="44">
        <f>'[2]Simulateur Calculatrice Pos.'!$E$35</f>
        <v>2</v>
      </c>
      <c r="H93" s="45">
        <f>Positions[[#This Row],[Capital]]*Positions[[#This Row],[Evolution du capital par jour en %]]%</f>
        <v>62.733119397991238</v>
      </c>
      <c r="I93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93" s="47">
        <f>IFERROR(IF(D93=5,((Positions[[#This Row],[Capital]]-F89)-K93),0),)</f>
        <v>0</v>
      </c>
      <c r="K93" s="48">
        <f>IFERROR(IF(D93=5,IF($B$6="Aucun retrait",0,IF($B$6=75%,(Positions[[#This Row],[Capital]]-F89)*75%)),0),)</f>
        <v>0</v>
      </c>
    </row>
    <row r="94" spans="4:11" ht="15.75" x14ac:dyDescent="0.25">
      <c r="D94" s="32">
        <f>WEEKDAY(Positions[[#This Row],[Jous / Séances de trading]],2)</f>
        <v>4</v>
      </c>
      <c r="E94" s="49">
        <f t="shared" si="2"/>
        <v>44469</v>
      </c>
      <c r="F94" s="50">
        <f t="shared" si="3"/>
        <v>3199.3890892975533</v>
      </c>
      <c r="G94" s="44">
        <f>'[2]Simulateur Calculatrice Pos.'!$E$35</f>
        <v>2</v>
      </c>
      <c r="H94" s="45">
        <f>Positions[[#This Row],[Capital]]*Positions[[#This Row],[Evolution du capital par jour en %]]%</f>
        <v>63.987781785951064</v>
      </c>
      <c r="I94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94" s="47">
        <f>IFERROR(IF(D94=5,((Positions[[#This Row],[Capital]]-F90)-K94),0),)</f>
        <v>0</v>
      </c>
      <c r="K94" s="48">
        <f>IFERROR(IF(D94=5,IF($B$6="Aucun retrait",0,IF($B$6=75%,(Positions[[#This Row],[Capital]]-F90)*75%)),0),)</f>
        <v>0</v>
      </c>
    </row>
    <row r="95" spans="4:11" ht="15.75" x14ac:dyDescent="0.25">
      <c r="D95" s="32">
        <f>WEEKDAY(Positions[[#This Row],[Jous / Séances de trading]],2)</f>
        <v>5</v>
      </c>
      <c r="E95" s="49">
        <f t="shared" si="2"/>
        <v>44470</v>
      </c>
      <c r="F95" s="50">
        <f t="shared" si="3"/>
        <v>3263.3768710835043</v>
      </c>
      <c r="G95" s="44">
        <f>'[2]Simulateur Calculatrice Pos.'!$E$35</f>
        <v>2</v>
      </c>
      <c r="H95" s="45">
        <f>Positions[[#This Row],[Capital]]*Positions[[#This Row],[Evolution du capital par jour en %]]%</f>
        <v>65.267537421670085</v>
      </c>
      <c r="I95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95" s="47">
        <f>IFERROR(IF(D95=5,((Positions[[#This Row],[Capital]]-F91)-K95),0),)</f>
        <v>62.130268833072819</v>
      </c>
      <c r="K95" s="48">
        <f>IFERROR(IF(D95=5,IF($B$6="Aucun retrait",0,IF($B$6=75%,(Positions[[#This Row],[Capital]]-F91)*75%)),0),)</f>
        <v>186.39080649921846</v>
      </c>
    </row>
    <row r="96" spans="4:11" ht="15.75" x14ac:dyDescent="0.25">
      <c r="D96" s="32">
        <f>WEEKDAY(Positions[[#This Row],[Jous / Séances de trading]],2)</f>
        <v>1</v>
      </c>
      <c r="E96" s="49">
        <f t="shared" si="2"/>
        <v>44473</v>
      </c>
      <c r="F96" s="50">
        <f t="shared" si="3"/>
        <v>3142.2536020059561</v>
      </c>
      <c r="G96" s="44">
        <f>'[2]Simulateur Calculatrice Pos.'!$E$35</f>
        <v>2</v>
      </c>
      <c r="H96" s="45">
        <f>Positions[[#This Row],[Capital]]*Positions[[#This Row],[Evolution du capital par jour en %]]%</f>
        <v>62.845072040119121</v>
      </c>
      <c r="I96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96" s="47">
        <f>IFERROR(IF(D96=5,((Positions[[#This Row],[Capital]]-F92)-K96),0),)</f>
        <v>0</v>
      </c>
      <c r="K96" s="48">
        <f>IFERROR(IF(D96=5,IF($B$6="Aucun retrait",0,IF($B$6=75%,(Positions[[#This Row],[Capital]]-F92)*75%)),0),)</f>
        <v>0</v>
      </c>
    </row>
    <row r="97" spans="4:11" ht="15.75" x14ac:dyDescent="0.25">
      <c r="D97" s="32">
        <f>WEEKDAY(Positions[[#This Row],[Jous / Séances de trading]],2)</f>
        <v>2</v>
      </c>
      <c r="E97" s="49">
        <f t="shared" si="2"/>
        <v>44474</v>
      </c>
      <c r="F97" s="50">
        <f t="shared" si="3"/>
        <v>3205.0986740460753</v>
      </c>
      <c r="G97" s="44">
        <f>'[2]Simulateur Calculatrice Pos.'!$E$35</f>
        <v>2</v>
      </c>
      <c r="H97" s="45">
        <f>Positions[[#This Row],[Capital]]*Positions[[#This Row],[Evolution du capital par jour en %]]%</f>
        <v>64.101973480921501</v>
      </c>
      <c r="I97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97" s="47">
        <f>IFERROR(IF(D97=5,((Positions[[#This Row],[Capital]]-F93)-K97),0),)</f>
        <v>0</v>
      </c>
      <c r="K97" s="48">
        <f>IFERROR(IF(D97=5,IF($B$6="Aucun retrait",0,IF($B$6=75%,(Positions[[#This Row],[Capital]]-F93)*75%)),0),)</f>
        <v>0</v>
      </c>
    </row>
    <row r="98" spans="4:11" ht="15.75" x14ac:dyDescent="0.25">
      <c r="D98" s="32">
        <f>WEEKDAY(Positions[[#This Row],[Jous / Séances de trading]],2)</f>
        <v>3</v>
      </c>
      <c r="E98" s="49">
        <f t="shared" si="2"/>
        <v>44475</v>
      </c>
      <c r="F98" s="50">
        <f t="shared" si="3"/>
        <v>3269.2006475269968</v>
      </c>
      <c r="G98" s="44">
        <f>'[2]Simulateur Calculatrice Pos.'!$E$35</f>
        <v>2</v>
      </c>
      <c r="H98" s="45">
        <f>Positions[[#This Row],[Capital]]*Positions[[#This Row],[Evolution du capital par jour en %]]%</f>
        <v>65.38401295053994</v>
      </c>
      <c r="I98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98" s="47">
        <f>IFERROR(IF(D98=5,((Positions[[#This Row],[Capital]]-F94)-K98),0),)</f>
        <v>0</v>
      </c>
      <c r="K98" s="48">
        <f>IFERROR(IF(D98=5,IF($B$6="Aucun retrait",0,IF($B$6=75%,(Positions[[#This Row],[Capital]]-F94)*75%)),0),)</f>
        <v>0</v>
      </c>
    </row>
    <row r="99" spans="4:11" ht="15.75" x14ac:dyDescent="0.25">
      <c r="D99" s="32">
        <f>WEEKDAY(Positions[[#This Row],[Jous / Séances de trading]],2)</f>
        <v>4</v>
      </c>
      <c r="E99" s="49">
        <f t="shared" si="2"/>
        <v>44476</v>
      </c>
      <c r="F99" s="50">
        <f t="shared" si="3"/>
        <v>3334.5846604775365</v>
      </c>
      <c r="G99" s="44">
        <f>'[2]Simulateur Calculatrice Pos.'!$E$35</f>
        <v>2</v>
      </c>
      <c r="H99" s="45">
        <f>Positions[[#This Row],[Capital]]*Positions[[#This Row],[Evolution du capital par jour en %]]%</f>
        <v>66.691693209550735</v>
      </c>
      <c r="I99" s="46">
        <f>ROUND((((Positions[[#This Row],[Capital]]*Positions[[#This Row],[Evolution du capital par jour en %]]%)/('[2]Simulateur Calculatrice Pos.'!$E$15*'[2]Simulateur Calculatrice Pos.'!$E$24))/'[2]Simulateur Calculatrice Pos.'!$E$21),0)</f>
        <v>6</v>
      </c>
      <c r="J99" s="47">
        <f>IFERROR(IF(D99=5,((Positions[[#This Row],[Capital]]-F95)-K99),0),)</f>
        <v>0</v>
      </c>
      <c r="K99" s="48">
        <f>IFERROR(IF(D99=5,IF($B$6="Aucun retrait",0,IF($B$6=75%,(Positions[[#This Row],[Capital]]-F95)*75%)),0),)</f>
        <v>0</v>
      </c>
    </row>
    <row r="100" spans="4:11" ht="15.75" x14ac:dyDescent="0.25">
      <c r="D100" s="32">
        <f>WEEKDAY(Positions[[#This Row],[Jous / Séances de trading]],2)</f>
        <v>5</v>
      </c>
      <c r="E100" s="49">
        <f t="shared" si="2"/>
        <v>44477</v>
      </c>
      <c r="F100" s="50">
        <f t="shared" si="3"/>
        <v>3401.2763536870871</v>
      </c>
      <c r="G100" s="44">
        <f>'[2]Simulateur Calculatrice Pos.'!$E$35</f>
        <v>2</v>
      </c>
      <c r="H100" s="45">
        <f>Positions[[#This Row],[Capital]]*Positions[[#This Row],[Evolution du capital par jour en %]]%</f>
        <v>68.025527073741742</v>
      </c>
      <c r="I100" s="46">
        <f>ROUND((((Positions[[#This Row],[Capital]]*Positions[[#This Row],[Evolution du capital par jour en %]]%)/('[2]Simulateur Calculatrice Pos.'!$E$15*'[2]Simulateur Calculatrice Pos.'!$E$24))/'[2]Simulateur Calculatrice Pos.'!$E$21),0)</f>
        <v>6</v>
      </c>
      <c r="J100" s="47">
        <f>IFERROR(IF(D100=5,((Positions[[#This Row],[Capital]]-F96)-K100),0),)</f>
        <v>64.755687920282753</v>
      </c>
      <c r="K100" s="48">
        <f>IFERROR(IF(D100=5,IF($B$6="Aucun retrait",0,IF($B$6=75%,(Positions[[#This Row],[Capital]]-F96)*75%)),0),)</f>
        <v>194.26706376084826</v>
      </c>
    </row>
    <row r="101" spans="4:11" ht="15.75" x14ac:dyDescent="0.25">
      <c r="D101" s="32">
        <f>WEEKDAY(Positions[[#This Row],[Jous / Séances de trading]],2)</f>
        <v>1</v>
      </c>
      <c r="E101" s="49">
        <f t="shared" si="2"/>
        <v>44480</v>
      </c>
      <c r="F101" s="50">
        <f t="shared" si="3"/>
        <v>3275.0348169999806</v>
      </c>
      <c r="G101" s="44">
        <f>'[2]Simulateur Calculatrice Pos.'!$E$35</f>
        <v>2</v>
      </c>
      <c r="H101" s="45">
        <f>Positions[[#This Row],[Capital]]*Positions[[#This Row],[Evolution du capital par jour en %]]%</f>
        <v>65.500696339999621</v>
      </c>
      <c r="I101" s="46">
        <f>ROUND((((Positions[[#This Row],[Capital]]*Positions[[#This Row],[Evolution du capital par jour en %]]%)/('[2]Simulateur Calculatrice Pos.'!$E$15*'[2]Simulateur Calculatrice Pos.'!$E$24))/'[2]Simulateur Calculatrice Pos.'!$E$21),0)</f>
        <v>5</v>
      </c>
      <c r="J101" s="47">
        <f>IFERROR(IF(D101=5,((Positions[[#This Row],[Capital]]-F97)-K101),0),)</f>
        <v>0</v>
      </c>
      <c r="K101" s="48">
        <f>IFERROR(IF(D101=5,IF($B$6="Aucun retrait",0,IF($B$6=75%,(Positions[[#This Row],[Capital]]-F97)*75%)),0),)</f>
        <v>0</v>
      </c>
    </row>
    <row r="102" spans="4:11" ht="15.75" x14ac:dyDescent="0.25">
      <c r="D102" s="32">
        <f>WEEKDAY(Positions[[#This Row],[Jous / Séances de trading]],2)</f>
        <v>2</v>
      </c>
      <c r="E102" s="49">
        <f t="shared" si="2"/>
        <v>44481</v>
      </c>
      <c r="F102" s="50">
        <f t="shared" si="3"/>
        <v>3340.5355133399803</v>
      </c>
      <c r="G102" s="44">
        <f>'[2]Simulateur Calculatrice Pos.'!$E$35</f>
        <v>2</v>
      </c>
      <c r="H102" s="45">
        <f>Positions[[#This Row],[Capital]]*Positions[[#This Row],[Evolution du capital par jour en %]]%</f>
        <v>66.810710266799603</v>
      </c>
      <c r="I102" s="46">
        <f>ROUND((((Positions[[#This Row],[Capital]]*Positions[[#This Row],[Evolution du capital par jour en %]]%)/('[2]Simulateur Calculatrice Pos.'!$E$15*'[2]Simulateur Calculatrice Pos.'!$E$24))/'[2]Simulateur Calculatrice Pos.'!$E$21),0)</f>
        <v>6</v>
      </c>
      <c r="J102" s="47">
        <f>IFERROR(IF(D102=5,((Positions[[#This Row],[Capital]]-F98)-K102),0),)</f>
        <v>0</v>
      </c>
      <c r="K102" s="48">
        <f>IFERROR(IF(D102=5,IF($B$6="Aucun retrait",0,IF($B$6=75%,(Positions[[#This Row],[Capital]]-F98)*75%)),0),)</f>
        <v>0</v>
      </c>
    </row>
    <row r="103" spans="4:11" ht="15.75" x14ac:dyDescent="0.25">
      <c r="D103" s="32">
        <f>WEEKDAY(Positions[[#This Row],[Jous / Séances de trading]],2)</f>
        <v>3</v>
      </c>
      <c r="E103" s="49">
        <f t="shared" si="2"/>
        <v>44482</v>
      </c>
      <c r="F103" s="50">
        <f t="shared" si="3"/>
        <v>3407.3462236067799</v>
      </c>
      <c r="G103" s="44">
        <f>'[2]Simulateur Calculatrice Pos.'!$E$35</f>
        <v>2</v>
      </c>
      <c r="H103" s="45">
        <f>Positions[[#This Row],[Capital]]*Positions[[#This Row],[Evolution du capital par jour en %]]%</f>
        <v>68.146924472135595</v>
      </c>
      <c r="I103" s="46">
        <f>ROUND((((Positions[[#This Row],[Capital]]*Positions[[#This Row],[Evolution du capital par jour en %]]%)/('[2]Simulateur Calculatrice Pos.'!$E$15*'[2]Simulateur Calculatrice Pos.'!$E$24))/'[2]Simulateur Calculatrice Pos.'!$E$21),0)</f>
        <v>6</v>
      </c>
      <c r="J103" s="47">
        <f>IFERROR(IF(D103=5,((Positions[[#This Row],[Capital]]-F99)-K103),0),)</f>
        <v>0</v>
      </c>
      <c r="K103" s="48">
        <f>IFERROR(IF(D103=5,IF($B$6="Aucun retrait",0,IF($B$6=75%,(Positions[[#This Row],[Capital]]-F99)*75%)),0),)</f>
        <v>0</v>
      </c>
    </row>
    <row r="104" spans="4:11" ht="15.75" x14ac:dyDescent="0.25">
      <c r="D104" s="32">
        <f>WEEKDAY(Positions[[#This Row],[Jous / Séances de trading]],2)</f>
        <v>4</v>
      </c>
      <c r="E104" s="49">
        <f t="shared" si="2"/>
        <v>44483</v>
      </c>
      <c r="F104" s="50">
        <f t="shared" si="3"/>
        <v>3475.4931480789155</v>
      </c>
      <c r="G104" s="44">
        <f>'[2]Simulateur Calculatrice Pos.'!$E$35</f>
        <v>2</v>
      </c>
      <c r="H104" s="45">
        <f>Positions[[#This Row],[Capital]]*Positions[[#This Row],[Evolution du capital par jour en %]]%</f>
        <v>69.509862961578307</v>
      </c>
      <c r="I104" s="46">
        <f>ROUND((((Positions[[#This Row],[Capital]]*Positions[[#This Row],[Evolution du capital par jour en %]]%)/('[2]Simulateur Calculatrice Pos.'!$E$15*'[2]Simulateur Calculatrice Pos.'!$E$24))/'[2]Simulateur Calculatrice Pos.'!$E$21),0)</f>
        <v>6</v>
      </c>
      <c r="J104" s="47">
        <f>IFERROR(IF(D104=5,((Positions[[#This Row],[Capital]]-F100)-K104),0),)</f>
        <v>0</v>
      </c>
      <c r="K104" s="48">
        <f>IFERROR(IF(D104=5,IF($B$6="Aucun retrait",0,IF($B$6=75%,(Positions[[#This Row],[Capital]]-F100)*75%)),0),)</f>
        <v>0</v>
      </c>
    </row>
    <row r="105" spans="4:11" ht="15.75" x14ac:dyDescent="0.25">
      <c r="D105" s="32">
        <f>WEEKDAY(Positions[[#This Row],[Jous / Séances de trading]],2)</f>
        <v>5</v>
      </c>
      <c r="E105" s="49">
        <f t="shared" si="2"/>
        <v>44484</v>
      </c>
      <c r="F105" s="50">
        <f t="shared" si="3"/>
        <v>3545.0030110404937</v>
      </c>
      <c r="G105" s="44">
        <f>'[2]Simulateur Calculatrice Pos.'!$E$35</f>
        <v>2</v>
      </c>
      <c r="H105" s="45">
        <f>Positions[[#This Row],[Capital]]*Positions[[#This Row],[Evolution du capital par jour en %]]%</f>
        <v>70.900060220809877</v>
      </c>
      <c r="I105" s="46">
        <f>ROUND((((Positions[[#This Row],[Capital]]*Positions[[#This Row],[Evolution du capital par jour en %]]%)/('[2]Simulateur Calculatrice Pos.'!$E$15*'[2]Simulateur Calculatrice Pos.'!$E$24))/'[2]Simulateur Calculatrice Pos.'!$E$21),0)</f>
        <v>6</v>
      </c>
      <c r="J105" s="47">
        <f>IFERROR(IF(D105=5,((Positions[[#This Row],[Capital]]-F101)-K105),0),)</f>
        <v>67.492048510128257</v>
      </c>
      <c r="K105" s="48">
        <f>IFERROR(IF(D105=5,IF($B$6="Aucun retrait",0,IF($B$6=75%,(Positions[[#This Row],[Capital]]-F101)*75%)),0),)</f>
        <v>202.47614553038477</v>
      </c>
    </row>
    <row r="106" spans="4:11" ht="15.75" x14ac:dyDescent="0.25">
      <c r="D106" s="32">
        <f>WEEKDAY(Positions[[#This Row],[Jous / Séances de trading]],2)</f>
        <v>1</v>
      </c>
      <c r="E106" s="49">
        <f t="shared" si="2"/>
        <v>44487</v>
      </c>
      <c r="F106" s="50">
        <f t="shared" si="3"/>
        <v>3413.4269257309188</v>
      </c>
      <c r="G106" s="44">
        <f>'[2]Simulateur Calculatrice Pos.'!$E$35</f>
        <v>2</v>
      </c>
      <c r="H106" s="45">
        <f>Positions[[#This Row],[Capital]]*Positions[[#This Row],[Evolution du capital par jour en %]]%</f>
        <v>68.268538514618371</v>
      </c>
      <c r="I106" s="46">
        <f>ROUND((((Positions[[#This Row],[Capital]]*Positions[[#This Row],[Evolution du capital par jour en %]]%)/('[2]Simulateur Calculatrice Pos.'!$E$15*'[2]Simulateur Calculatrice Pos.'!$E$24))/'[2]Simulateur Calculatrice Pos.'!$E$21),0)</f>
        <v>6</v>
      </c>
      <c r="J106" s="47">
        <f>IFERROR(IF(D106=5,((Positions[[#This Row],[Capital]]-F102)-K106),0),)</f>
        <v>0</v>
      </c>
      <c r="K106" s="48">
        <f>IFERROR(IF(D106=5,IF($B$6="Aucun retrait",0,IF($B$6=75%,(Positions[[#This Row],[Capital]]-F102)*75%)),0),)</f>
        <v>0</v>
      </c>
    </row>
    <row r="107" spans="4:11" ht="15.75" x14ac:dyDescent="0.25">
      <c r="D107" s="32">
        <f>WEEKDAY(Positions[[#This Row],[Jous / Séances de trading]],2)</f>
        <v>2</v>
      </c>
      <c r="E107" s="49">
        <f t="shared" si="2"/>
        <v>44488</v>
      </c>
      <c r="F107" s="50">
        <f t="shared" si="3"/>
        <v>3481.6954642455371</v>
      </c>
      <c r="G107" s="44">
        <f>'[2]Simulateur Calculatrice Pos.'!$E$35</f>
        <v>2</v>
      </c>
      <c r="H107" s="45">
        <f>Positions[[#This Row],[Capital]]*Positions[[#This Row],[Evolution du capital par jour en %]]%</f>
        <v>69.633909284910743</v>
      </c>
      <c r="I107" s="46">
        <f>ROUND((((Positions[[#This Row],[Capital]]*Positions[[#This Row],[Evolution du capital par jour en %]]%)/('[2]Simulateur Calculatrice Pos.'!$E$15*'[2]Simulateur Calculatrice Pos.'!$E$24))/'[2]Simulateur Calculatrice Pos.'!$E$21),0)</f>
        <v>6</v>
      </c>
      <c r="J107" s="47">
        <f>IFERROR(IF(D107=5,((Positions[[#This Row],[Capital]]-F103)-K107),0),)</f>
        <v>0</v>
      </c>
      <c r="K107" s="48">
        <f>IFERROR(IF(D107=5,IF($B$6="Aucun retrait",0,IF($B$6=75%,(Positions[[#This Row],[Capital]]-F103)*75%)),0),)</f>
        <v>0</v>
      </c>
    </row>
    <row r="108" spans="4:11" ht="15.75" x14ac:dyDescent="0.25">
      <c r="D108" s="32">
        <f>WEEKDAY(Positions[[#This Row],[Jous / Séances de trading]],2)</f>
        <v>3</v>
      </c>
      <c r="E108" s="49">
        <f t="shared" si="2"/>
        <v>44489</v>
      </c>
      <c r="F108" s="50">
        <f t="shared" si="3"/>
        <v>3551.3293735304478</v>
      </c>
      <c r="G108" s="44">
        <f>'[2]Simulateur Calculatrice Pos.'!$E$35</f>
        <v>2</v>
      </c>
      <c r="H108" s="45">
        <f>Positions[[#This Row],[Capital]]*Positions[[#This Row],[Evolution du capital par jour en %]]%</f>
        <v>71.026587470608959</v>
      </c>
      <c r="I108" s="46">
        <f>ROUND((((Positions[[#This Row],[Capital]]*Positions[[#This Row],[Evolution du capital par jour en %]]%)/('[2]Simulateur Calculatrice Pos.'!$E$15*'[2]Simulateur Calculatrice Pos.'!$E$24))/'[2]Simulateur Calculatrice Pos.'!$E$21),0)</f>
        <v>6</v>
      </c>
      <c r="J108" s="47">
        <f>IFERROR(IF(D108=5,((Positions[[#This Row],[Capital]]-F104)-K108),0),)</f>
        <v>0</v>
      </c>
      <c r="K108" s="48">
        <f>IFERROR(IF(D108=5,IF($B$6="Aucun retrait",0,IF($B$6=75%,(Positions[[#This Row],[Capital]]-F104)*75%)),0),)</f>
        <v>0</v>
      </c>
    </row>
    <row r="109" spans="4:11" ht="15.75" x14ac:dyDescent="0.25">
      <c r="D109" s="32">
        <f>WEEKDAY(Positions[[#This Row],[Jous / Séances de trading]],2)</f>
        <v>4</v>
      </c>
      <c r="E109" s="49">
        <f t="shared" si="2"/>
        <v>44490</v>
      </c>
      <c r="F109" s="50">
        <f t="shared" si="3"/>
        <v>3622.3559610010566</v>
      </c>
      <c r="G109" s="44">
        <f>'[2]Simulateur Calculatrice Pos.'!$E$35</f>
        <v>2</v>
      </c>
      <c r="H109" s="45">
        <f>Positions[[#This Row],[Capital]]*Positions[[#This Row],[Evolution du capital par jour en %]]%</f>
        <v>72.447119220021136</v>
      </c>
      <c r="I109" s="46">
        <f>ROUND((((Positions[[#This Row],[Capital]]*Positions[[#This Row],[Evolution du capital par jour en %]]%)/('[2]Simulateur Calculatrice Pos.'!$E$15*'[2]Simulateur Calculatrice Pos.'!$E$24))/'[2]Simulateur Calculatrice Pos.'!$E$21),0)</f>
        <v>6</v>
      </c>
      <c r="J109" s="47">
        <f>IFERROR(IF(D109=5,((Positions[[#This Row],[Capital]]-F105)-K109),0),)</f>
        <v>0</v>
      </c>
      <c r="K109" s="48">
        <f>IFERROR(IF(D109=5,IF($B$6="Aucun retrait",0,IF($B$6=75%,(Positions[[#This Row],[Capital]]-F105)*75%)),0),)</f>
        <v>0</v>
      </c>
    </row>
    <row r="110" spans="4:11" ht="15.75" x14ac:dyDescent="0.25">
      <c r="D110" s="32">
        <f>WEEKDAY(Positions[[#This Row],[Jous / Séances de trading]],2)</f>
        <v>5</v>
      </c>
      <c r="E110" s="49">
        <f t="shared" si="2"/>
        <v>44491</v>
      </c>
      <c r="F110" s="50">
        <f t="shared" si="3"/>
        <v>3694.8030802210778</v>
      </c>
      <c r="G110" s="44">
        <f>'[2]Simulateur Calculatrice Pos.'!$E$35</f>
        <v>2</v>
      </c>
      <c r="H110" s="45">
        <f>Positions[[#This Row],[Capital]]*Positions[[#This Row],[Evolution du capital par jour en %]]%</f>
        <v>73.896061604421561</v>
      </c>
      <c r="I110" s="46">
        <f>ROUND((((Positions[[#This Row],[Capital]]*Positions[[#This Row],[Evolution du capital par jour en %]]%)/('[2]Simulateur Calculatrice Pos.'!$E$15*'[2]Simulateur Calculatrice Pos.'!$E$24))/'[2]Simulateur Calculatrice Pos.'!$E$21),0)</f>
        <v>6</v>
      </c>
      <c r="J110" s="47">
        <f>IFERROR(IF(D110=5,((Positions[[#This Row],[Capital]]-F106)-K110),0),)</f>
        <v>70.344038622539756</v>
      </c>
      <c r="K110" s="48">
        <f>IFERROR(IF(D110=5,IF($B$6="Aucun retrait",0,IF($B$6=75%,(Positions[[#This Row],[Capital]]-F106)*75%)),0),)</f>
        <v>211.03211586761927</v>
      </c>
    </row>
    <row r="111" spans="4:11" ht="15.75" x14ac:dyDescent="0.25">
      <c r="D111" s="32">
        <f>WEEKDAY(Positions[[#This Row],[Jous / Séances de trading]],2)</f>
        <v>1</v>
      </c>
      <c r="E111" s="49">
        <f t="shared" si="2"/>
        <v>44494</v>
      </c>
      <c r="F111" s="50">
        <f t="shared" si="3"/>
        <v>3557.66702595788</v>
      </c>
      <c r="G111" s="44">
        <f>'[2]Simulateur Calculatrice Pos.'!$E$35</f>
        <v>2</v>
      </c>
      <c r="H111" s="45">
        <f>Positions[[#This Row],[Capital]]*Positions[[#This Row],[Evolution du capital par jour en %]]%</f>
        <v>71.153340519157595</v>
      </c>
      <c r="I111" s="46">
        <f>ROUND((((Positions[[#This Row],[Capital]]*Positions[[#This Row],[Evolution du capital par jour en %]]%)/('[2]Simulateur Calculatrice Pos.'!$E$15*'[2]Simulateur Calculatrice Pos.'!$E$24))/'[2]Simulateur Calculatrice Pos.'!$E$21),0)</f>
        <v>6</v>
      </c>
      <c r="J111" s="47">
        <f>IFERROR(IF(D111=5,((Positions[[#This Row],[Capital]]-F107)-K111),0),)</f>
        <v>0</v>
      </c>
      <c r="K111" s="48">
        <f>IFERROR(IF(D111=5,IF($B$6="Aucun retrait",0,IF($B$6=75%,(Positions[[#This Row],[Capital]]-F107)*75%)),0),)</f>
        <v>0</v>
      </c>
    </row>
    <row r="112" spans="4:11" ht="15.75" x14ac:dyDescent="0.25">
      <c r="D112" s="32">
        <f>WEEKDAY(Positions[[#This Row],[Jous / Séances de trading]],2)</f>
        <v>2</v>
      </c>
      <c r="E112" s="49">
        <f t="shared" si="2"/>
        <v>44495</v>
      </c>
      <c r="F112" s="50">
        <f t="shared" si="3"/>
        <v>3628.8203664770376</v>
      </c>
      <c r="G112" s="44">
        <f>'[2]Simulateur Calculatrice Pos.'!$E$35</f>
        <v>2</v>
      </c>
      <c r="H112" s="45">
        <f>Positions[[#This Row],[Capital]]*Positions[[#This Row],[Evolution du capital par jour en %]]%</f>
        <v>72.576407329540757</v>
      </c>
      <c r="I112" s="46">
        <f>ROUND((((Positions[[#This Row],[Capital]]*Positions[[#This Row],[Evolution du capital par jour en %]]%)/('[2]Simulateur Calculatrice Pos.'!$E$15*'[2]Simulateur Calculatrice Pos.'!$E$24))/'[2]Simulateur Calculatrice Pos.'!$E$21),0)</f>
        <v>6</v>
      </c>
      <c r="J112" s="47">
        <f>IFERROR(IF(D112=5,((Positions[[#This Row],[Capital]]-F108)-K112),0),)</f>
        <v>0</v>
      </c>
      <c r="K112" s="48">
        <f>IFERROR(IF(D112=5,IF($B$6="Aucun retrait",0,IF($B$6=75%,(Positions[[#This Row],[Capital]]-F108)*75%)),0),)</f>
        <v>0</v>
      </c>
    </row>
    <row r="113" spans="4:11" ht="15.75" x14ac:dyDescent="0.25">
      <c r="D113" s="32">
        <f>WEEKDAY(Positions[[#This Row],[Jous / Séances de trading]],2)</f>
        <v>3</v>
      </c>
      <c r="E113" s="49">
        <f t="shared" si="2"/>
        <v>44496</v>
      </c>
      <c r="F113" s="50">
        <f t="shared" si="3"/>
        <v>3701.3967738065785</v>
      </c>
      <c r="G113" s="44">
        <f>'[2]Simulateur Calculatrice Pos.'!$E$35</f>
        <v>2</v>
      </c>
      <c r="H113" s="45">
        <f>Positions[[#This Row],[Capital]]*Positions[[#This Row],[Evolution du capital par jour en %]]%</f>
        <v>74.027935476131574</v>
      </c>
      <c r="I113" s="46">
        <f>ROUND((((Positions[[#This Row],[Capital]]*Positions[[#This Row],[Evolution du capital par jour en %]]%)/('[2]Simulateur Calculatrice Pos.'!$E$15*'[2]Simulateur Calculatrice Pos.'!$E$24))/'[2]Simulateur Calculatrice Pos.'!$E$21),0)</f>
        <v>6</v>
      </c>
      <c r="J113" s="47">
        <f>IFERROR(IF(D113=5,((Positions[[#This Row],[Capital]]-F109)-K113),0),)</f>
        <v>0</v>
      </c>
      <c r="K113" s="48">
        <f>IFERROR(IF(D113=5,IF($B$6="Aucun retrait",0,IF($B$6=75%,(Positions[[#This Row],[Capital]]-F109)*75%)),0),)</f>
        <v>0</v>
      </c>
    </row>
    <row r="114" spans="4:11" ht="15.75" x14ac:dyDescent="0.25">
      <c r="D114" s="32">
        <f>WEEKDAY(Positions[[#This Row],[Jous / Séances de trading]],2)</f>
        <v>4</v>
      </c>
      <c r="E114" s="49">
        <f t="shared" si="2"/>
        <v>44497</v>
      </c>
      <c r="F114" s="50">
        <f t="shared" si="3"/>
        <v>3775.42470928271</v>
      </c>
      <c r="G114" s="44">
        <f>'[2]Simulateur Calculatrice Pos.'!$E$35</f>
        <v>2</v>
      </c>
      <c r="H114" s="45">
        <f>Positions[[#This Row],[Capital]]*Positions[[#This Row],[Evolution du capital par jour en %]]%</f>
        <v>75.5084941856542</v>
      </c>
      <c r="I114" s="46">
        <f>ROUND((((Positions[[#This Row],[Capital]]*Positions[[#This Row],[Evolution du capital par jour en %]]%)/('[2]Simulateur Calculatrice Pos.'!$E$15*'[2]Simulateur Calculatrice Pos.'!$E$24))/'[2]Simulateur Calculatrice Pos.'!$E$21),0)</f>
        <v>6</v>
      </c>
      <c r="J114" s="47">
        <f>IFERROR(IF(D114=5,((Positions[[#This Row],[Capital]]-F110)-K114),0),)</f>
        <v>0</v>
      </c>
      <c r="K114" s="48">
        <f>IFERROR(IF(D114=5,IF($B$6="Aucun retrait",0,IF($B$6=75%,(Positions[[#This Row],[Capital]]-F110)*75%)),0),)</f>
        <v>0</v>
      </c>
    </row>
    <row r="115" spans="4:11" ht="15.75" x14ac:dyDescent="0.25">
      <c r="D115" s="32">
        <f>WEEKDAY(Positions[[#This Row],[Jous / Séances de trading]],2)</f>
        <v>5</v>
      </c>
      <c r="E115" s="49">
        <f t="shared" si="2"/>
        <v>44498</v>
      </c>
      <c r="F115" s="50">
        <f t="shared" si="3"/>
        <v>3850.9332034683644</v>
      </c>
      <c r="G115" s="44">
        <f>'[2]Simulateur Calculatrice Pos.'!$E$35</f>
        <v>2</v>
      </c>
      <c r="H115" s="45">
        <f>Positions[[#This Row],[Capital]]*Positions[[#This Row],[Evolution du capital par jour en %]]%</f>
        <v>77.01866406936729</v>
      </c>
      <c r="I115" s="46">
        <f>ROUND((((Positions[[#This Row],[Capital]]*Positions[[#This Row],[Evolution du capital par jour en %]]%)/('[2]Simulateur Calculatrice Pos.'!$E$15*'[2]Simulateur Calculatrice Pos.'!$E$24))/'[2]Simulateur Calculatrice Pos.'!$E$21),0)</f>
        <v>6</v>
      </c>
      <c r="J115" s="47">
        <f>IFERROR(IF(D115=5,((Positions[[#This Row],[Capital]]-F111)-K115),0),)</f>
        <v>73.316544377621085</v>
      </c>
      <c r="K115" s="48">
        <f>IFERROR(IF(D115=5,IF($B$6="Aucun retrait",0,IF($B$6=75%,(Positions[[#This Row],[Capital]]-F111)*75%)),0),)</f>
        <v>219.94963313286326</v>
      </c>
    </row>
    <row r="116" spans="4:11" ht="15.75" x14ac:dyDescent="0.25">
      <c r="D116" s="32">
        <f>WEEKDAY(Positions[[#This Row],[Jous / Séances de trading]],2)</f>
        <v>1</v>
      </c>
      <c r="E116" s="49">
        <f t="shared" si="2"/>
        <v>44501</v>
      </c>
      <c r="F116" s="50">
        <f t="shared" si="3"/>
        <v>3708.0022344048684</v>
      </c>
      <c r="G116" s="44">
        <f>'[2]Simulateur Calculatrice Pos.'!$E$35</f>
        <v>2</v>
      </c>
      <c r="H116" s="45">
        <f>Positions[[#This Row],[Capital]]*Positions[[#This Row],[Evolution du capital par jour en %]]%</f>
        <v>74.160044688097372</v>
      </c>
      <c r="I116" s="46">
        <f>ROUND((((Positions[[#This Row],[Capital]]*Positions[[#This Row],[Evolution du capital par jour en %]]%)/('[2]Simulateur Calculatrice Pos.'!$E$15*'[2]Simulateur Calculatrice Pos.'!$E$24))/'[2]Simulateur Calculatrice Pos.'!$E$21),0)</f>
        <v>6</v>
      </c>
      <c r="J116" s="47">
        <f>IFERROR(IF(D116=5,((Positions[[#This Row],[Capital]]-F112)-K116),0),)</f>
        <v>0</v>
      </c>
      <c r="K116" s="48">
        <f>IFERROR(IF(D116=5,IF($B$6="Aucun retrait",0,IF($B$6=75%,(Positions[[#This Row],[Capital]]-F112)*75%)),0),)</f>
        <v>0</v>
      </c>
    </row>
    <row r="117" spans="4:11" ht="15.75" x14ac:dyDescent="0.25">
      <c r="D117" s="32">
        <f>WEEKDAY(Positions[[#This Row],[Jous / Séances de trading]],2)</f>
        <v>2</v>
      </c>
      <c r="E117" s="49">
        <f t="shared" si="2"/>
        <v>44502</v>
      </c>
      <c r="F117" s="50">
        <f t="shared" si="3"/>
        <v>3782.1622790929659</v>
      </c>
      <c r="G117" s="44">
        <f>'[2]Simulateur Calculatrice Pos.'!$E$35</f>
        <v>2</v>
      </c>
      <c r="H117" s="45">
        <f>Positions[[#This Row],[Capital]]*Positions[[#This Row],[Evolution du capital par jour en %]]%</f>
        <v>75.643245581859318</v>
      </c>
      <c r="I117" s="46">
        <f>ROUND((((Positions[[#This Row],[Capital]]*Positions[[#This Row],[Evolution du capital par jour en %]]%)/('[2]Simulateur Calculatrice Pos.'!$E$15*'[2]Simulateur Calculatrice Pos.'!$E$24))/'[2]Simulateur Calculatrice Pos.'!$E$21),0)</f>
        <v>6</v>
      </c>
      <c r="J117" s="47">
        <f>IFERROR(IF(D117=5,((Positions[[#This Row],[Capital]]-F113)-K117),0),)</f>
        <v>0</v>
      </c>
      <c r="K117" s="48">
        <f>IFERROR(IF(D117=5,IF($B$6="Aucun retrait",0,IF($B$6=75%,(Positions[[#This Row],[Capital]]-F113)*75%)),0),)</f>
        <v>0</v>
      </c>
    </row>
    <row r="118" spans="4:11" ht="15.75" x14ac:dyDescent="0.25">
      <c r="D118" s="32">
        <f>WEEKDAY(Positions[[#This Row],[Jous / Séances de trading]],2)</f>
        <v>3</v>
      </c>
      <c r="E118" s="49">
        <f t="shared" si="2"/>
        <v>44503</v>
      </c>
      <c r="F118" s="50">
        <f t="shared" si="3"/>
        <v>3857.8055246748254</v>
      </c>
      <c r="G118" s="44">
        <f>'[2]Simulateur Calculatrice Pos.'!$E$35</f>
        <v>2</v>
      </c>
      <c r="H118" s="45">
        <f>Positions[[#This Row],[Capital]]*Positions[[#This Row],[Evolution du capital par jour en %]]%</f>
        <v>77.156110493496513</v>
      </c>
      <c r="I118" s="46">
        <f>ROUND((((Positions[[#This Row],[Capital]]*Positions[[#This Row],[Evolution du capital par jour en %]]%)/('[2]Simulateur Calculatrice Pos.'!$E$15*'[2]Simulateur Calculatrice Pos.'!$E$24))/'[2]Simulateur Calculatrice Pos.'!$E$21),0)</f>
        <v>6</v>
      </c>
      <c r="J118" s="47">
        <f>IFERROR(IF(D118=5,((Positions[[#This Row],[Capital]]-F114)-K118),0),)</f>
        <v>0</v>
      </c>
      <c r="K118" s="48">
        <f>IFERROR(IF(D118=5,IF($B$6="Aucun retrait",0,IF($B$6=75%,(Positions[[#This Row],[Capital]]-F114)*75%)),0),)</f>
        <v>0</v>
      </c>
    </row>
    <row r="119" spans="4:11" ht="15.75" x14ac:dyDescent="0.25">
      <c r="D119" s="32">
        <f>WEEKDAY(Positions[[#This Row],[Jous / Séances de trading]],2)</f>
        <v>4</v>
      </c>
      <c r="E119" s="49">
        <f t="shared" si="2"/>
        <v>44504</v>
      </c>
      <c r="F119" s="50">
        <f t="shared" si="3"/>
        <v>3934.9616351683221</v>
      </c>
      <c r="G119" s="44">
        <f>'[2]Simulateur Calculatrice Pos.'!$E$35</f>
        <v>2</v>
      </c>
      <c r="H119" s="45">
        <f>Positions[[#This Row],[Capital]]*Positions[[#This Row],[Evolution du capital par jour en %]]%</f>
        <v>78.699232703366448</v>
      </c>
      <c r="I119" s="46">
        <f>ROUND((((Positions[[#This Row],[Capital]]*Positions[[#This Row],[Evolution du capital par jour en %]]%)/('[2]Simulateur Calculatrice Pos.'!$E$15*'[2]Simulateur Calculatrice Pos.'!$E$24))/'[2]Simulateur Calculatrice Pos.'!$E$21),0)</f>
        <v>7</v>
      </c>
      <c r="J119" s="47">
        <f>IFERROR(IF(D119=5,((Positions[[#This Row],[Capital]]-F115)-K119),0),)</f>
        <v>0</v>
      </c>
      <c r="K119" s="48">
        <f>IFERROR(IF(D119=5,IF($B$6="Aucun retrait",0,IF($B$6=75%,(Positions[[#This Row],[Capital]]-F115)*75%)),0),)</f>
        <v>0</v>
      </c>
    </row>
    <row r="120" spans="4:11" ht="15.75" x14ac:dyDescent="0.25">
      <c r="D120" s="32">
        <f>WEEKDAY(Positions[[#This Row],[Jous / Séances de trading]],2)</f>
        <v>5</v>
      </c>
      <c r="E120" s="49">
        <f t="shared" si="2"/>
        <v>44505</v>
      </c>
      <c r="F120" s="50">
        <f t="shared" si="3"/>
        <v>4013.6608678716884</v>
      </c>
      <c r="G120" s="44">
        <f>'[2]Simulateur Calculatrice Pos.'!$E$35</f>
        <v>2</v>
      </c>
      <c r="H120" s="45">
        <f>Positions[[#This Row],[Capital]]*Positions[[#This Row],[Evolution du capital par jour en %]]%</f>
        <v>80.273217357433765</v>
      </c>
      <c r="I120" s="46">
        <f>ROUND((((Positions[[#This Row],[Capital]]*Positions[[#This Row],[Evolution du capital par jour en %]]%)/('[2]Simulateur Calculatrice Pos.'!$E$15*'[2]Simulateur Calculatrice Pos.'!$E$24))/'[2]Simulateur Calculatrice Pos.'!$E$21),0)</f>
        <v>7</v>
      </c>
      <c r="J120" s="47">
        <f>IFERROR(IF(D120=5,((Positions[[#This Row],[Capital]]-F116)-K120),0),)</f>
        <v>76.414658366704998</v>
      </c>
      <c r="K120" s="48">
        <f>IFERROR(IF(D120=5,IF($B$6="Aucun retrait",0,IF($B$6=75%,(Positions[[#This Row],[Capital]]-F116)*75%)),0),)</f>
        <v>229.24397510011499</v>
      </c>
    </row>
    <row r="121" spans="4:11" ht="15.75" x14ac:dyDescent="0.25">
      <c r="D121" s="32">
        <f>WEEKDAY(Positions[[#This Row],[Jous / Séances de trading]],2)</f>
        <v>1</v>
      </c>
      <c r="E121" s="49">
        <f t="shared" si="2"/>
        <v>44508</v>
      </c>
      <c r="F121" s="50">
        <f t="shared" si="3"/>
        <v>3864.6901101290068</v>
      </c>
      <c r="G121" s="44">
        <f>'[2]Simulateur Calculatrice Pos.'!$E$35</f>
        <v>2</v>
      </c>
      <c r="H121" s="45">
        <f>Positions[[#This Row],[Capital]]*Positions[[#This Row],[Evolution du capital par jour en %]]%</f>
        <v>77.293802202580139</v>
      </c>
      <c r="I121" s="46">
        <f>ROUND((((Positions[[#This Row],[Capital]]*Positions[[#This Row],[Evolution du capital par jour en %]]%)/('[2]Simulateur Calculatrice Pos.'!$E$15*'[2]Simulateur Calculatrice Pos.'!$E$24))/'[2]Simulateur Calculatrice Pos.'!$E$21),0)</f>
        <v>6</v>
      </c>
      <c r="J121" s="47">
        <f>IFERROR(IF(D121=5,((Positions[[#This Row],[Capital]]-F117)-K121),0),)</f>
        <v>0</v>
      </c>
      <c r="K121" s="48">
        <f>IFERROR(IF(D121=5,IF($B$6="Aucun retrait",0,IF($B$6=75%,(Positions[[#This Row],[Capital]]-F117)*75%)),0),)</f>
        <v>0</v>
      </c>
    </row>
    <row r="122" spans="4:11" ht="15.75" x14ac:dyDescent="0.25">
      <c r="D122" s="32">
        <f>WEEKDAY(Positions[[#This Row],[Jous / Séances de trading]],2)</f>
        <v>2</v>
      </c>
      <c r="E122" s="49">
        <f t="shared" si="2"/>
        <v>44509</v>
      </c>
      <c r="F122" s="50">
        <f t="shared" si="3"/>
        <v>3941.9839123315869</v>
      </c>
      <c r="G122" s="44">
        <f>'[2]Simulateur Calculatrice Pos.'!$E$35</f>
        <v>2</v>
      </c>
      <c r="H122" s="45">
        <f>Positions[[#This Row],[Capital]]*Positions[[#This Row],[Evolution du capital par jour en %]]%</f>
        <v>78.839678246631735</v>
      </c>
      <c r="I122" s="46">
        <f>ROUND((((Positions[[#This Row],[Capital]]*Positions[[#This Row],[Evolution du capital par jour en %]]%)/('[2]Simulateur Calculatrice Pos.'!$E$15*'[2]Simulateur Calculatrice Pos.'!$E$24))/'[2]Simulateur Calculatrice Pos.'!$E$21),0)</f>
        <v>7</v>
      </c>
      <c r="J122" s="47">
        <f>IFERROR(IF(D122=5,((Positions[[#This Row],[Capital]]-F118)-K122),0),)</f>
        <v>0</v>
      </c>
      <c r="K122" s="48">
        <f>IFERROR(IF(D122=5,IF($B$6="Aucun retrait",0,IF($B$6=75%,(Positions[[#This Row],[Capital]]-F118)*75%)),0),)</f>
        <v>0</v>
      </c>
    </row>
    <row r="123" spans="4:11" ht="15.75" x14ac:dyDescent="0.25">
      <c r="D123" s="32">
        <f>WEEKDAY(Positions[[#This Row],[Jous / Séances de trading]],2)</f>
        <v>3</v>
      </c>
      <c r="E123" s="49">
        <f t="shared" si="2"/>
        <v>44510</v>
      </c>
      <c r="F123" s="50">
        <f t="shared" si="3"/>
        <v>4020.8235905782185</v>
      </c>
      <c r="G123" s="44">
        <f>'[2]Simulateur Calculatrice Pos.'!$E$35</f>
        <v>2</v>
      </c>
      <c r="H123" s="45">
        <f>Positions[[#This Row],[Capital]]*Positions[[#This Row],[Evolution du capital par jour en %]]%</f>
        <v>80.416471811564378</v>
      </c>
      <c r="I123" s="46">
        <f>ROUND((((Positions[[#This Row],[Capital]]*Positions[[#This Row],[Evolution du capital par jour en %]]%)/('[2]Simulateur Calculatrice Pos.'!$E$15*'[2]Simulateur Calculatrice Pos.'!$E$24))/'[2]Simulateur Calculatrice Pos.'!$E$21),0)</f>
        <v>7</v>
      </c>
      <c r="J123" s="47">
        <f>IFERROR(IF(D123=5,((Positions[[#This Row],[Capital]]-F119)-K123),0),)</f>
        <v>0</v>
      </c>
      <c r="K123" s="48">
        <f>IFERROR(IF(D123=5,IF($B$6="Aucun retrait",0,IF($B$6=75%,(Positions[[#This Row],[Capital]]-F119)*75%)),0),)</f>
        <v>0</v>
      </c>
    </row>
    <row r="124" spans="4:11" ht="15.75" x14ac:dyDescent="0.25">
      <c r="D124" s="32">
        <f>WEEKDAY(Positions[[#This Row],[Jous / Séances de trading]],2)</f>
        <v>4</v>
      </c>
      <c r="E124" s="49">
        <f t="shared" si="2"/>
        <v>44511</v>
      </c>
      <c r="F124" s="50">
        <f t="shared" si="3"/>
        <v>4101.2400623897829</v>
      </c>
      <c r="G124" s="44">
        <f>'[2]Simulateur Calculatrice Pos.'!$E$35</f>
        <v>2</v>
      </c>
      <c r="H124" s="45">
        <f>Positions[[#This Row],[Capital]]*Positions[[#This Row],[Evolution du capital par jour en %]]%</f>
        <v>82.024801247795665</v>
      </c>
      <c r="I124" s="46">
        <f>ROUND((((Positions[[#This Row],[Capital]]*Positions[[#This Row],[Evolution du capital par jour en %]]%)/('[2]Simulateur Calculatrice Pos.'!$E$15*'[2]Simulateur Calculatrice Pos.'!$E$24))/'[2]Simulateur Calculatrice Pos.'!$E$21),0)</f>
        <v>7</v>
      </c>
      <c r="J124" s="47">
        <f>IFERROR(IF(D124=5,((Positions[[#This Row],[Capital]]-F120)-K124),0),)</f>
        <v>0</v>
      </c>
      <c r="K124" s="48">
        <f>IFERROR(IF(D124=5,IF($B$6="Aucun retrait",0,IF($B$6=75%,(Positions[[#This Row],[Capital]]-F120)*75%)),0),)</f>
        <v>0</v>
      </c>
    </row>
    <row r="125" spans="4:11" ht="15.75" x14ac:dyDescent="0.25">
      <c r="D125" s="32">
        <f>WEEKDAY(Positions[[#This Row],[Jous / Séances de trading]],2)</f>
        <v>5</v>
      </c>
      <c r="E125" s="49">
        <f t="shared" si="2"/>
        <v>44512</v>
      </c>
      <c r="F125" s="50">
        <f t="shared" si="3"/>
        <v>4183.2648636375789</v>
      </c>
      <c r="G125" s="44">
        <f>'[2]Simulateur Calculatrice Pos.'!$E$35</f>
        <v>2</v>
      </c>
      <c r="H125" s="45">
        <f>Positions[[#This Row],[Capital]]*Positions[[#This Row],[Evolution du capital par jour en %]]%</f>
        <v>83.665297272751573</v>
      </c>
      <c r="I125" s="46">
        <f>ROUND((((Positions[[#This Row],[Capital]]*Positions[[#This Row],[Evolution du capital par jour en %]]%)/('[2]Simulateur Calculatrice Pos.'!$E$15*'[2]Simulateur Calculatrice Pos.'!$E$24))/'[2]Simulateur Calculatrice Pos.'!$E$21),0)</f>
        <v>7</v>
      </c>
      <c r="J125" s="47">
        <f>IFERROR(IF(D125=5,((Positions[[#This Row],[Capital]]-F121)-K125),0),)</f>
        <v>79.643688377143008</v>
      </c>
      <c r="K125" s="48">
        <f>IFERROR(IF(D125=5,IF($B$6="Aucun retrait",0,IF($B$6=75%,(Positions[[#This Row],[Capital]]-F121)*75%)),0),)</f>
        <v>238.93106513142902</v>
      </c>
    </row>
    <row r="126" spans="4:11" ht="15.75" x14ac:dyDescent="0.25">
      <c r="D126" s="32">
        <f>WEEKDAY(Positions[[#This Row],[Jous / Séances de trading]],2)</f>
        <v>1</v>
      </c>
      <c r="E126" s="49">
        <f t="shared" si="2"/>
        <v>44515</v>
      </c>
      <c r="F126" s="50">
        <f t="shared" si="3"/>
        <v>4027.9990957789014</v>
      </c>
      <c r="G126" s="44">
        <f>'[2]Simulateur Calculatrice Pos.'!$E$35</f>
        <v>2</v>
      </c>
      <c r="H126" s="45">
        <f>Positions[[#This Row],[Capital]]*Positions[[#This Row],[Evolution du capital par jour en %]]%</f>
        <v>80.559981915578035</v>
      </c>
      <c r="I126" s="46">
        <f>ROUND((((Positions[[#This Row],[Capital]]*Positions[[#This Row],[Evolution du capital par jour en %]]%)/('[2]Simulateur Calculatrice Pos.'!$E$15*'[2]Simulateur Calculatrice Pos.'!$E$24))/'[2]Simulateur Calculatrice Pos.'!$E$21),0)</f>
        <v>7</v>
      </c>
      <c r="J126" s="47">
        <f>IFERROR(IF(D126=5,((Positions[[#This Row],[Capital]]-F122)-K126),0),)</f>
        <v>0</v>
      </c>
      <c r="K126" s="48">
        <f>IFERROR(IF(D126=5,IF($B$6="Aucun retrait",0,IF($B$6=75%,(Positions[[#This Row],[Capital]]-F122)*75%)),0),)</f>
        <v>0</v>
      </c>
    </row>
    <row r="127" spans="4:11" ht="15.75" x14ac:dyDescent="0.25">
      <c r="D127" s="32">
        <f>WEEKDAY(Positions[[#This Row],[Jous / Séances de trading]],2)</f>
        <v>2</v>
      </c>
      <c r="E127" s="49">
        <f t="shared" si="2"/>
        <v>44516</v>
      </c>
      <c r="F127" s="50">
        <f t="shared" si="3"/>
        <v>4108.5590776944791</v>
      </c>
      <c r="G127" s="44">
        <f>'[2]Simulateur Calculatrice Pos.'!$E$35</f>
        <v>2</v>
      </c>
      <c r="H127" s="45">
        <f>Positions[[#This Row],[Capital]]*Positions[[#This Row],[Evolution du capital par jour en %]]%</f>
        <v>82.171181553889582</v>
      </c>
      <c r="I127" s="46">
        <f>ROUND((((Positions[[#This Row],[Capital]]*Positions[[#This Row],[Evolution du capital par jour en %]]%)/('[2]Simulateur Calculatrice Pos.'!$E$15*'[2]Simulateur Calculatrice Pos.'!$E$24))/'[2]Simulateur Calculatrice Pos.'!$E$21),0)</f>
        <v>7</v>
      </c>
      <c r="J127" s="47">
        <f>IFERROR(IF(D127=5,((Positions[[#This Row],[Capital]]-F123)-K127),0),)</f>
        <v>0</v>
      </c>
      <c r="K127" s="48">
        <f>IFERROR(IF(D127=5,IF($B$6="Aucun retrait",0,IF($B$6=75%,(Positions[[#This Row],[Capital]]-F123)*75%)),0),)</f>
        <v>0</v>
      </c>
    </row>
    <row r="128" spans="4:11" ht="15.75" x14ac:dyDescent="0.25">
      <c r="D128" s="32">
        <f>WEEKDAY(Positions[[#This Row],[Jous / Séances de trading]],2)</f>
        <v>3</v>
      </c>
      <c r="E128" s="49">
        <f t="shared" si="2"/>
        <v>44517</v>
      </c>
      <c r="F128" s="50">
        <f t="shared" si="3"/>
        <v>4190.7302592483684</v>
      </c>
      <c r="G128" s="44">
        <f>'[2]Simulateur Calculatrice Pos.'!$E$35</f>
        <v>2</v>
      </c>
      <c r="H128" s="45">
        <f>Positions[[#This Row],[Capital]]*Positions[[#This Row],[Evolution du capital par jour en %]]%</f>
        <v>83.814605184967363</v>
      </c>
      <c r="I128" s="46">
        <f>ROUND((((Positions[[#This Row],[Capital]]*Positions[[#This Row],[Evolution du capital par jour en %]]%)/('[2]Simulateur Calculatrice Pos.'!$E$15*'[2]Simulateur Calculatrice Pos.'!$E$24))/'[2]Simulateur Calculatrice Pos.'!$E$21),0)</f>
        <v>7</v>
      </c>
      <c r="J128" s="47">
        <f>IFERROR(IF(D128=5,((Positions[[#This Row],[Capital]]-F124)-K128),0),)</f>
        <v>0</v>
      </c>
      <c r="K128" s="48">
        <f>IFERROR(IF(D128=5,IF($B$6="Aucun retrait",0,IF($B$6=75%,(Positions[[#This Row],[Capital]]-F124)*75%)),0),)</f>
        <v>0</v>
      </c>
    </row>
    <row r="129" spans="4:11" ht="15.75" x14ac:dyDescent="0.25">
      <c r="D129" s="32">
        <f>WEEKDAY(Positions[[#This Row],[Jous / Séances de trading]],2)</f>
        <v>4</v>
      </c>
      <c r="E129" s="49">
        <f t="shared" si="2"/>
        <v>44518</v>
      </c>
      <c r="F129" s="50">
        <f t="shared" si="3"/>
        <v>4274.5448644333355</v>
      </c>
      <c r="G129" s="44">
        <f>'[2]Simulateur Calculatrice Pos.'!$E$35</f>
        <v>2</v>
      </c>
      <c r="H129" s="45">
        <f>Positions[[#This Row],[Capital]]*Positions[[#This Row],[Evolution du capital par jour en %]]%</f>
        <v>85.490897288666716</v>
      </c>
      <c r="I129" s="46">
        <f>ROUND((((Positions[[#This Row],[Capital]]*Positions[[#This Row],[Evolution du capital par jour en %]]%)/('[2]Simulateur Calculatrice Pos.'!$E$15*'[2]Simulateur Calculatrice Pos.'!$E$24))/'[2]Simulateur Calculatrice Pos.'!$E$21),0)</f>
        <v>7</v>
      </c>
      <c r="J129" s="47">
        <f>IFERROR(IF(D129=5,((Positions[[#This Row],[Capital]]-F125)-K129),0),)</f>
        <v>0</v>
      </c>
      <c r="K129" s="48">
        <f>IFERROR(IF(D129=5,IF($B$6="Aucun retrait",0,IF($B$6=75%,(Positions[[#This Row],[Capital]]-F125)*75%)),0),)</f>
        <v>0</v>
      </c>
    </row>
    <row r="130" spans="4:11" ht="15.75" x14ac:dyDescent="0.25">
      <c r="D130" s="32">
        <f>WEEKDAY(Positions[[#This Row],[Jous / Séances de trading]],2)</f>
        <v>5</v>
      </c>
      <c r="E130" s="49">
        <f t="shared" si="2"/>
        <v>44519</v>
      </c>
      <c r="F130" s="50">
        <f t="shared" si="3"/>
        <v>4360.0357617220025</v>
      </c>
      <c r="G130" s="44">
        <f>'[2]Simulateur Calculatrice Pos.'!$E$35</f>
        <v>2</v>
      </c>
      <c r="H130" s="45">
        <f>Positions[[#This Row],[Capital]]*Positions[[#This Row],[Evolution du capital par jour en %]]%</f>
        <v>87.200715234440054</v>
      </c>
      <c r="I130" s="46">
        <f>ROUND((((Positions[[#This Row],[Capital]]*Positions[[#This Row],[Evolution du capital par jour en %]]%)/('[2]Simulateur Calculatrice Pos.'!$E$15*'[2]Simulateur Calculatrice Pos.'!$E$24))/'[2]Simulateur Calculatrice Pos.'!$E$21),0)</f>
        <v>7</v>
      </c>
      <c r="J130" s="47">
        <f>IFERROR(IF(D130=5,((Positions[[#This Row],[Capital]]-F126)-K130),0),)</f>
        <v>83.009166485775268</v>
      </c>
      <c r="K130" s="48">
        <f>IFERROR(IF(D130=5,IF($B$6="Aucun retrait",0,IF($B$6=75%,(Positions[[#This Row],[Capital]]-F126)*75%)),0),)</f>
        <v>249.0274994573258</v>
      </c>
    </row>
    <row r="131" spans="4:11" ht="15.75" x14ac:dyDescent="0.25">
      <c r="D131" s="32">
        <f>WEEKDAY(Positions[[#This Row],[Jous / Séances de trading]],2)</f>
        <v>1</v>
      </c>
      <c r="E131" s="49">
        <f t="shared" si="2"/>
        <v>44522</v>
      </c>
      <c r="F131" s="50">
        <f t="shared" si="3"/>
        <v>4198.2089774991173</v>
      </c>
      <c r="G131" s="44">
        <f>'[2]Simulateur Calculatrice Pos.'!$E$35</f>
        <v>2</v>
      </c>
      <c r="H131" s="45">
        <f>Positions[[#This Row],[Capital]]*Positions[[#This Row],[Evolution du capital par jour en %]]%</f>
        <v>83.964179549982347</v>
      </c>
      <c r="I131" s="46">
        <f>ROUND((((Positions[[#This Row],[Capital]]*Positions[[#This Row],[Evolution du capital par jour en %]]%)/('[2]Simulateur Calculatrice Pos.'!$E$15*'[2]Simulateur Calculatrice Pos.'!$E$24))/'[2]Simulateur Calculatrice Pos.'!$E$21),0)</f>
        <v>7</v>
      </c>
      <c r="J131" s="47">
        <f>IFERROR(IF(D131=5,((Positions[[#This Row],[Capital]]-F127)-K131),0),)</f>
        <v>0</v>
      </c>
      <c r="K131" s="48">
        <f>IFERROR(IF(D131=5,IF($B$6="Aucun retrait",0,IF($B$6=75%,(Positions[[#This Row],[Capital]]-F127)*75%)),0),)</f>
        <v>0</v>
      </c>
    </row>
    <row r="132" spans="4:11" ht="15.75" x14ac:dyDescent="0.25">
      <c r="D132" s="32">
        <f>WEEKDAY(Positions[[#This Row],[Jous / Séances de trading]],2)</f>
        <v>2</v>
      </c>
      <c r="E132" s="49">
        <f t="shared" si="2"/>
        <v>44523</v>
      </c>
      <c r="F132" s="50">
        <f t="shared" si="3"/>
        <v>4282.1731570490992</v>
      </c>
      <c r="G132" s="44">
        <f>'[2]Simulateur Calculatrice Pos.'!$E$35</f>
        <v>2</v>
      </c>
      <c r="H132" s="45">
        <f>Positions[[#This Row],[Capital]]*Positions[[#This Row],[Evolution du capital par jour en %]]%</f>
        <v>85.643463140981993</v>
      </c>
      <c r="I132" s="46">
        <f>ROUND((((Positions[[#This Row],[Capital]]*Positions[[#This Row],[Evolution du capital par jour en %]]%)/('[2]Simulateur Calculatrice Pos.'!$E$15*'[2]Simulateur Calculatrice Pos.'!$E$24))/'[2]Simulateur Calculatrice Pos.'!$E$21),0)</f>
        <v>7</v>
      </c>
      <c r="J132" s="47">
        <f>IFERROR(IF(D132=5,((Positions[[#This Row],[Capital]]-F128)-K132),0),)</f>
        <v>0</v>
      </c>
      <c r="K132" s="48">
        <f>IFERROR(IF(D132=5,IF($B$6="Aucun retrait",0,IF($B$6=75%,(Positions[[#This Row],[Capital]]-F128)*75%)),0),)</f>
        <v>0</v>
      </c>
    </row>
    <row r="133" spans="4:11" ht="15.75" x14ac:dyDescent="0.25">
      <c r="D133" s="32">
        <f>WEEKDAY(Positions[[#This Row],[Jous / Séances de trading]],2)</f>
        <v>3</v>
      </c>
      <c r="E133" s="49">
        <f t="shared" si="2"/>
        <v>44524</v>
      </c>
      <c r="F133" s="50">
        <f t="shared" si="3"/>
        <v>4367.8166201900813</v>
      </c>
      <c r="G133" s="44">
        <f>'[2]Simulateur Calculatrice Pos.'!$E$35</f>
        <v>2</v>
      </c>
      <c r="H133" s="45">
        <f>Positions[[#This Row],[Capital]]*Positions[[#This Row],[Evolution du capital par jour en %]]%</f>
        <v>87.35633240380163</v>
      </c>
      <c r="I133" s="46">
        <f>ROUND((((Positions[[#This Row],[Capital]]*Positions[[#This Row],[Evolution du capital par jour en %]]%)/('[2]Simulateur Calculatrice Pos.'!$E$15*'[2]Simulateur Calculatrice Pos.'!$E$24))/'[2]Simulateur Calculatrice Pos.'!$E$21),0)</f>
        <v>7</v>
      </c>
      <c r="J133" s="47">
        <f>IFERROR(IF(D133=5,((Positions[[#This Row],[Capital]]-F129)-K133),0),)</f>
        <v>0</v>
      </c>
      <c r="K133" s="48">
        <f>IFERROR(IF(D133=5,IF($B$6="Aucun retrait",0,IF($B$6=75%,(Positions[[#This Row],[Capital]]-F129)*75%)),0),)</f>
        <v>0</v>
      </c>
    </row>
    <row r="134" spans="4:11" ht="15.75" x14ac:dyDescent="0.25">
      <c r="D134" s="32">
        <f>WEEKDAY(Positions[[#This Row],[Jous / Séances de trading]],2)</f>
        <v>4</v>
      </c>
      <c r="E134" s="49">
        <f t="shared" si="2"/>
        <v>44525</v>
      </c>
      <c r="F134" s="50">
        <f t="shared" si="3"/>
        <v>4455.1729525938827</v>
      </c>
      <c r="G134" s="44">
        <f>'[2]Simulateur Calculatrice Pos.'!$E$35</f>
        <v>2</v>
      </c>
      <c r="H134" s="45">
        <f>Positions[[#This Row],[Capital]]*Positions[[#This Row],[Evolution du capital par jour en %]]%</f>
        <v>89.10345905187765</v>
      </c>
      <c r="I134" s="46">
        <f>ROUND((((Positions[[#This Row],[Capital]]*Positions[[#This Row],[Evolution du capital par jour en %]]%)/('[2]Simulateur Calculatrice Pos.'!$E$15*'[2]Simulateur Calculatrice Pos.'!$E$24))/'[2]Simulateur Calculatrice Pos.'!$E$21),0)</f>
        <v>7</v>
      </c>
      <c r="J134" s="47">
        <f>IFERROR(IF(D134=5,((Positions[[#This Row],[Capital]]-F130)-K134),0),)</f>
        <v>0</v>
      </c>
      <c r="K134" s="48">
        <f>IFERROR(IF(D134=5,IF($B$6="Aucun retrait",0,IF($B$6=75%,(Positions[[#This Row],[Capital]]-F130)*75%)),0),)</f>
        <v>0</v>
      </c>
    </row>
    <row r="135" spans="4:11" ht="15.75" x14ac:dyDescent="0.25">
      <c r="D135" s="32">
        <f>WEEKDAY(Positions[[#This Row],[Jous / Séances de trading]],2)</f>
        <v>5</v>
      </c>
      <c r="E135" s="49">
        <f t="shared" si="2"/>
        <v>44526</v>
      </c>
      <c r="F135" s="50">
        <f t="shared" si="3"/>
        <v>4544.2764116457602</v>
      </c>
      <c r="G135" s="44">
        <f>'[2]Simulateur Calculatrice Pos.'!$E$35</f>
        <v>2</v>
      </c>
      <c r="H135" s="45">
        <f>Positions[[#This Row],[Capital]]*Positions[[#This Row],[Evolution du capital par jour en %]]%</f>
        <v>90.885528232915206</v>
      </c>
      <c r="I135" s="46">
        <f>ROUND((((Positions[[#This Row],[Capital]]*Positions[[#This Row],[Evolution du capital par jour en %]]%)/('[2]Simulateur Calculatrice Pos.'!$E$15*'[2]Simulateur Calculatrice Pos.'!$E$24))/'[2]Simulateur Calculatrice Pos.'!$E$21),0)</f>
        <v>8</v>
      </c>
      <c r="J135" s="47">
        <f>IFERROR(IF(D135=5,((Positions[[#This Row],[Capital]]-F131)-K135),0),)</f>
        <v>86.51685853666072</v>
      </c>
      <c r="K135" s="48">
        <f>IFERROR(IF(D135=5,IF($B$6="Aucun retrait",0,IF($B$6=75%,(Positions[[#This Row],[Capital]]-F131)*75%)),0),)</f>
        <v>259.55057560998216</v>
      </c>
    </row>
    <row r="136" spans="4:11" ht="15.75" x14ac:dyDescent="0.25">
      <c r="D136" s="32">
        <f>WEEKDAY(Positions[[#This Row],[Jous / Séances de trading]],2)</f>
        <v>1</v>
      </c>
      <c r="E136" s="49">
        <f t="shared" si="2"/>
        <v>44529</v>
      </c>
      <c r="F136" s="50">
        <f t="shared" si="3"/>
        <v>4375.6113642686933</v>
      </c>
      <c r="G136" s="44">
        <f>'[2]Simulateur Calculatrice Pos.'!$E$35</f>
        <v>2</v>
      </c>
      <c r="H136" s="45">
        <f>Positions[[#This Row],[Capital]]*Positions[[#This Row],[Evolution du capital par jour en %]]%</f>
        <v>87.512227285373868</v>
      </c>
      <c r="I136" s="46">
        <f>ROUND((((Positions[[#This Row],[Capital]]*Positions[[#This Row],[Evolution du capital par jour en %]]%)/('[2]Simulateur Calculatrice Pos.'!$E$15*'[2]Simulateur Calculatrice Pos.'!$E$24))/'[2]Simulateur Calculatrice Pos.'!$E$21),0)</f>
        <v>7</v>
      </c>
      <c r="J136" s="47">
        <f>IFERROR(IF(D136=5,((Positions[[#This Row],[Capital]]-F132)-K136),0),)</f>
        <v>0</v>
      </c>
      <c r="K136" s="48">
        <f>IFERROR(IF(D136=5,IF($B$6="Aucun retrait",0,IF($B$6=75%,(Positions[[#This Row],[Capital]]-F132)*75%)),0),)</f>
        <v>0</v>
      </c>
    </row>
    <row r="137" spans="4:11" ht="15.75" x14ac:dyDescent="0.25">
      <c r="D137" s="32">
        <f>WEEKDAY(Positions[[#This Row],[Jous / Séances de trading]],2)</f>
        <v>2</v>
      </c>
      <c r="E137" s="49">
        <f t="shared" ref="E137:E200" si="4">WORKDAY(E136,1)</f>
        <v>44530</v>
      </c>
      <c r="F137" s="50">
        <f t="shared" ref="F137:F200" si="5">IF(D137=1,(F136+H136)-K136,F136+H136)</f>
        <v>4463.1235915540674</v>
      </c>
      <c r="G137" s="44">
        <f>'[2]Simulateur Calculatrice Pos.'!$E$35</f>
        <v>2</v>
      </c>
      <c r="H137" s="45">
        <f>Positions[[#This Row],[Capital]]*Positions[[#This Row],[Evolution du capital par jour en %]]%</f>
        <v>89.262471831081356</v>
      </c>
      <c r="I137" s="46">
        <f>ROUND((((Positions[[#This Row],[Capital]]*Positions[[#This Row],[Evolution du capital par jour en %]]%)/('[2]Simulateur Calculatrice Pos.'!$E$15*'[2]Simulateur Calculatrice Pos.'!$E$24))/'[2]Simulateur Calculatrice Pos.'!$E$21),0)</f>
        <v>7</v>
      </c>
      <c r="J137" s="47">
        <f>IFERROR(IF(D137=5,((Positions[[#This Row],[Capital]]-F133)-K137),0),)</f>
        <v>0</v>
      </c>
      <c r="K137" s="48">
        <f>IFERROR(IF(D137=5,IF($B$6="Aucun retrait",0,IF($B$6=75%,(Positions[[#This Row],[Capital]]-F133)*75%)),0),)</f>
        <v>0</v>
      </c>
    </row>
    <row r="138" spans="4:11" ht="15.75" x14ac:dyDescent="0.25">
      <c r="D138" s="32">
        <f>WEEKDAY(Positions[[#This Row],[Jous / Séances de trading]],2)</f>
        <v>3</v>
      </c>
      <c r="E138" s="49">
        <f t="shared" si="4"/>
        <v>44531</v>
      </c>
      <c r="F138" s="50">
        <f t="shared" si="5"/>
        <v>4552.3860633851491</v>
      </c>
      <c r="G138" s="44">
        <f>'[2]Simulateur Calculatrice Pos.'!$E$35</f>
        <v>2</v>
      </c>
      <c r="H138" s="45">
        <f>Positions[[#This Row],[Capital]]*Positions[[#This Row],[Evolution du capital par jour en %]]%</f>
        <v>91.047721267702983</v>
      </c>
      <c r="I138" s="46">
        <f>ROUND((((Positions[[#This Row],[Capital]]*Positions[[#This Row],[Evolution du capital par jour en %]]%)/('[2]Simulateur Calculatrice Pos.'!$E$15*'[2]Simulateur Calculatrice Pos.'!$E$24))/'[2]Simulateur Calculatrice Pos.'!$E$21),0)</f>
        <v>8</v>
      </c>
      <c r="J138" s="47">
        <f>IFERROR(IF(D138=5,((Positions[[#This Row],[Capital]]-F134)-K138),0),)</f>
        <v>0</v>
      </c>
      <c r="K138" s="48">
        <f>IFERROR(IF(D138=5,IF($B$6="Aucun retrait",0,IF($B$6=75%,(Positions[[#This Row],[Capital]]-F134)*75%)),0),)</f>
        <v>0</v>
      </c>
    </row>
    <row r="139" spans="4:11" ht="15.75" x14ac:dyDescent="0.25">
      <c r="D139" s="32">
        <f>WEEKDAY(Positions[[#This Row],[Jous / Séances de trading]],2)</f>
        <v>4</v>
      </c>
      <c r="E139" s="49">
        <f t="shared" si="4"/>
        <v>44532</v>
      </c>
      <c r="F139" s="50">
        <f t="shared" si="5"/>
        <v>4643.4337846528524</v>
      </c>
      <c r="G139" s="44">
        <f>'[2]Simulateur Calculatrice Pos.'!$E$35</f>
        <v>2</v>
      </c>
      <c r="H139" s="45">
        <f>Positions[[#This Row],[Capital]]*Positions[[#This Row],[Evolution du capital par jour en %]]%</f>
        <v>92.868675693057057</v>
      </c>
      <c r="I139" s="46">
        <f>ROUND((((Positions[[#This Row],[Capital]]*Positions[[#This Row],[Evolution du capital par jour en %]]%)/('[2]Simulateur Calculatrice Pos.'!$E$15*'[2]Simulateur Calculatrice Pos.'!$E$24))/'[2]Simulateur Calculatrice Pos.'!$E$21),0)</f>
        <v>8</v>
      </c>
      <c r="J139" s="47">
        <f>IFERROR(IF(D139=5,((Positions[[#This Row],[Capital]]-F135)-K139),0),)</f>
        <v>0</v>
      </c>
      <c r="K139" s="48">
        <f>IFERROR(IF(D139=5,IF($B$6="Aucun retrait",0,IF($B$6=75%,(Positions[[#This Row],[Capital]]-F135)*75%)),0),)</f>
        <v>0</v>
      </c>
    </row>
    <row r="140" spans="4:11" ht="15.75" x14ac:dyDescent="0.25">
      <c r="D140" s="32">
        <f>WEEKDAY(Positions[[#This Row],[Jous / Séances de trading]],2)</f>
        <v>5</v>
      </c>
      <c r="E140" s="49">
        <f t="shared" si="4"/>
        <v>44533</v>
      </c>
      <c r="F140" s="50">
        <f t="shared" si="5"/>
        <v>4736.3024603459098</v>
      </c>
      <c r="G140" s="44">
        <f>'[2]Simulateur Calculatrice Pos.'!$E$35</f>
        <v>2</v>
      </c>
      <c r="H140" s="45">
        <f>Positions[[#This Row],[Capital]]*Positions[[#This Row],[Evolution du capital par jour en %]]%</f>
        <v>94.726049206918205</v>
      </c>
      <c r="I140" s="46">
        <f>ROUND((((Positions[[#This Row],[Capital]]*Positions[[#This Row],[Evolution du capital par jour en %]]%)/('[2]Simulateur Calculatrice Pos.'!$E$15*'[2]Simulateur Calculatrice Pos.'!$E$24))/'[2]Simulateur Calculatrice Pos.'!$E$21),0)</f>
        <v>8</v>
      </c>
      <c r="J140" s="47">
        <f>IFERROR(IF(D140=5,((Positions[[#This Row],[Capital]]-F136)-K140),0),)</f>
        <v>90.172774019304143</v>
      </c>
      <c r="K140" s="48">
        <f>IFERROR(IF(D140=5,IF($B$6="Aucun retrait",0,IF($B$6=75%,(Positions[[#This Row],[Capital]]-F136)*75%)),0),)</f>
        <v>270.51832205791243</v>
      </c>
    </row>
    <row r="141" spans="4:11" ht="15.75" x14ac:dyDescent="0.25">
      <c r="D141" s="32">
        <f>WEEKDAY(Positions[[#This Row],[Jous / Séances de trading]],2)</f>
        <v>1</v>
      </c>
      <c r="E141" s="49">
        <f t="shared" si="4"/>
        <v>44536</v>
      </c>
      <c r="F141" s="50">
        <f t="shared" si="5"/>
        <v>4560.510187494916</v>
      </c>
      <c r="G141" s="44">
        <f>'[2]Simulateur Calculatrice Pos.'!$E$35</f>
        <v>2</v>
      </c>
      <c r="H141" s="45">
        <f>Positions[[#This Row],[Capital]]*Positions[[#This Row],[Evolution du capital par jour en %]]%</f>
        <v>91.210203749898326</v>
      </c>
      <c r="I141" s="46">
        <f>ROUND((((Positions[[#This Row],[Capital]]*Positions[[#This Row],[Evolution du capital par jour en %]]%)/('[2]Simulateur Calculatrice Pos.'!$E$15*'[2]Simulateur Calculatrice Pos.'!$E$24))/'[2]Simulateur Calculatrice Pos.'!$E$21),0)</f>
        <v>8</v>
      </c>
      <c r="J141" s="47">
        <f>IFERROR(IF(D141=5,((Positions[[#This Row],[Capital]]-F137)-K141),0),)</f>
        <v>0</v>
      </c>
      <c r="K141" s="48">
        <f>IFERROR(IF(D141=5,IF($B$6="Aucun retrait",0,IF($B$6=75%,(Positions[[#This Row],[Capital]]-F137)*75%)),0),)</f>
        <v>0</v>
      </c>
    </row>
    <row r="142" spans="4:11" ht="15.75" x14ac:dyDescent="0.25">
      <c r="D142" s="32">
        <f>WEEKDAY(Positions[[#This Row],[Jous / Séances de trading]],2)</f>
        <v>2</v>
      </c>
      <c r="E142" s="49">
        <f t="shared" si="4"/>
        <v>44537</v>
      </c>
      <c r="F142" s="50">
        <f t="shared" si="5"/>
        <v>4651.720391244814</v>
      </c>
      <c r="G142" s="44">
        <f>'[2]Simulateur Calculatrice Pos.'!$E$35</f>
        <v>2</v>
      </c>
      <c r="H142" s="45">
        <f>Positions[[#This Row],[Capital]]*Positions[[#This Row],[Evolution du capital par jour en %]]%</f>
        <v>93.034407824896277</v>
      </c>
      <c r="I142" s="46">
        <f>ROUND((((Positions[[#This Row],[Capital]]*Positions[[#This Row],[Evolution du capital par jour en %]]%)/('[2]Simulateur Calculatrice Pos.'!$E$15*'[2]Simulateur Calculatrice Pos.'!$E$24))/'[2]Simulateur Calculatrice Pos.'!$E$21),0)</f>
        <v>8</v>
      </c>
      <c r="J142" s="47">
        <f>IFERROR(IF(D142=5,((Positions[[#This Row],[Capital]]-F138)-K142),0),)</f>
        <v>0</v>
      </c>
      <c r="K142" s="48">
        <f>IFERROR(IF(D142=5,IF($B$6="Aucun retrait",0,IF($B$6=75%,(Positions[[#This Row],[Capital]]-F138)*75%)),0),)</f>
        <v>0</v>
      </c>
    </row>
    <row r="143" spans="4:11" ht="15.75" x14ac:dyDescent="0.25">
      <c r="D143" s="32">
        <f>WEEKDAY(Positions[[#This Row],[Jous / Séances de trading]],2)</f>
        <v>3</v>
      </c>
      <c r="E143" s="49">
        <f t="shared" si="4"/>
        <v>44538</v>
      </c>
      <c r="F143" s="50">
        <f t="shared" si="5"/>
        <v>4744.7547990697103</v>
      </c>
      <c r="G143" s="44">
        <f>'[2]Simulateur Calculatrice Pos.'!$E$35</f>
        <v>2</v>
      </c>
      <c r="H143" s="45">
        <f>Positions[[#This Row],[Capital]]*Positions[[#This Row],[Evolution du capital par jour en %]]%</f>
        <v>94.895095981394206</v>
      </c>
      <c r="I143" s="46">
        <f>ROUND((((Positions[[#This Row],[Capital]]*Positions[[#This Row],[Evolution du capital par jour en %]]%)/('[2]Simulateur Calculatrice Pos.'!$E$15*'[2]Simulateur Calculatrice Pos.'!$E$24))/'[2]Simulateur Calculatrice Pos.'!$E$21),0)</f>
        <v>8</v>
      </c>
      <c r="J143" s="47">
        <f>IFERROR(IF(D143=5,((Positions[[#This Row],[Capital]]-F139)-K143),0),)</f>
        <v>0</v>
      </c>
      <c r="K143" s="48">
        <f>IFERROR(IF(D143=5,IF($B$6="Aucun retrait",0,IF($B$6=75%,(Positions[[#This Row],[Capital]]-F139)*75%)),0),)</f>
        <v>0</v>
      </c>
    </row>
    <row r="144" spans="4:11" ht="15.75" x14ac:dyDescent="0.25">
      <c r="D144" s="32">
        <f>WEEKDAY(Positions[[#This Row],[Jous / Séances de trading]],2)</f>
        <v>4</v>
      </c>
      <c r="E144" s="49">
        <f t="shared" si="4"/>
        <v>44539</v>
      </c>
      <c r="F144" s="50">
        <f t="shared" si="5"/>
        <v>4839.649895051105</v>
      </c>
      <c r="G144" s="44">
        <f>'[2]Simulateur Calculatrice Pos.'!$E$35</f>
        <v>2</v>
      </c>
      <c r="H144" s="45">
        <f>Positions[[#This Row],[Capital]]*Positions[[#This Row],[Evolution du capital par jour en %]]%</f>
        <v>96.792997901022105</v>
      </c>
      <c r="I144" s="46">
        <f>ROUND((((Positions[[#This Row],[Capital]]*Positions[[#This Row],[Evolution du capital par jour en %]]%)/('[2]Simulateur Calculatrice Pos.'!$E$15*'[2]Simulateur Calculatrice Pos.'!$E$24))/'[2]Simulateur Calculatrice Pos.'!$E$21),0)</f>
        <v>8</v>
      </c>
      <c r="J144" s="47">
        <f>IFERROR(IF(D144=5,((Positions[[#This Row],[Capital]]-F140)-K144),0),)</f>
        <v>0</v>
      </c>
      <c r="K144" s="48">
        <f>IFERROR(IF(D144=5,IF($B$6="Aucun retrait",0,IF($B$6=75%,(Positions[[#This Row],[Capital]]-F140)*75%)),0),)</f>
        <v>0</v>
      </c>
    </row>
    <row r="145" spans="4:11" ht="15.75" x14ac:dyDescent="0.25">
      <c r="D145" s="32">
        <f>WEEKDAY(Positions[[#This Row],[Jous / Séances de trading]],2)</f>
        <v>5</v>
      </c>
      <c r="E145" s="49">
        <f t="shared" si="4"/>
        <v>44540</v>
      </c>
      <c r="F145" s="50">
        <f t="shared" si="5"/>
        <v>4936.4428929521273</v>
      </c>
      <c r="G145" s="44">
        <f>'[2]Simulateur Calculatrice Pos.'!$E$35</f>
        <v>2</v>
      </c>
      <c r="H145" s="45">
        <f>Positions[[#This Row],[Capital]]*Positions[[#This Row],[Evolution du capital par jour en %]]%</f>
        <v>98.728857859042549</v>
      </c>
      <c r="I145" s="46">
        <f>ROUND((((Positions[[#This Row],[Capital]]*Positions[[#This Row],[Evolution du capital par jour en %]]%)/('[2]Simulateur Calculatrice Pos.'!$E$15*'[2]Simulateur Calculatrice Pos.'!$E$24))/'[2]Simulateur Calculatrice Pos.'!$E$21),0)</f>
        <v>8</v>
      </c>
      <c r="J145" s="47">
        <f>IFERROR(IF(D145=5,((Positions[[#This Row],[Capital]]-F141)-K145),0),)</f>
        <v>93.983176364302835</v>
      </c>
      <c r="K145" s="48">
        <f>IFERROR(IF(D145=5,IF($B$6="Aucun retrait",0,IF($B$6=75%,(Positions[[#This Row],[Capital]]-F141)*75%)),0),)</f>
        <v>281.94952909290851</v>
      </c>
    </row>
    <row r="146" spans="4:11" ht="15.75" x14ac:dyDescent="0.25">
      <c r="D146" s="32">
        <f>WEEKDAY(Positions[[#This Row],[Jous / Séances de trading]],2)</f>
        <v>1</v>
      </c>
      <c r="E146" s="49">
        <f t="shared" si="4"/>
        <v>44543</v>
      </c>
      <c r="F146" s="50">
        <f t="shared" si="5"/>
        <v>4753.2222217182607</v>
      </c>
      <c r="G146" s="44">
        <f>'[2]Simulateur Calculatrice Pos.'!$E$35</f>
        <v>2</v>
      </c>
      <c r="H146" s="45">
        <f>Positions[[#This Row],[Capital]]*Positions[[#This Row],[Evolution du capital par jour en %]]%</f>
        <v>95.064444434365214</v>
      </c>
      <c r="I146" s="46">
        <f>ROUND((((Positions[[#This Row],[Capital]]*Positions[[#This Row],[Evolution du capital par jour en %]]%)/('[2]Simulateur Calculatrice Pos.'!$E$15*'[2]Simulateur Calculatrice Pos.'!$E$24))/'[2]Simulateur Calculatrice Pos.'!$E$21),0)</f>
        <v>8</v>
      </c>
      <c r="J146" s="47">
        <f>IFERROR(IF(D146=5,((Positions[[#This Row],[Capital]]-F142)-K146),0),)</f>
        <v>0</v>
      </c>
      <c r="K146" s="48">
        <f>IFERROR(IF(D146=5,IF($B$6="Aucun retrait",0,IF($B$6=75%,(Positions[[#This Row],[Capital]]-F142)*75%)),0),)</f>
        <v>0</v>
      </c>
    </row>
    <row r="147" spans="4:11" ht="15.75" x14ac:dyDescent="0.25">
      <c r="D147" s="32">
        <f>WEEKDAY(Positions[[#This Row],[Jous / Séances de trading]],2)</f>
        <v>2</v>
      </c>
      <c r="E147" s="49">
        <f t="shared" si="4"/>
        <v>44544</v>
      </c>
      <c r="F147" s="50">
        <f t="shared" si="5"/>
        <v>4848.2866661526259</v>
      </c>
      <c r="G147" s="44">
        <f>'[2]Simulateur Calculatrice Pos.'!$E$35</f>
        <v>2</v>
      </c>
      <c r="H147" s="45">
        <f>Positions[[#This Row],[Capital]]*Positions[[#This Row],[Evolution du capital par jour en %]]%</f>
        <v>96.965733323052518</v>
      </c>
      <c r="I147" s="46">
        <f>ROUND((((Positions[[#This Row],[Capital]]*Positions[[#This Row],[Evolution du capital par jour en %]]%)/('[2]Simulateur Calculatrice Pos.'!$E$15*'[2]Simulateur Calculatrice Pos.'!$E$24))/'[2]Simulateur Calculatrice Pos.'!$E$21),0)</f>
        <v>8</v>
      </c>
      <c r="J147" s="47">
        <f>IFERROR(IF(D147=5,((Positions[[#This Row],[Capital]]-F143)-K147),0),)</f>
        <v>0</v>
      </c>
      <c r="K147" s="48">
        <f>IFERROR(IF(D147=5,IF($B$6="Aucun retrait",0,IF($B$6=75%,(Positions[[#This Row],[Capital]]-F143)*75%)),0),)</f>
        <v>0</v>
      </c>
    </row>
    <row r="148" spans="4:11" ht="15.75" x14ac:dyDescent="0.25">
      <c r="D148" s="32">
        <f>WEEKDAY(Positions[[#This Row],[Jous / Séances de trading]],2)</f>
        <v>3</v>
      </c>
      <c r="E148" s="49">
        <f t="shared" si="4"/>
        <v>44545</v>
      </c>
      <c r="F148" s="50">
        <f t="shared" si="5"/>
        <v>4945.2523994756784</v>
      </c>
      <c r="G148" s="44">
        <f>'[2]Simulateur Calculatrice Pos.'!$E$35</f>
        <v>2</v>
      </c>
      <c r="H148" s="45">
        <f>Positions[[#This Row],[Capital]]*Positions[[#This Row],[Evolution du capital par jour en %]]%</f>
        <v>98.905047989513577</v>
      </c>
      <c r="I148" s="46">
        <f>ROUND((((Positions[[#This Row],[Capital]]*Positions[[#This Row],[Evolution du capital par jour en %]]%)/('[2]Simulateur Calculatrice Pos.'!$E$15*'[2]Simulateur Calculatrice Pos.'!$E$24))/'[2]Simulateur Calculatrice Pos.'!$E$21),0)</f>
        <v>8</v>
      </c>
      <c r="J148" s="47">
        <f>IFERROR(IF(D148=5,((Positions[[#This Row],[Capital]]-F144)-K148),0),)</f>
        <v>0</v>
      </c>
      <c r="K148" s="48">
        <f>IFERROR(IF(D148=5,IF($B$6="Aucun retrait",0,IF($B$6=75%,(Positions[[#This Row],[Capital]]-F144)*75%)),0),)</f>
        <v>0</v>
      </c>
    </row>
    <row r="149" spans="4:11" ht="15.75" x14ac:dyDescent="0.25">
      <c r="D149" s="32">
        <f>WEEKDAY(Positions[[#This Row],[Jous / Séances de trading]],2)</f>
        <v>4</v>
      </c>
      <c r="E149" s="49">
        <f t="shared" si="4"/>
        <v>44546</v>
      </c>
      <c r="F149" s="50">
        <f t="shared" si="5"/>
        <v>5044.1574474651916</v>
      </c>
      <c r="G149" s="44">
        <f>'[2]Simulateur Calculatrice Pos.'!$E$35</f>
        <v>2</v>
      </c>
      <c r="H149" s="45">
        <f>Positions[[#This Row],[Capital]]*Positions[[#This Row],[Evolution du capital par jour en %]]%</f>
        <v>100.88314894930383</v>
      </c>
      <c r="I149" s="46">
        <f>ROUND((((Positions[[#This Row],[Capital]]*Positions[[#This Row],[Evolution du capital par jour en %]]%)/('[2]Simulateur Calculatrice Pos.'!$E$15*'[2]Simulateur Calculatrice Pos.'!$E$24))/'[2]Simulateur Calculatrice Pos.'!$E$21),0)</f>
        <v>8</v>
      </c>
      <c r="J149" s="47">
        <f>IFERROR(IF(D149=5,((Positions[[#This Row],[Capital]]-F145)-K149),0),)</f>
        <v>0</v>
      </c>
      <c r="K149" s="48">
        <f>IFERROR(IF(D149=5,IF($B$6="Aucun retrait",0,IF($B$6=75%,(Positions[[#This Row],[Capital]]-F145)*75%)),0),)</f>
        <v>0</v>
      </c>
    </row>
    <row r="150" spans="4:11" ht="15.75" x14ac:dyDescent="0.25">
      <c r="D150" s="32">
        <f>WEEKDAY(Positions[[#This Row],[Jous / Séances de trading]],2)</f>
        <v>5</v>
      </c>
      <c r="E150" s="49">
        <f t="shared" si="4"/>
        <v>44547</v>
      </c>
      <c r="F150" s="50">
        <f t="shared" si="5"/>
        <v>5145.0405964144957</v>
      </c>
      <c r="G150" s="44">
        <f>'[2]Simulateur Calculatrice Pos.'!$E$35</f>
        <v>2</v>
      </c>
      <c r="H150" s="45">
        <f>Positions[[#This Row],[Capital]]*Positions[[#This Row],[Evolution du capital par jour en %]]%</f>
        <v>102.90081192828991</v>
      </c>
      <c r="I150" s="46">
        <f>ROUND((((Positions[[#This Row],[Capital]]*Positions[[#This Row],[Evolution du capital par jour en %]]%)/('[2]Simulateur Calculatrice Pos.'!$E$15*'[2]Simulateur Calculatrice Pos.'!$E$24))/'[2]Simulateur Calculatrice Pos.'!$E$21),0)</f>
        <v>9</v>
      </c>
      <c r="J150" s="47">
        <f>IFERROR(IF(D150=5,((Positions[[#This Row],[Capital]]-F146)-K150),0),)</f>
        <v>97.954593674058742</v>
      </c>
      <c r="K150" s="48">
        <f>IFERROR(IF(D150=5,IF($B$6="Aucun retrait",0,IF($B$6=75%,(Positions[[#This Row],[Capital]]-F146)*75%)),0),)</f>
        <v>293.86378102217623</v>
      </c>
    </row>
    <row r="151" spans="4:11" ht="15.75" x14ac:dyDescent="0.25">
      <c r="D151" s="32">
        <f>WEEKDAY(Positions[[#This Row],[Jous / Séances de trading]],2)</f>
        <v>1</v>
      </c>
      <c r="E151" s="49">
        <f t="shared" si="4"/>
        <v>44550</v>
      </c>
      <c r="F151" s="50">
        <f t="shared" si="5"/>
        <v>4954.0776273206093</v>
      </c>
      <c r="G151" s="44">
        <f>'[2]Simulateur Calculatrice Pos.'!$E$35</f>
        <v>2</v>
      </c>
      <c r="H151" s="45">
        <f>Positions[[#This Row],[Capital]]*Positions[[#This Row],[Evolution du capital par jour en %]]%</f>
        <v>99.081552546412183</v>
      </c>
      <c r="I151" s="46">
        <f>ROUND((((Positions[[#This Row],[Capital]]*Positions[[#This Row],[Evolution du capital par jour en %]]%)/('[2]Simulateur Calculatrice Pos.'!$E$15*'[2]Simulateur Calculatrice Pos.'!$E$24))/'[2]Simulateur Calculatrice Pos.'!$E$21),0)</f>
        <v>8</v>
      </c>
      <c r="J151" s="47">
        <f>IFERROR(IF(D151=5,((Positions[[#This Row],[Capital]]-F147)-K151),0),)</f>
        <v>0</v>
      </c>
      <c r="K151" s="48">
        <f>IFERROR(IF(D151=5,IF($B$6="Aucun retrait",0,IF($B$6=75%,(Positions[[#This Row],[Capital]]-F147)*75%)),0),)</f>
        <v>0</v>
      </c>
    </row>
    <row r="152" spans="4:11" ht="15.75" x14ac:dyDescent="0.25">
      <c r="D152" s="32">
        <f>WEEKDAY(Positions[[#This Row],[Jous / Séances de trading]],2)</f>
        <v>2</v>
      </c>
      <c r="E152" s="49">
        <f t="shared" si="4"/>
        <v>44551</v>
      </c>
      <c r="F152" s="50">
        <f t="shared" si="5"/>
        <v>5053.1591798670215</v>
      </c>
      <c r="G152" s="44">
        <f>'[2]Simulateur Calculatrice Pos.'!$E$35</f>
        <v>2</v>
      </c>
      <c r="H152" s="45">
        <f>Positions[[#This Row],[Capital]]*Positions[[#This Row],[Evolution du capital par jour en %]]%</f>
        <v>101.06318359734043</v>
      </c>
      <c r="I152" s="46">
        <f>ROUND((((Positions[[#This Row],[Capital]]*Positions[[#This Row],[Evolution du capital par jour en %]]%)/('[2]Simulateur Calculatrice Pos.'!$E$15*'[2]Simulateur Calculatrice Pos.'!$E$24))/'[2]Simulateur Calculatrice Pos.'!$E$21),0)</f>
        <v>8</v>
      </c>
      <c r="J152" s="47">
        <f>IFERROR(IF(D152=5,((Positions[[#This Row],[Capital]]-F148)-K152),0),)</f>
        <v>0</v>
      </c>
      <c r="K152" s="48">
        <f>IFERROR(IF(D152=5,IF($B$6="Aucun retrait",0,IF($B$6=75%,(Positions[[#This Row],[Capital]]-F148)*75%)),0),)</f>
        <v>0</v>
      </c>
    </row>
    <row r="153" spans="4:11" ht="15.75" x14ac:dyDescent="0.25">
      <c r="D153" s="32">
        <f>WEEKDAY(Positions[[#This Row],[Jous / Séances de trading]],2)</f>
        <v>3</v>
      </c>
      <c r="E153" s="49">
        <f t="shared" si="4"/>
        <v>44552</v>
      </c>
      <c r="F153" s="50">
        <f t="shared" si="5"/>
        <v>5154.2223634643624</v>
      </c>
      <c r="G153" s="44">
        <f>'[2]Simulateur Calculatrice Pos.'!$E$35</f>
        <v>2</v>
      </c>
      <c r="H153" s="45">
        <f>Positions[[#This Row],[Capital]]*Positions[[#This Row],[Evolution du capital par jour en %]]%</f>
        <v>103.08444726928725</v>
      </c>
      <c r="I153" s="46">
        <f>ROUND((((Positions[[#This Row],[Capital]]*Positions[[#This Row],[Evolution du capital par jour en %]]%)/('[2]Simulateur Calculatrice Pos.'!$E$15*'[2]Simulateur Calculatrice Pos.'!$E$24))/'[2]Simulateur Calculatrice Pos.'!$E$21),0)</f>
        <v>9</v>
      </c>
      <c r="J153" s="47">
        <f>IFERROR(IF(D153=5,((Positions[[#This Row],[Capital]]-F149)-K153),0),)</f>
        <v>0</v>
      </c>
      <c r="K153" s="48">
        <f>IFERROR(IF(D153=5,IF($B$6="Aucun retrait",0,IF($B$6=75%,(Positions[[#This Row],[Capital]]-F149)*75%)),0),)</f>
        <v>0</v>
      </c>
    </row>
    <row r="154" spans="4:11" ht="15.75" x14ac:dyDescent="0.25">
      <c r="D154" s="32">
        <f>WEEKDAY(Positions[[#This Row],[Jous / Séances de trading]],2)</f>
        <v>4</v>
      </c>
      <c r="E154" s="49">
        <f t="shared" si="4"/>
        <v>44553</v>
      </c>
      <c r="F154" s="50">
        <f t="shared" si="5"/>
        <v>5257.3068107336494</v>
      </c>
      <c r="G154" s="44">
        <f>'[2]Simulateur Calculatrice Pos.'!$E$35</f>
        <v>2</v>
      </c>
      <c r="H154" s="45">
        <f>Positions[[#This Row],[Capital]]*Positions[[#This Row],[Evolution du capital par jour en %]]%</f>
        <v>105.14613621467299</v>
      </c>
      <c r="I154" s="46">
        <f>ROUND((((Positions[[#This Row],[Capital]]*Positions[[#This Row],[Evolution du capital par jour en %]]%)/('[2]Simulateur Calculatrice Pos.'!$E$15*'[2]Simulateur Calculatrice Pos.'!$E$24))/'[2]Simulateur Calculatrice Pos.'!$E$21),0)</f>
        <v>9</v>
      </c>
      <c r="J154" s="47">
        <f>IFERROR(IF(D154=5,((Positions[[#This Row],[Capital]]-F150)-K154),0),)</f>
        <v>0</v>
      </c>
      <c r="K154" s="48">
        <f>IFERROR(IF(D154=5,IF($B$6="Aucun retrait",0,IF($B$6=75%,(Positions[[#This Row],[Capital]]-F150)*75%)),0),)</f>
        <v>0</v>
      </c>
    </row>
    <row r="155" spans="4:11" ht="15.75" x14ac:dyDescent="0.25">
      <c r="D155" s="32">
        <f>WEEKDAY(Positions[[#This Row],[Jous / Séances de trading]],2)</f>
        <v>5</v>
      </c>
      <c r="E155" s="49">
        <f t="shared" si="4"/>
        <v>44554</v>
      </c>
      <c r="F155" s="50">
        <f t="shared" si="5"/>
        <v>5362.4529469483223</v>
      </c>
      <c r="G155" s="44">
        <f>'[2]Simulateur Calculatrice Pos.'!$E$35</f>
        <v>2</v>
      </c>
      <c r="H155" s="45">
        <f>Positions[[#This Row],[Capital]]*Positions[[#This Row],[Evolution du capital par jour en %]]%</f>
        <v>107.24905893896644</v>
      </c>
      <c r="I155" s="46">
        <f>ROUND((((Positions[[#This Row],[Capital]]*Positions[[#This Row],[Evolution du capital par jour en %]]%)/('[2]Simulateur Calculatrice Pos.'!$E$15*'[2]Simulateur Calculatrice Pos.'!$E$24))/'[2]Simulateur Calculatrice Pos.'!$E$21),0)</f>
        <v>9</v>
      </c>
      <c r="J155" s="47">
        <f>IFERROR(IF(D155=5,((Positions[[#This Row],[Capital]]-F151)-K155),0),)</f>
        <v>102.09382990692825</v>
      </c>
      <c r="K155" s="48">
        <f>IFERROR(IF(D155=5,IF($B$6="Aucun retrait",0,IF($B$6=75%,(Positions[[#This Row],[Capital]]-F151)*75%)),0),)</f>
        <v>306.28148972078475</v>
      </c>
    </row>
    <row r="156" spans="4:11" ht="15.75" x14ac:dyDescent="0.25">
      <c r="D156" s="32">
        <f>WEEKDAY(Positions[[#This Row],[Jous / Séances de trading]],2)</f>
        <v>1</v>
      </c>
      <c r="E156" s="49">
        <f t="shared" si="4"/>
        <v>44557</v>
      </c>
      <c r="F156" s="50">
        <f t="shared" si="5"/>
        <v>5163.4205161665041</v>
      </c>
      <c r="G156" s="44">
        <f>'[2]Simulateur Calculatrice Pos.'!$E$35</f>
        <v>2</v>
      </c>
      <c r="H156" s="45">
        <f>Positions[[#This Row],[Capital]]*Positions[[#This Row],[Evolution du capital par jour en %]]%</f>
        <v>103.26841032333009</v>
      </c>
      <c r="I156" s="46">
        <f>ROUND((((Positions[[#This Row],[Capital]]*Positions[[#This Row],[Evolution du capital par jour en %]]%)/('[2]Simulateur Calculatrice Pos.'!$E$15*'[2]Simulateur Calculatrice Pos.'!$E$24))/'[2]Simulateur Calculatrice Pos.'!$E$21),0)</f>
        <v>9</v>
      </c>
      <c r="J156" s="47">
        <f>IFERROR(IF(D156=5,((Positions[[#This Row],[Capital]]-F152)-K156),0),)</f>
        <v>0</v>
      </c>
      <c r="K156" s="48">
        <f>IFERROR(IF(D156=5,IF($B$6="Aucun retrait",0,IF($B$6=75%,(Positions[[#This Row],[Capital]]-F152)*75%)),0),)</f>
        <v>0</v>
      </c>
    </row>
    <row r="157" spans="4:11" ht="15.75" x14ac:dyDescent="0.25">
      <c r="D157" s="32">
        <f>WEEKDAY(Positions[[#This Row],[Jous / Séances de trading]],2)</f>
        <v>2</v>
      </c>
      <c r="E157" s="49">
        <f t="shared" si="4"/>
        <v>44558</v>
      </c>
      <c r="F157" s="50">
        <f t="shared" si="5"/>
        <v>5266.6889264898346</v>
      </c>
      <c r="G157" s="44">
        <f>'[2]Simulateur Calculatrice Pos.'!$E$35</f>
        <v>2</v>
      </c>
      <c r="H157" s="45">
        <f>Positions[[#This Row],[Capital]]*Positions[[#This Row],[Evolution du capital par jour en %]]%</f>
        <v>105.33377852979669</v>
      </c>
      <c r="I157" s="46">
        <f>ROUND((((Positions[[#This Row],[Capital]]*Positions[[#This Row],[Evolution du capital par jour en %]]%)/('[2]Simulateur Calculatrice Pos.'!$E$15*'[2]Simulateur Calculatrice Pos.'!$E$24))/'[2]Simulateur Calculatrice Pos.'!$E$21),0)</f>
        <v>9</v>
      </c>
      <c r="J157" s="47">
        <f>IFERROR(IF(D157=5,((Positions[[#This Row],[Capital]]-F153)-K157),0),)</f>
        <v>0</v>
      </c>
      <c r="K157" s="48">
        <f>IFERROR(IF(D157=5,IF($B$6="Aucun retrait",0,IF($B$6=75%,(Positions[[#This Row],[Capital]]-F153)*75%)),0),)</f>
        <v>0</v>
      </c>
    </row>
    <row r="158" spans="4:11" ht="15.75" x14ac:dyDescent="0.25">
      <c r="D158" s="32">
        <f>WEEKDAY(Positions[[#This Row],[Jous / Séances de trading]],2)</f>
        <v>3</v>
      </c>
      <c r="E158" s="49">
        <f t="shared" si="4"/>
        <v>44559</v>
      </c>
      <c r="F158" s="50">
        <f t="shared" si="5"/>
        <v>5372.0227050196308</v>
      </c>
      <c r="G158" s="44">
        <f>'[2]Simulateur Calculatrice Pos.'!$E$35</f>
        <v>2</v>
      </c>
      <c r="H158" s="45">
        <f>Positions[[#This Row],[Capital]]*Positions[[#This Row],[Evolution du capital par jour en %]]%</f>
        <v>107.44045410039261</v>
      </c>
      <c r="I158" s="46">
        <f>ROUND((((Positions[[#This Row],[Capital]]*Positions[[#This Row],[Evolution du capital par jour en %]]%)/('[2]Simulateur Calculatrice Pos.'!$E$15*'[2]Simulateur Calculatrice Pos.'!$E$24))/'[2]Simulateur Calculatrice Pos.'!$E$21),0)</f>
        <v>9</v>
      </c>
      <c r="J158" s="47">
        <f>IFERROR(IF(D158=5,((Positions[[#This Row],[Capital]]-F154)-K158),0),)</f>
        <v>0</v>
      </c>
      <c r="K158" s="48">
        <f>IFERROR(IF(D158=5,IF($B$6="Aucun retrait",0,IF($B$6=75%,(Positions[[#This Row],[Capital]]-F154)*75%)),0),)</f>
        <v>0</v>
      </c>
    </row>
    <row r="159" spans="4:11" ht="15.75" x14ac:dyDescent="0.25">
      <c r="D159" s="32">
        <f>WEEKDAY(Positions[[#This Row],[Jous / Séances de trading]],2)</f>
        <v>4</v>
      </c>
      <c r="E159" s="49">
        <f t="shared" si="4"/>
        <v>44560</v>
      </c>
      <c r="F159" s="50">
        <f t="shared" si="5"/>
        <v>5479.4631591200232</v>
      </c>
      <c r="G159" s="44">
        <f>'[2]Simulateur Calculatrice Pos.'!$E$35</f>
        <v>2</v>
      </c>
      <c r="H159" s="45">
        <f>Positions[[#This Row],[Capital]]*Positions[[#This Row],[Evolution du capital par jour en %]]%</f>
        <v>109.58926318240047</v>
      </c>
      <c r="I159" s="46">
        <f>ROUND((((Positions[[#This Row],[Capital]]*Positions[[#This Row],[Evolution du capital par jour en %]]%)/('[2]Simulateur Calculatrice Pos.'!$E$15*'[2]Simulateur Calculatrice Pos.'!$E$24))/'[2]Simulateur Calculatrice Pos.'!$E$21),0)</f>
        <v>9</v>
      </c>
      <c r="J159" s="47">
        <f>IFERROR(IF(D159=5,((Positions[[#This Row],[Capital]]-F155)-K159),0),)</f>
        <v>0</v>
      </c>
      <c r="K159" s="48">
        <f>IFERROR(IF(D159=5,IF($B$6="Aucun retrait",0,IF($B$6=75%,(Positions[[#This Row],[Capital]]-F155)*75%)),0),)</f>
        <v>0</v>
      </c>
    </row>
    <row r="160" spans="4:11" ht="15.75" x14ac:dyDescent="0.25">
      <c r="D160" s="32">
        <f>WEEKDAY(Positions[[#This Row],[Jous / Séances de trading]],2)</f>
        <v>5</v>
      </c>
      <c r="E160" s="49">
        <f t="shared" si="4"/>
        <v>44561</v>
      </c>
      <c r="F160" s="50">
        <f t="shared" si="5"/>
        <v>5589.052422302424</v>
      </c>
      <c r="G160" s="44">
        <f>'[2]Simulateur Calculatrice Pos.'!$E$35</f>
        <v>2</v>
      </c>
      <c r="H160" s="45">
        <f>Positions[[#This Row],[Capital]]*Positions[[#This Row],[Evolution du capital par jour en %]]%</f>
        <v>111.78104844604849</v>
      </c>
      <c r="I160" s="46">
        <f>ROUND((((Positions[[#This Row],[Capital]]*Positions[[#This Row],[Evolution du capital par jour en %]]%)/('[2]Simulateur Calculatrice Pos.'!$E$15*'[2]Simulateur Calculatrice Pos.'!$E$24))/'[2]Simulateur Calculatrice Pos.'!$E$21),0)</f>
        <v>9</v>
      </c>
      <c r="J160" s="47">
        <f>IFERROR(IF(D160=5,((Positions[[#This Row],[Capital]]-F156)-K160),0),)</f>
        <v>106.40797653397999</v>
      </c>
      <c r="K160" s="48">
        <f>IFERROR(IF(D160=5,IF($B$6="Aucun retrait",0,IF($B$6=75%,(Positions[[#This Row],[Capital]]-F156)*75%)),0),)</f>
        <v>319.22392960193997</v>
      </c>
    </row>
    <row r="161" spans="4:11" ht="15.75" x14ac:dyDescent="0.25">
      <c r="D161" s="32">
        <f>WEEKDAY(Positions[[#This Row],[Jous / Séances de trading]],2)</f>
        <v>1</v>
      </c>
      <c r="E161" s="49">
        <f t="shared" si="4"/>
        <v>44564</v>
      </c>
      <c r="F161" s="50">
        <f t="shared" si="5"/>
        <v>5381.609541146533</v>
      </c>
      <c r="G161" s="44">
        <f>'[2]Simulateur Calculatrice Pos.'!$E$35</f>
        <v>2</v>
      </c>
      <c r="H161" s="45">
        <f>Positions[[#This Row],[Capital]]*Positions[[#This Row],[Evolution du capital par jour en %]]%</f>
        <v>107.63219082293067</v>
      </c>
      <c r="I161" s="46">
        <f>ROUND((((Positions[[#This Row],[Capital]]*Positions[[#This Row],[Evolution du capital par jour en %]]%)/('[2]Simulateur Calculatrice Pos.'!$E$15*'[2]Simulateur Calculatrice Pos.'!$E$24))/'[2]Simulateur Calculatrice Pos.'!$E$21),0)</f>
        <v>9</v>
      </c>
      <c r="J161" s="47">
        <f>IFERROR(IF(D161=5,((Positions[[#This Row],[Capital]]-F157)-K161),0),)</f>
        <v>0</v>
      </c>
      <c r="K161" s="48">
        <f>IFERROR(IF(D161=5,IF($B$6="Aucun retrait",0,IF($B$6=75%,(Positions[[#This Row],[Capital]]-F157)*75%)),0),)</f>
        <v>0</v>
      </c>
    </row>
    <row r="162" spans="4:11" ht="15.75" x14ac:dyDescent="0.25">
      <c r="D162" s="32">
        <f>WEEKDAY(Positions[[#This Row],[Jous / Séances de trading]],2)</f>
        <v>2</v>
      </c>
      <c r="E162" s="49">
        <f t="shared" si="4"/>
        <v>44565</v>
      </c>
      <c r="F162" s="50">
        <f t="shared" si="5"/>
        <v>5489.2417319694641</v>
      </c>
      <c r="G162" s="44">
        <f>'[2]Simulateur Calculatrice Pos.'!$E$35</f>
        <v>2</v>
      </c>
      <c r="H162" s="45">
        <f>Positions[[#This Row],[Capital]]*Positions[[#This Row],[Evolution du capital par jour en %]]%</f>
        <v>109.78483463938929</v>
      </c>
      <c r="I162" s="46">
        <f>ROUND((((Positions[[#This Row],[Capital]]*Positions[[#This Row],[Evolution du capital par jour en %]]%)/('[2]Simulateur Calculatrice Pos.'!$E$15*'[2]Simulateur Calculatrice Pos.'!$E$24))/'[2]Simulateur Calculatrice Pos.'!$E$21),0)</f>
        <v>9</v>
      </c>
      <c r="J162" s="47">
        <f>IFERROR(IF(D162=5,((Positions[[#This Row],[Capital]]-F158)-K162),0),)</f>
        <v>0</v>
      </c>
      <c r="K162" s="48">
        <f>IFERROR(IF(D162=5,IF($B$6="Aucun retrait",0,IF($B$6=75%,(Positions[[#This Row],[Capital]]-F158)*75%)),0),)</f>
        <v>0</v>
      </c>
    </row>
    <row r="163" spans="4:11" ht="15.75" x14ac:dyDescent="0.25">
      <c r="D163" s="32">
        <f>WEEKDAY(Positions[[#This Row],[Jous / Séances de trading]],2)</f>
        <v>3</v>
      </c>
      <c r="E163" s="49">
        <f t="shared" si="4"/>
        <v>44566</v>
      </c>
      <c r="F163" s="50">
        <f t="shared" si="5"/>
        <v>5599.0265666088535</v>
      </c>
      <c r="G163" s="44">
        <f>'[2]Simulateur Calculatrice Pos.'!$E$35</f>
        <v>2</v>
      </c>
      <c r="H163" s="45">
        <f>Positions[[#This Row],[Capital]]*Positions[[#This Row],[Evolution du capital par jour en %]]%</f>
        <v>111.98053133217707</v>
      </c>
      <c r="I163" s="46">
        <f>ROUND((((Positions[[#This Row],[Capital]]*Positions[[#This Row],[Evolution du capital par jour en %]]%)/('[2]Simulateur Calculatrice Pos.'!$E$15*'[2]Simulateur Calculatrice Pos.'!$E$24))/'[2]Simulateur Calculatrice Pos.'!$E$21),0)</f>
        <v>9</v>
      </c>
      <c r="J163" s="47">
        <f>IFERROR(IF(D163=5,((Positions[[#This Row],[Capital]]-F159)-K163),0),)</f>
        <v>0</v>
      </c>
      <c r="K163" s="48">
        <f>IFERROR(IF(D163=5,IF($B$6="Aucun retrait",0,IF($B$6=75%,(Positions[[#This Row],[Capital]]-F159)*75%)),0),)</f>
        <v>0</v>
      </c>
    </row>
    <row r="164" spans="4:11" ht="15.75" x14ac:dyDescent="0.25">
      <c r="D164" s="32">
        <f>WEEKDAY(Positions[[#This Row],[Jous / Séances de trading]],2)</f>
        <v>4</v>
      </c>
      <c r="E164" s="49">
        <f t="shared" si="4"/>
        <v>44567</v>
      </c>
      <c r="F164" s="50">
        <f t="shared" si="5"/>
        <v>5711.0070979410302</v>
      </c>
      <c r="G164" s="44">
        <f>'[2]Simulateur Calculatrice Pos.'!$E$35</f>
        <v>2</v>
      </c>
      <c r="H164" s="45">
        <f>Positions[[#This Row],[Capital]]*Positions[[#This Row],[Evolution du capital par jour en %]]%</f>
        <v>114.22014195882061</v>
      </c>
      <c r="I164" s="46">
        <f>ROUND((((Positions[[#This Row],[Capital]]*Positions[[#This Row],[Evolution du capital par jour en %]]%)/('[2]Simulateur Calculatrice Pos.'!$E$15*'[2]Simulateur Calculatrice Pos.'!$E$24))/'[2]Simulateur Calculatrice Pos.'!$E$21),0)</f>
        <v>10</v>
      </c>
      <c r="J164" s="47">
        <f>IFERROR(IF(D164=5,((Positions[[#This Row],[Capital]]-F160)-K164),0),)</f>
        <v>0</v>
      </c>
      <c r="K164" s="48">
        <f>IFERROR(IF(D164=5,IF($B$6="Aucun retrait",0,IF($B$6=75%,(Positions[[#This Row],[Capital]]-F160)*75%)),0),)</f>
        <v>0</v>
      </c>
    </row>
    <row r="165" spans="4:11" ht="15.75" x14ac:dyDescent="0.25">
      <c r="D165" s="32">
        <f>WEEKDAY(Positions[[#This Row],[Jous / Séances de trading]],2)</f>
        <v>5</v>
      </c>
      <c r="E165" s="49">
        <f t="shared" si="4"/>
        <v>44568</v>
      </c>
      <c r="F165" s="50">
        <f t="shared" si="5"/>
        <v>5825.2272398998512</v>
      </c>
      <c r="G165" s="44">
        <f>'[2]Simulateur Calculatrice Pos.'!$E$35</f>
        <v>2</v>
      </c>
      <c r="H165" s="45">
        <f>Positions[[#This Row],[Capital]]*Positions[[#This Row],[Evolution du capital par jour en %]]%</f>
        <v>116.50454479799703</v>
      </c>
      <c r="I165" s="46">
        <f>ROUND((((Positions[[#This Row],[Capital]]*Positions[[#This Row],[Evolution du capital par jour en %]]%)/('[2]Simulateur Calculatrice Pos.'!$E$15*'[2]Simulateur Calculatrice Pos.'!$E$24))/'[2]Simulateur Calculatrice Pos.'!$E$21),0)</f>
        <v>10</v>
      </c>
      <c r="J165" s="47">
        <f>IFERROR(IF(D165=5,((Positions[[#This Row],[Capital]]-F161)-K165),0),)</f>
        <v>110.90442468832953</v>
      </c>
      <c r="K165" s="48">
        <f>IFERROR(IF(D165=5,IF($B$6="Aucun retrait",0,IF($B$6=75%,(Positions[[#This Row],[Capital]]-F161)*75%)),0),)</f>
        <v>332.71327406498858</v>
      </c>
    </row>
    <row r="166" spans="4:11" ht="15.75" x14ac:dyDescent="0.25">
      <c r="D166" s="32">
        <f>WEEKDAY(Positions[[#This Row],[Jous / Séances de trading]],2)</f>
        <v>1</v>
      </c>
      <c r="E166" s="49">
        <f t="shared" si="4"/>
        <v>44571</v>
      </c>
      <c r="F166" s="50">
        <f t="shared" si="5"/>
        <v>5609.0185106328599</v>
      </c>
      <c r="G166" s="44">
        <f>'[2]Simulateur Calculatrice Pos.'!$E$35</f>
        <v>2</v>
      </c>
      <c r="H166" s="45">
        <f>Positions[[#This Row],[Capital]]*Positions[[#This Row],[Evolution du capital par jour en %]]%</f>
        <v>112.18037021265719</v>
      </c>
      <c r="I166" s="46">
        <f>ROUND((((Positions[[#This Row],[Capital]]*Positions[[#This Row],[Evolution du capital par jour en %]]%)/('[2]Simulateur Calculatrice Pos.'!$E$15*'[2]Simulateur Calculatrice Pos.'!$E$24))/'[2]Simulateur Calculatrice Pos.'!$E$21),0)</f>
        <v>9</v>
      </c>
      <c r="J166" s="47">
        <f>IFERROR(IF(D166=5,((Positions[[#This Row],[Capital]]-F162)-K166),0),)</f>
        <v>0</v>
      </c>
      <c r="K166" s="48">
        <f>IFERROR(IF(D166=5,IF($B$6="Aucun retrait",0,IF($B$6=75%,(Positions[[#This Row],[Capital]]-F162)*75%)),0),)</f>
        <v>0</v>
      </c>
    </row>
    <row r="167" spans="4:11" ht="15.75" x14ac:dyDescent="0.25">
      <c r="D167" s="32">
        <f>WEEKDAY(Positions[[#This Row],[Jous / Séances de trading]],2)</f>
        <v>2</v>
      </c>
      <c r="E167" s="49">
        <f t="shared" si="4"/>
        <v>44572</v>
      </c>
      <c r="F167" s="50">
        <f t="shared" si="5"/>
        <v>5721.1988808455171</v>
      </c>
      <c r="G167" s="44">
        <f>'[2]Simulateur Calculatrice Pos.'!$E$35</f>
        <v>2</v>
      </c>
      <c r="H167" s="45">
        <f>Positions[[#This Row],[Capital]]*Positions[[#This Row],[Evolution du capital par jour en %]]%</f>
        <v>114.42397761691035</v>
      </c>
      <c r="I167" s="46">
        <f>ROUND((((Positions[[#This Row],[Capital]]*Positions[[#This Row],[Evolution du capital par jour en %]]%)/('[2]Simulateur Calculatrice Pos.'!$E$15*'[2]Simulateur Calculatrice Pos.'!$E$24))/'[2]Simulateur Calculatrice Pos.'!$E$21),0)</f>
        <v>10</v>
      </c>
      <c r="J167" s="47">
        <f>IFERROR(IF(D167=5,((Positions[[#This Row],[Capital]]-F163)-K167),0),)</f>
        <v>0</v>
      </c>
      <c r="K167" s="48">
        <f>IFERROR(IF(D167=5,IF($B$6="Aucun retrait",0,IF($B$6=75%,(Positions[[#This Row],[Capital]]-F163)*75%)),0),)</f>
        <v>0</v>
      </c>
    </row>
    <row r="168" spans="4:11" ht="15.75" x14ac:dyDescent="0.25">
      <c r="D168" s="32">
        <f>WEEKDAY(Positions[[#This Row],[Jous / Séances de trading]],2)</f>
        <v>3</v>
      </c>
      <c r="E168" s="49">
        <f t="shared" si="4"/>
        <v>44573</v>
      </c>
      <c r="F168" s="50">
        <f t="shared" si="5"/>
        <v>5835.6228584624278</v>
      </c>
      <c r="G168" s="44">
        <f>'[2]Simulateur Calculatrice Pos.'!$E$35</f>
        <v>2</v>
      </c>
      <c r="H168" s="45">
        <f>Positions[[#This Row],[Capital]]*Positions[[#This Row],[Evolution du capital par jour en %]]%</f>
        <v>116.71245716924855</v>
      </c>
      <c r="I168" s="46">
        <f>ROUND((((Positions[[#This Row],[Capital]]*Positions[[#This Row],[Evolution du capital par jour en %]]%)/('[2]Simulateur Calculatrice Pos.'!$E$15*'[2]Simulateur Calculatrice Pos.'!$E$24))/'[2]Simulateur Calculatrice Pos.'!$E$21),0)</f>
        <v>10</v>
      </c>
      <c r="J168" s="47">
        <f>IFERROR(IF(D168=5,((Positions[[#This Row],[Capital]]-F164)-K168),0),)</f>
        <v>0</v>
      </c>
      <c r="K168" s="48">
        <f>IFERROR(IF(D168=5,IF($B$6="Aucun retrait",0,IF($B$6=75%,(Positions[[#This Row],[Capital]]-F164)*75%)),0),)</f>
        <v>0</v>
      </c>
    </row>
    <row r="169" spans="4:11" ht="15.75" x14ac:dyDescent="0.25">
      <c r="D169" s="32">
        <f>WEEKDAY(Positions[[#This Row],[Jous / Séances de trading]],2)</f>
        <v>4</v>
      </c>
      <c r="E169" s="49">
        <f t="shared" si="4"/>
        <v>44574</v>
      </c>
      <c r="F169" s="50">
        <f t="shared" si="5"/>
        <v>5952.3353156316762</v>
      </c>
      <c r="G169" s="44">
        <f>'[2]Simulateur Calculatrice Pos.'!$E$35</f>
        <v>2</v>
      </c>
      <c r="H169" s="45">
        <f>Positions[[#This Row],[Capital]]*Positions[[#This Row],[Evolution du capital par jour en %]]%</f>
        <v>119.04670631263353</v>
      </c>
      <c r="I169" s="46">
        <f>ROUND((((Positions[[#This Row],[Capital]]*Positions[[#This Row],[Evolution du capital par jour en %]]%)/('[2]Simulateur Calculatrice Pos.'!$E$15*'[2]Simulateur Calculatrice Pos.'!$E$24))/'[2]Simulateur Calculatrice Pos.'!$E$21),0)</f>
        <v>10</v>
      </c>
      <c r="J169" s="47">
        <f>IFERROR(IF(D169=5,((Positions[[#This Row],[Capital]]-F165)-K169),0),)</f>
        <v>0</v>
      </c>
      <c r="K169" s="48">
        <f>IFERROR(IF(D169=5,IF($B$6="Aucun retrait",0,IF($B$6=75%,(Positions[[#This Row],[Capital]]-F165)*75%)),0),)</f>
        <v>0</v>
      </c>
    </row>
    <row r="170" spans="4:11" ht="15.75" x14ac:dyDescent="0.25">
      <c r="D170" s="32">
        <f>WEEKDAY(Positions[[#This Row],[Jous / Séances de trading]],2)</f>
        <v>5</v>
      </c>
      <c r="E170" s="49">
        <f t="shared" si="4"/>
        <v>44575</v>
      </c>
      <c r="F170" s="50">
        <f t="shared" si="5"/>
        <v>6071.3820219443096</v>
      </c>
      <c r="G170" s="44">
        <f>'[2]Simulateur Calculatrice Pos.'!$E$35</f>
        <v>2</v>
      </c>
      <c r="H170" s="45">
        <f>Positions[[#This Row],[Capital]]*Positions[[#This Row],[Evolution du capital par jour en %]]%</f>
        <v>121.4276404388862</v>
      </c>
      <c r="I170" s="46">
        <f>ROUND((((Positions[[#This Row],[Capital]]*Positions[[#This Row],[Evolution du capital par jour en %]]%)/('[2]Simulateur Calculatrice Pos.'!$E$15*'[2]Simulateur Calculatrice Pos.'!$E$24))/'[2]Simulateur Calculatrice Pos.'!$E$21),0)</f>
        <v>10</v>
      </c>
      <c r="J170" s="47">
        <f>IFERROR(IF(D170=5,((Positions[[#This Row],[Capital]]-F166)-K170),0),)</f>
        <v>115.59087782786241</v>
      </c>
      <c r="K170" s="48">
        <f>IFERROR(IF(D170=5,IF($B$6="Aucun retrait",0,IF($B$6=75%,(Positions[[#This Row],[Capital]]-F166)*75%)),0),)</f>
        <v>346.77263348358724</v>
      </c>
    </row>
    <row r="171" spans="4:11" ht="15.75" x14ac:dyDescent="0.25">
      <c r="D171" s="32">
        <f>WEEKDAY(Positions[[#This Row],[Jous / Séances de trading]],2)</f>
        <v>1</v>
      </c>
      <c r="E171" s="49">
        <f t="shared" si="4"/>
        <v>44578</v>
      </c>
      <c r="F171" s="50">
        <f>IF(D171=1,(F170+H170)-K170,F170+H170)</f>
        <v>5846.0370288996091</v>
      </c>
      <c r="G171" s="44">
        <f>'[2]Simulateur Calculatrice Pos.'!$E$35</f>
        <v>2</v>
      </c>
      <c r="H171" s="45">
        <f>Positions[[#This Row],[Capital]]*Positions[[#This Row],[Evolution du capital par jour en %]]%</f>
        <v>116.92074057799219</v>
      </c>
      <c r="I171" s="46">
        <f>ROUND((((Positions[[#This Row],[Capital]]*Positions[[#This Row],[Evolution du capital par jour en %]]%)/('[2]Simulateur Calculatrice Pos.'!$E$15*'[2]Simulateur Calculatrice Pos.'!$E$24))/'[2]Simulateur Calculatrice Pos.'!$E$21),0)</f>
        <v>10</v>
      </c>
      <c r="J171" s="47">
        <f>IFERROR(IF(D171=5,((Positions[[#This Row],[Capital]]-F167)-K171),0),)</f>
        <v>0</v>
      </c>
      <c r="K171" s="48">
        <f>IFERROR(IF(D171=5,IF($B$6="Aucun retrait",0,IF($B$6=75%,(Positions[[#This Row],[Capital]]-F167)*75%)),0),)</f>
        <v>0</v>
      </c>
    </row>
    <row r="172" spans="4:11" ht="15.75" x14ac:dyDescent="0.25">
      <c r="D172" s="32">
        <f>WEEKDAY(Positions[[#This Row],[Jous / Séances de trading]],2)</f>
        <v>2</v>
      </c>
      <c r="E172" s="49">
        <f t="shared" si="4"/>
        <v>44579</v>
      </c>
      <c r="F172" s="50">
        <f t="shared" si="5"/>
        <v>5962.9577694776017</v>
      </c>
      <c r="G172" s="44">
        <f>'[2]Simulateur Calculatrice Pos.'!$E$35</f>
        <v>2</v>
      </c>
      <c r="H172" s="45">
        <f>Positions[[#This Row],[Capital]]*Positions[[#This Row],[Evolution du capital par jour en %]]%</f>
        <v>119.25915538955203</v>
      </c>
      <c r="I172" s="46">
        <f>ROUND((((Positions[[#This Row],[Capital]]*Positions[[#This Row],[Evolution du capital par jour en %]]%)/('[2]Simulateur Calculatrice Pos.'!$E$15*'[2]Simulateur Calculatrice Pos.'!$E$24))/'[2]Simulateur Calculatrice Pos.'!$E$21),0)</f>
        <v>10</v>
      </c>
      <c r="J172" s="47">
        <f>IFERROR(IF(D172=5,((Positions[[#This Row],[Capital]]-F168)-K172),0),)</f>
        <v>0</v>
      </c>
      <c r="K172" s="48">
        <f>IFERROR(IF(D172=5,IF($B$6="Aucun retrait",0,IF($B$6=75%,(Positions[[#This Row],[Capital]]-F168)*75%)),0),)</f>
        <v>0</v>
      </c>
    </row>
    <row r="173" spans="4:11" ht="15.75" x14ac:dyDescent="0.25">
      <c r="D173" s="32">
        <f>WEEKDAY(Positions[[#This Row],[Jous / Séances de trading]],2)</f>
        <v>3</v>
      </c>
      <c r="E173" s="49">
        <f t="shared" si="4"/>
        <v>44580</v>
      </c>
      <c r="F173" s="50">
        <f t="shared" si="5"/>
        <v>6082.2169248671535</v>
      </c>
      <c r="G173" s="44">
        <f>'[2]Simulateur Calculatrice Pos.'!$E$35</f>
        <v>2</v>
      </c>
      <c r="H173" s="45">
        <f>Positions[[#This Row],[Capital]]*Positions[[#This Row],[Evolution du capital par jour en %]]%</f>
        <v>121.64433849734307</v>
      </c>
      <c r="I173" s="46">
        <f>ROUND((((Positions[[#This Row],[Capital]]*Positions[[#This Row],[Evolution du capital par jour en %]]%)/('[2]Simulateur Calculatrice Pos.'!$E$15*'[2]Simulateur Calculatrice Pos.'!$E$24))/'[2]Simulateur Calculatrice Pos.'!$E$21),0)</f>
        <v>10</v>
      </c>
      <c r="J173" s="47">
        <f>IFERROR(IF(D173=5,((Positions[[#This Row],[Capital]]-F169)-K173),0),)</f>
        <v>0</v>
      </c>
      <c r="K173" s="48">
        <f>IFERROR(IF(D173=5,IF($B$6="Aucun retrait",0,IF($B$6=75%,(Positions[[#This Row],[Capital]]-F169)*75%)),0),)</f>
        <v>0</v>
      </c>
    </row>
    <row r="174" spans="4:11" ht="15.75" x14ac:dyDescent="0.25">
      <c r="D174" s="32">
        <f>WEEKDAY(Positions[[#This Row],[Jous / Séances de trading]],2)</f>
        <v>4</v>
      </c>
      <c r="E174" s="49">
        <f t="shared" si="4"/>
        <v>44581</v>
      </c>
      <c r="F174" s="50">
        <f t="shared" si="5"/>
        <v>6203.8612633644962</v>
      </c>
      <c r="G174" s="44">
        <f>'[2]Simulateur Calculatrice Pos.'!$E$35</f>
        <v>2</v>
      </c>
      <c r="H174" s="45">
        <f>Positions[[#This Row],[Capital]]*Positions[[#This Row],[Evolution du capital par jour en %]]%</f>
        <v>124.07722526728993</v>
      </c>
      <c r="I174" s="46">
        <f>ROUND((((Positions[[#This Row],[Capital]]*Positions[[#This Row],[Evolution du capital par jour en %]]%)/('[2]Simulateur Calculatrice Pos.'!$E$15*'[2]Simulateur Calculatrice Pos.'!$E$24))/'[2]Simulateur Calculatrice Pos.'!$E$21),0)</f>
        <v>10</v>
      </c>
      <c r="J174" s="47">
        <f>IFERROR(IF(D174=5,((Positions[[#This Row],[Capital]]-F170)-K174),0),)</f>
        <v>0</v>
      </c>
      <c r="K174" s="48">
        <f>IFERROR(IF(D174=5,IF($B$6="Aucun retrait",0,IF($B$6=75%,(Positions[[#This Row],[Capital]]-F170)*75%)),0),)</f>
        <v>0</v>
      </c>
    </row>
    <row r="175" spans="4:11" ht="15.75" x14ac:dyDescent="0.25">
      <c r="D175" s="32">
        <f>WEEKDAY(Positions[[#This Row],[Jous / Séances de trading]],2)</f>
        <v>5</v>
      </c>
      <c r="E175" s="49">
        <f t="shared" si="4"/>
        <v>44582</v>
      </c>
      <c r="F175" s="50">
        <f t="shared" si="5"/>
        <v>6327.9384886317857</v>
      </c>
      <c r="G175" s="44">
        <f>'[2]Simulateur Calculatrice Pos.'!$E$35</f>
        <v>2</v>
      </c>
      <c r="H175" s="45">
        <f>Positions[[#This Row],[Capital]]*Positions[[#This Row],[Evolution du capital par jour en %]]%</f>
        <v>126.55876977263571</v>
      </c>
      <c r="I175" s="46">
        <f>ROUND((((Positions[[#This Row],[Capital]]*Positions[[#This Row],[Evolution du capital par jour en %]]%)/('[2]Simulateur Calculatrice Pos.'!$E$15*'[2]Simulateur Calculatrice Pos.'!$E$24))/'[2]Simulateur Calculatrice Pos.'!$E$21),0)</f>
        <v>11</v>
      </c>
      <c r="J175" s="47">
        <f>IFERROR(IF(D175=5,((Positions[[#This Row],[Capital]]-F171)-K175),0),)</f>
        <v>120.47536493304415</v>
      </c>
      <c r="K175" s="48">
        <f>IFERROR(IF(D175=5,IF($B$6="Aucun retrait",0,IF($B$6=75%,(Positions[[#This Row],[Capital]]-F171)*75%)),0),)</f>
        <v>361.42609479913244</v>
      </c>
    </row>
    <row r="176" spans="4:11" ht="15.75" x14ac:dyDescent="0.25">
      <c r="D176" s="32">
        <f>WEEKDAY(Positions[[#This Row],[Jous / Séances de trading]],2)</f>
        <v>1</v>
      </c>
      <c r="E176" s="49">
        <f t="shared" si="4"/>
        <v>44585</v>
      </c>
      <c r="F176" s="50">
        <f t="shared" si="5"/>
        <v>6093.0711636052893</v>
      </c>
      <c r="G176" s="44">
        <f>'[2]Simulateur Calculatrice Pos.'!$E$35</f>
        <v>2</v>
      </c>
      <c r="H176" s="45">
        <f>Positions[[#This Row],[Capital]]*Positions[[#This Row],[Evolution du capital par jour en %]]%</f>
        <v>121.86142327210578</v>
      </c>
      <c r="I176" s="46">
        <f>ROUND((((Positions[[#This Row],[Capital]]*Positions[[#This Row],[Evolution du capital par jour en %]]%)/('[2]Simulateur Calculatrice Pos.'!$E$15*'[2]Simulateur Calculatrice Pos.'!$E$24))/'[2]Simulateur Calculatrice Pos.'!$E$21),0)</f>
        <v>10</v>
      </c>
      <c r="J176" s="47">
        <f>IFERROR(IF(D176=5,((Positions[[#This Row],[Capital]]-F172)-K176),0),)</f>
        <v>0</v>
      </c>
      <c r="K176" s="48">
        <f>IFERROR(IF(D176=5,IF($B$6="Aucun retrait",0,IF($B$6=75%,(Positions[[#This Row],[Capital]]-F172)*75%)),0),)</f>
        <v>0</v>
      </c>
    </row>
    <row r="177" spans="4:11" ht="15.75" x14ac:dyDescent="0.25">
      <c r="D177" s="32">
        <f>WEEKDAY(Positions[[#This Row],[Jous / Séances de trading]],2)</f>
        <v>2</v>
      </c>
      <c r="E177" s="49">
        <f t="shared" si="4"/>
        <v>44586</v>
      </c>
      <c r="F177" s="50">
        <f t="shared" si="5"/>
        <v>6214.9325868773949</v>
      </c>
      <c r="G177" s="44">
        <f>'[2]Simulateur Calculatrice Pos.'!$E$35</f>
        <v>2</v>
      </c>
      <c r="H177" s="45">
        <f>Positions[[#This Row],[Capital]]*Positions[[#This Row],[Evolution du capital par jour en %]]%</f>
        <v>124.2986517375479</v>
      </c>
      <c r="I177" s="46">
        <f>ROUND((((Positions[[#This Row],[Capital]]*Positions[[#This Row],[Evolution du capital par jour en %]]%)/('[2]Simulateur Calculatrice Pos.'!$E$15*'[2]Simulateur Calculatrice Pos.'!$E$24))/'[2]Simulateur Calculatrice Pos.'!$E$21),0)</f>
        <v>10</v>
      </c>
      <c r="J177" s="47">
        <f>IFERROR(IF(D177=5,((Positions[[#This Row],[Capital]]-F173)-K177),0),)</f>
        <v>0</v>
      </c>
      <c r="K177" s="48">
        <f>IFERROR(IF(D177=5,IF($B$6="Aucun retrait",0,IF($B$6=75%,(Positions[[#This Row],[Capital]]-F173)*75%)),0),)</f>
        <v>0</v>
      </c>
    </row>
    <row r="178" spans="4:11" ht="15.75" x14ac:dyDescent="0.25">
      <c r="D178" s="32">
        <f>WEEKDAY(Positions[[#This Row],[Jous / Séances de trading]],2)</f>
        <v>3</v>
      </c>
      <c r="E178" s="49">
        <f t="shared" si="4"/>
        <v>44587</v>
      </c>
      <c r="F178" s="50">
        <f t="shared" si="5"/>
        <v>6339.2312386149424</v>
      </c>
      <c r="G178" s="44">
        <f>'[2]Simulateur Calculatrice Pos.'!$E$35</f>
        <v>2</v>
      </c>
      <c r="H178" s="45">
        <f>Positions[[#This Row],[Capital]]*Positions[[#This Row],[Evolution du capital par jour en %]]%</f>
        <v>126.78462477229886</v>
      </c>
      <c r="I178" s="46">
        <f>ROUND((((Positions[[#This Row],[Capital]]*Positions[[#This Row],[Evolution du capital par jour en %]]%)/('[2]Simulateur Calculatrice Pos.'!$E$15*'[2]Simulateur Calculatrice Pos.'!$E$24))/'[2]Simulateur Calculatrice Pos.'!$E$21),0)</f>
        <v>11</v>
      </c>
      <c r="J178" s="47">
        <f>IFERROR(IF(D178=5,((Positions[[#This Row],[Capital]]-F174)-K178),0),)</f>
        <v>0</v>
      </c>
      <c r="K178" s="48">
        <f>IFERROR(IF(D178=5,IF($B$6="Aucun retrait",0,IF($B$6=75%,(Positions[[#This Row],[Capital]]-F174)*75%)),0),)</f>
        <v>0</v>
      </c>
    </row>
    <row r="179" spans="4:11" ht="15.75" x14ac:dyDescent="0.25">
      <c r="D179" s="32">
        <f>WEEKDAY(Positions[[#This Row],[Jous / Séances de trading]],2)</f>
        <v>4</v>
      </c>
      <c r="E179" s="49">
        <f t="shared" si="4"/>
        <v>44588</v>
      </c>
      <c r="F179" s="50">
        <f t="shared" si="5"/>
        <v>6466.0158633872416</v>
      </c>
      <c r="G179" s="44">
        <f>'[2]Simulateur Calculatrice Pos.'!$E$35</f>
        <v>2</v>
      </c>
      <c r="H179" s="45">
        <f>Positions[[#This Row],[Capital]]*Positions[[#This Row],[Evolution du capital par jour en %]]%</f>
        <v>129.32031726774483</v>
      </c>
      <c r="I179" s="46">
        <f>ROUND((((Positions[[#This Row],[Capital]]*Positions[[#This Row],[Evolution du capital par jour en %]]%)/('[2]Simulateur Calculatrice Pos.'!$E$15*'[2]Simulateur Calculatrice Pos.'!$E$24))/'[2]Simulateur Calculatrice Pos.'!$E$21),0)</f>
        <v>11</v>
      </c>
      <c r="J179" s="47">
        <f>IFERROR(IF(D179=5,((Positions[[#This Row],[Capital]]-F175)-K179),0),)</f>
        <v>0</v>
      </c>
      <c r="K179" s="48">
        <f>IFERROR(IF(D179=5,IF($B$6="Aucun retrait",0,IF($B$6=75%,(Positions[[#This Row],[Capital]]-F175)*75%)),0),)</f>
        <v>0</v>
      </c>
    </row>
    <row r="180" spans="4:11" ht="15.75" x14ac:dyDescent="0.25">
      <c r="D180" s="32">
        <f>WEEKDAY(Positions[[#This Row],[Jous / Séances de trading]],2)</f>
        <v>5</v>
      </c>
      <c r="E180" s="49">
        <f t="shared" si="4"/>
        <v>44589</v>
      </c>
      <c r="F180" s="50">
        <f t="shared" si="5"/>
        <v>6595.3361806549865</v>
      </c>
      <c r="G180" s="44">
        <f>'[2]Simulateur Calculatrice Pos.'!$E$35</f>
        <v>2</v>
      </c>
      <c r="H180" s="45">
        <f>Positions[[#This Row],[Capital]]*Positions[[#This Row],[Evolution du capital par jour en %]]%</f>
        <v>131.90672361309973</v>
      </c>
      <c r="I180" s="46">
        <f>ROUND((((Positions[[#This Row],[Capital]]*Positions[[#This Row],[Evolution du capital par jour en %]]%)/('[2]Simulateur Calculatrice Pos.'!$E$15*'[2]Simulateur Calculatrice Pos.'!$E$24))/'[2]Simulateur Calculatrice Pos.'!$E$21),0)</f>
        <v>11</v>
      </c>
      <c r="J180" s="47">
        <f>IFERROR(IF(D180=5,((Positions[[#This Row],[Capital]]-F176)-K180),0),)</f>
        <v>125.56625426242431</v>
      </c>
      <c r="K180" s="48">
        <f>IFERROR(IF(D180=5,IF($B$6="Aucun retrait",0,IF($B$6=75%,(Positions[[#This Row],[Capital]]-F176)*75%)),0),)</f>
        <v>376.69876278727293</v>
      </c>
    </row>
    <row r="181" spans="4:11" ht="15.75" x14ac:dyDescent="0.25">
      <c r="D181" s="32">
        <f>WEEKDAY(Positions[[#This Row],[Jous / Séances de trading]],2)</f>
        <v>1</v>
      </c>
      <c r="E181" s="49">
        <f t="shared" si="4"/>
        <v>44592</v>
      </c>
      <c r="F181" s="50">
        <f t="shared" si="5"/>
        <v>6350.5441414808129</v>
      </c>
      <c r="G181" s="44">
        <f>'[2]Simulateur Calculatrice Pos.'!$E$35</f>
        <v>2</v>
      </c>
      <c r="H181" s="45">
        <f>Positions[[#This Row],[Capital]]*Positions[[#This Row],[Evolution du capital par jour en %]]%</f>
        <v>127.01088282961626</v>
      </c>
      <c r="I181" s="46">
        <f>ROUND((((Positions[[#This Row],[Capital]]*Positions[[#This Row],[Evolution du capital par jour en %]]%)/('[2]Simulateur Calculatrice Pos.'!$E$15*'[2]Simulateur Calculatrice Pos.'!$E$24))/'[2]Simulateur Calculatrice Pos.'!$E$21),0)</f>
        <v>11</v>
      </c>
      <c r="J181" s="47">
        <f>IFERROR(IF(D181=5,((Positions[[#This Row],[Capital]]-F177)-K181),0),)</f>
        <v>0</v>
      </c>
      <c r="K181" s="48">
        <f>IFERROR(IF(D181=5,IF($B$6="Aucun retrait",0,IF($B$6=75%,(Positions[[#This Row],[Capital]]-F177)*75%)),0),)</f>
        <v>0</v>
      </c>
    </row>
    <row r="182" spans="4:11" ht="15.75" x14ac:dyDescent="0.25">
      <c r="D182" s="32">
        <f>WEEKDAY(Positions[[#This Row],[Jous / Séances de trading]],2)</f>
        <v>2</v>
      </c>
      <c r="E182" s="49">
        <f t="shared" si="4"/>
        <v>44593</v>
      </c>
      <c r="F182" s="50">
        <f t="shared" si="5"/>
        <v>6477.555024310429</v>
      </c>
      <c r="G182" s="44">
        <f>'[2]Simulateur Calculatrice Pos.'!$E$35</f>
        <v>2</v>
      </c>
      <c r="H182" s="45">
        <f>Positions[[#This Row],[Capital]]*Positions[[#This Row],[Evolution du capital par jour en %]]%</f>
        <v>129.55110048620858</v>
      </c>
      <c r="I182" s="46">
        <f>ROUND((((Positions[[#This Row],[Capital]]*Positions[[#This Row],[Evolution du capital par jour en %]]%)/('[2]Simulateur Calculatrice Pos.'!$E$15*'[2]Simulateur Calculatrice Pos.'!$E$24))/'[2]Simulateur Calculatrice Pos.'!$E$21),0)</f>
        <v>11</v>
      </c>
      <c r="J182" s="47">
        <f>IFERROR(IF(D182=5,((Positions[[#This Row],[Capital]]-F178)-K182),0),)</f>
        <v>0</v>
      </c>
      <c r="K182" s="48">
        <f>IFERROR(IF(D182=5,IF($B$6="Aucun retrait",0,IF($B$6=75%,(Positions[[#This Row],[Capital]]-F178)*75%)),0),)</f>
        <v>0</v>
      </c>
    </row>
    <row r="183" spans="4:11" ht="15.75" x14ac:dyDescent="0.25">
      <c r="D183" s="32">
        <f>WEEKDAY(Positions[[#This Row],[Jous / Séances de trading]],2)</f>
        <v>3</v>
      </c>
      <c r="E183" s="49">
        <f t="shared" si="4"/>
        <v>44594</v>
      </c>
      <c r="F183" s="50">
        <f t="shared" si="5"/>
        <v>6607.1061247966372</v>
      </c>
      <c r="G183" s="44">
        <f>'[2]Simulateur Calculatrice Pos.'!$E$35</f>
        <v>2</v>
      </c>
      <c r="H183" s="45">
        <f>Positions[[#This Row],[Capital]]*Positions[[#This Row],[Evolution du capital par jour en %]]%</f>
        <v>132.14212249593274</v>
      </c>
      <c r="I183" s="46">
        <f>ROUND((((Positions[[#This Row],[Capital]]*Positions[[#This Row],[Evolution du capital par jour en %]]%)/('[2]Simulateur Calculatrice Pos.'!$E$15*'[2]Simulateur Calculatrice Pos.'!$E$24))/'[2]Simulateur Calculatrice Pos.'!$E$21),0)</f>
        <v>11</v>
      </c>
      <c r="J183" s="47">
        <f>IFERROR(IF(D183=5,((Positions[[#This Row],[Capital]]-F179)-K183),0),)</f>
        <v>0</v>
      </c>
      <c r="K183" s="48">
        <f>IFERROR(IF(D183=5,IF($B$6="Aucun retrait",0,IF($B$6=75%,(Positions[[#This Row],[Capital]]-F179)*75%)),0),)</f>
        <v>0</v>
      </c>
    </row>
    <row r="184" spans="4:11" ht="15.75" x14ac:dyDescent="0.25">
      <c r="D184" s="32">
        <f>WEEKDAY(Positions[[#This Row],[Jous / Séances de trading]],2)</f>
        <v>4</v>
      </c>
      <c r="E184" s="49">
        <f t="shared" si="4"/>
        <v>44595</v>
      </c>
      <c r="F184" s="50">
        <f t="shared" si="5"/>
        <v>6739.2482472925703</v>
      </c>
      <c r="G184" s="44">
        <f>'[2]Simulateur Calculatrice Pos.'!$E$35</f>
        <v>2</v>
      </c>
      <c r="H184" s="45">
        <f>Positions[[#This Row],[Capital]]*Positions[[#This Row],[Evolution du capital par jour en %]]%</f>
        <v>134.78496494585141</v>
      </c>
      <c r="I184" s="46">
        <f>ROUND((((Positions[[#This Row],[Capital]]*Positions[[#This Row],[Evolution du capital par jour en %]]%)/('[2]Simulateur Calculatrice Pos.'!$E$15*'[2]Simulateur Calculatrice Pos.'!$E$24))/'[2]Simulateur Calculatrice Pos.'!$E$21),0)</f>
        <v>11</v>
      </c>
      <c r="J184" s="47">
        <f>IFERROR(IF(D184=5,((Positions[[#This Row],[Capital]]-F180)-K184),0),)</f>
        <v>0</v>
      </c>
      <c r="K184" s="48">
        <f>IFERROR(IF(D184=5,IF($B$6="Aucun retrait",0,IF($B$6=75%,(Positions[[#This Row],[Capital]]-F180)*75%)),0),)</f>
        <v>0</v>
      </c>
    </row>
    <row r="185" spans="4:11" ht="15.75" x14ac:dyDescent="0.25">
      <c r="D185" s="32">
        <f>WEEKDAY(Positions[[#This Row],[Jous / Séances de trading]],2)</f>
        <v>5</v>
      </c>
      <c r="E185" s="49">
        <f t="shared" si="4"/>
        <v>44596</v>
      </c>
      <c r="F185" s="50">
        <f t="shared" si="5"/>
        <v>6874.0332122384216</v>
      </c>
      <c r="G185" s="44">
        <f>'[2]Simulateur Calculatrice Pos.'!$E$35</f>
        <v>2</v>
      </c>
      <c r="H185" s="45">
        <f>Positions[[#This Row],[Capital]]*Positions[[#This Row],[Evolution du capital par jour en %]]%</f>
        <v>137.48066424476843</v>
      </c>
      <c r="I185" s="46">
        <f>ROUND((((Positions[[#This Row],[Capital]]*Positions[[#This Row],[Evolution du capital par jour en %]]%)/('[2]Simulateur Calculatrice Pos.'!$E$15*'[2]Simulateur Calculatrice Pos.'!$E$24))/'[2]Simulateur Calculatrice Pos.'!$E$21),0)</f>
        <v>11</v>
      </c>
      <c r="J185" s="47">
        <f>IFERROR(IF(D185=5,((Positions[[#This Row],[Capital]]-F181)-K185),0),)</f>
        <v>130.87226768940218</v>
      </c>
      <c r="K185" s="48">
        <f>IFERROR(IF(D185=5,IF($B$6="Aucun retrait",0,IF($B$6=75%,(Positions[[#This Row],[Capital]]-F181)*75%)),0),)</f>
        <v>392.61680306820654</v>
      </c>
    </row>
    <row r="186" spans="4:11" ht="15.75" x14ac:dyDescent="0.25">
      <c r="D186" s="32">
        <f>WEEKDAY(Positions[[#This Row],[Jous / Séances de trading]],2)</f>
        <v>1</v>
      </c>
      <c r="E186" s="49">
        <f t="shared" si="4"/>
        <v>44599</v>
      </c>
      <c r="F186" s="50">
        <f t="shared" si="5"/>
        <v>6618.8970734149834</v>
      </c>
      <c r="G186" s="44">
        <f>'[2]Simulateur Calculatrice Pos.'!$E$35</f>
        <v>2</v>
      </c>
      <c r="H186" s="45">
        <f>Positions[[#This Row],[Capital]]*Positions[[#This Row],[Evolution du capital par jour en %]]%</f>
        <v>132.37794146829967</v>
      </c>
      <c r="I186" s="46">
        <f>ROUND((((Positions[[#This Row],[Capital]]*Positions[[#This Row],[Evolution du capital par jour en %]]%)/('[2]Simulateur Calculatrice Pos.'!$E$15*'[2]Simulateur Calculatrice Pos.'!$E$24))/'[2]Simulateur Calculatrice Pos.'!$E$21),0)</f>
        <v>11</v>
      </c>
      <c r="J186" s="47">
        <f>IFERROR(IF(D186=5,((Positions[[#This Row],[Capital]]-F182)-K186),0),)</f>
        <v>0</v>
      </c>
      <c r="K186" s="48">
        <f>IFERROR(IF(D186=5,IF($B$6="Aucun retrait",0,IF($B$6=75%,(Positions[[#This Row],[Capital]]-F182)*75%)),0),)</f>
        <v>0</v>
      </c>
    </row>
    <row r="187" spans="4:11" ht="15.75" x14ac:dyDescent="0.25">
      <c r="D187" s="32">
        <f>WEEKDAY(Positions[[#This Row],[Jous / Séances de trading]],2)</f>
        <v>2</v>
      </c>
      <c r="E187" s="49">
        <f t="shared" si="4"/>
        <v>44600</v>
      </c>
      <c r="F187" s="50">
        <f t="shared" si="5"/>
        <v>6751.2750148832829</v>
      </c>
      <c r="G187" s="44">
        <f>'[2]Simulateur Calculatrice Pos.'!$E$35</f>
        <v>2</v>
      </c>
      <c r="H187" s="45">
        <f>Positions[[#This Row],[Capital]]*Positions[[#This Row],[Evolution du capital par jour en %]]%</f>
        <v>135.02550029766567</v>
      </c>
      <c r="I187" s="46">
        <f>ROUND((((Positions[[#This Row],[Capital]]*Positions[[#This Row],[Evolution du capital par jour en %]]%)/('[2]Simulateur Calculatrice Pos.'!$E$15*'[2]Simulateur Calculatrice Pos.'!$E$24))/'[2]Simulateur Calculatrice Pos.'!$E$21),0)</f>
        <v>11</v>
      </c>
      <c r="J187" s="47">
        <f>IFERROR(IF(D187=5,((Positions[[#This Row],[Capital]]-F183)-K187),0),)</f>
        <v>0</v>
      </c>
      <c r="K187" s="48">
        <f>IFERROR(IF(D187=5,IF($B$6="Aucun retrait",0,IF($B$6=75%,(Positions[[#This Row],[Capital]]-F183)*75%)),0),)</f>
        <v>0</v>
      </c>
    </row>
    <row r="188" spans="4:11" ht="15.75" x14ac:dyDescent="0.25">
      <c r="D188" s="32">
        <f>WEEKDAY(Positions[[#This Row],[Jous / Séances de trading]],2)</f>
        <v>3</v>
      </c>
      <c r="E188" s="49">
        <f t="shared" si="4"/>
        <v>44601</v>
      </c>
      <c r="F188" s="50">
        <f t="shared" si="5"/>
        <v>6886.3005151809484</v>
      </c>
      <c r="G188" s="44">
        <f>'[2]Simulateur Calculatrice Pos.'!$E$35</f>
        <v>2</v>
      </c>
      <c r="H188" s="45">
        <f>Positions[[#This Row],[Capital]]*Positions[[#This Row],[Evolution du capital par jour en %]]%</f>
        <v>137.72601030361898</v>
      </c>
      <c r="I188" s="46">
        <f>ROUND((((Positions[[#This Row],[Capital]]*Positions[[#This Row],[Evolution du capital par jour en %]]%)/('[2]Simulateur Calculatrice Pos.'!$E$15*'[2]Simulateur Calculatrice Pos.'!$E$24))/'[2]Simulateur Calculatrice Pos.'!$E$21),0)</f>
        <v>11</v>
      </c>
      <c r="J188" s="47">
        <f>IFERROR(IF(D188=5,((Positions[[#This Row],[Capital]]-F184)-K188),0),)</f>
        <v>0</v>
      </c>
      <c r="K188" s="48">
        <f>IFERROR(IF(D188=5,IF($B$6="Aucun retrait",0,IF($B$6=75%,(Positions[[#This Row],[Capital]]-F184)*75%)),0),)</f>
        <v>0</v>
      </c>
    </row>
    <row r="189" spans="4:11" ht="15.75" x14ac:dyDescent="0.25">
      <c r="D189" s="32">
        <f>WEEKDAY(Positions[[#This Row],[Jous / Séances de trading]],2)</f>
        <v>4</v>
      </c>
      <c r="E189" s="49">
        <f t="shared" si="4"/>
        <v>44602</v>
      </c>
      <c r="F189" s="50">
        <f t="shared" si="5"/>
        <v>7024.0265254845672</v>
      </c>
      <c r="G189" s="44">
        <f>'[2]Simulateur Calculatrice Pos.'!$E$35</f>
        <v>2</v>
      </c>
      <c r="H189" s="45">
        <f>Positions[[#This Row],[Capital]]*Positions[[#This Row],[Evolution du capital par jour en %]]%</f>
        <v>140.48053050969133</v>
      </c>
      <c r="I189" s="46">
        <f>ROUND((((Positions[[#This Row],[Capital]]*Positions[[#This Row],[Evolution du capital par jour en %]]%)/('[2]Simulateur Calculatrice Pos.'!$E$15*'[2]Simulateur Calculatrice Pos.'!$E$24))/'[2]Simulateur Calculatrice Pos.'!$E$21),0)</f>
        <v>12</v>
      </c>
      <c r="J189" s="47">
        <f>IFERROR(IF(D189=5,((Positions[[#This Row],[Capital]]-F185)-K189),0),)</f>
        <v>0</v>
      </c>
      <c r="K189" s="48">
        <f>IFERROR(IF(D189=5,IF($B$6="Aucun retrait",0,IF($B$6=75%,(Positions[[#This Row],[Capital]]-F185)*75%)),0),)</f>
        <v>0</v>
      </c>
    </row>
    <row r="190" spans="4:11" ht="15.75" x14ac:dyDescent="0.25">
      <c r="D190" s="32">
        <f>WEEKDAY(Positions[[#This Row],[Jous / Séances de trading]],2)</f>
        <v>5</v>
      </c>
      <c r="E190" s="49">
        <f t="shared" si="4"/>
        <v>44603</v>
      </c>
      <c r="F190" s="50">
        <f t="shared" si="5"/>
        <v>7164.5070559942587</v>
      </c>
      <c r="G190" s="44">
        <f>'[2]Simulateur Calculatrice Pos.'!$E$35</f>
        <v>2</v>
      </c>
      <c r="H190" s="45">
        <f>Positions[[#This Row],[Capital]]*Positions[[#This Row],[Evolution du capital par jour en %]]%</f>
        <v>143.29014111988519</v>
      </c>
      <c r="I190" s="46">
        <f>ROUND((((Positions[[#This Row],[Capital]]*Positions[[#This Row],[Evolution du capital par jour en %]]%)/('[2]Simulateur Calculatrice Pos.'!$E$15*'[2]Simulateur Calculatrice Pos.'!$E$24))/'[2]Simulateur Calculatrice Pos.'!$E$21),0)</f>
        <v>12</v>
      </c>
      <c r="J190" s="47">
        <f>IFERROR(IF(D190=5,((Positions[[#This Row],[Capital]]-F186)-K190),0),)</f>
        <v>136.40249564481883</v>
      </c>
      <c r="K190" s="48">
        <f>IFERROR(IF(D190=5,IF($B$6="Aucun retrait",0,IF($B$6=75%,(Positions[[#This Row],[Capital]]-F186)*75%)),0),)</f>
        <v>409.20748693445648</v>
      </c>
    </row>
    <row r="191" spans="4:11" ht="15.75" x14ac:dyDescent="0.25">
      <c r="D191" s="32">
        <f>WEEKDAY(Positions[[#This Row],[Jous / Séances de trading]],2)</f>
        <v>1</v>
      </c>
      <c r="E191" s="49">
        <f t="shared" si="4"/>
        <v>44606</v>
      </c>
      <c r="F191" s="50">
        <f t="shared" si="5"/>
        <v>6898.5897101796872</v>
      </c>
      <c r="G191" s="44">
        <f>'[2]Simulateur Calculatrice Pos.'!$E$35</f>
        <v>2</v>
      </c>
      <c r="H191" s="45">
        <f>Positions[[#This Row],[Capital]]*Positions[[#This Row],[Evolution du capital par jour en %]]%</f>
        <v>137.97179420359376</v>
      </c>
      <c r="I191" s="46">
        <f>ROUND((((Positions[[#This Row],[Capital]]*Positions[[#This Row],[Evolution du capital par jour en %]]%)/('[2]Simulateur Calculatrice Pos.'!$E$15*'[2]Simulateur Calculatrice Pos.'!$E$24))/'[2]Simulateur Calculatrice Pos.'!$E$21),0)</f>
        <v>11</v>
      </c>
      <c r="J191" s="47">
        <f>IFERROR(IF(D191=5,((Positions[[#This Row],[Capital]]-F187)-K191),0),)</f>
        <v>0</v>
      </c>
      <c r="K191" s="48">
        <f>IFERROR(IF(D191=5,IF($B$6="Aucun retrait",0,IF($B$6=75%,(Positions[[#This Row],[Capital]]-F187)*75%)),0),)</f>
        <v>0</v>
      </c>
    </row>
    <row r="192" spans="4:11" ht="15.75" x14ac:dyDescent="0.25">
      <c r="D192" s="32">
        <f>WEEKDAY(Positions[[#This Row],[Jous / Séances de trading]],2)</f>
        <v>2</v>
      </c>
      <c r="E192" s="49">
        <f t="shared" si="4"/>
        <v>44607</v>
      </c>
      <c r="F192" s="50">
        <f t="shared" si="5"/>
        <v>7036.5615043832813</v>
      </c>
      <c r="G192" s="44">
        <f>'[2]Simulateur Calculatrice Pos.'!$E$35</f>
        <v>2</v>
      </c>
      <c r="H192" s="45">
        <f>Positions[[#This Row],[Capital]]*Positions[[#This Row],[Evolution du capital par jour en %]]%</f>
        <v>140.73123008766564</v>
      </c>
      <c r="I192" s="46">
        <f>ROUND((((Positions[[#This Row],[Capital]]*Positions[[#This Row],[Evolution du capital par jour en %]]%)/('[2]Simulateur Calculatrice Pos.'!$E$15*'[2]Simulateur Calculatrice Pos.'!$E$24))/'[2]Simulateur Calculatrice Pos.'!$E$21),0)</f>
        <v>12</v>
      </c>
      <c r="J192" s="47">
        <f>IFERROR(IF(D192=5,((Positions[[#This Row],[Capital]]-F188)-K192),0),)</f>
        <v>0</v>
      </c>
      <c r="K192" s="48">
        <f>IFERROR(IF(D192=5,IF($B$6="Aucun retrait",0,IF($B$6=75%,(Positions[[#This Row],[Capital]]-F188)*75%)),0),)</f>
        <v>0</v>
      </c>
    </row>
    <row r="193" spans="4:11" ht="15.75" x14ac:dyDescent="0.25">
      <c r="D193" s="32">
        <f>WEEKDAY(Positions[[#This Row],[Jous / Séances de trading]],2)</f>
        <v>3</v>
      </c>
      <c r="E193" s="49">
        <f t="shared" si="4"/>
        <v>44608</v>
      </c>
      <c r="F193" s="50">
        <f t="shared" si="5"/>
        <v>7177.2927344709469</v>
      </c>
      <c r="G193" s="44">
        <f>'[2]Simulateur Calculatrice Pos.'!$E$35</f>
        <v>2</v>
      </c>
      <c r="H193" s="45">
        <f>Positions[[#This Row],[Capital]]*Positions[[#This Row],[Evolution du capital par jour en %]]%</f>
        <v>143.54585468941895</v>
      </c>
      <c r="I193" s="46">
        <f>ROUND((((Positions[[#This Row],[Capital]]*Positions[[#This Row],[Evolution du capital par jour en %]]%)/('[2]Simulateur Calculatrice Pos.'!$E$15*'[2]Simulateur Calculatrice Pos.'!$E$24))/'[2]Simulateur Calculatrice Pos.'!$E$21),0)</f>
        <v>12</v>
      </c>
      <c r="J193" s="47">
        <f>IFERROR(IF(D193=5,((Positions[[#This Row],[Capital]]-F189)-K193),0),)</f>
        <v>0</v>
      </c>
      <c r="K193" s="48">
        <f>IFERROR(IF(D193=5,IF($B$6="Aucun retrait",0,IF($B$6=75%,(Positions[[#This Row],[Capital]]-F189)*75%)),0),)</f>
        <v>0</v>
      </c>
    </row>
    <row r="194" spans="4:11" ht="15.75" x14ac:dyDescent="0.25">
      <c r="D194" s="32">
        <f>WEEKDAY(Positions[[#This Row],[Jous / Séances de trading]],2)</f>
        <v>4</v>
      </c>
      <c r="E194" s="49">
        <f t="shared" si="4"/>
        <v>44609</v>
      </c>
      <c r="F194" s="50">
        <f t="shared" si="5"/>
        <v>7320.8385891603657</v>
      </c>
      <c r="G194" s="44">
        <f>'[2]Simulateur Calculatrice Pos.'!$E$35</f>
        <v>2</v>
      </c>
      <c r="H194" s="45">
        <f>Positions[[#This Row],[Capital]]*Positions[[#This Row],[Evolution du capital par jour en %]]%</f>
        <v>146.41677178320731</v>
      </c>
      <c r="I194" s="46">
        <f>ROUND((((Positions[[#This Row],[Capital]]*Positions[[#This Row],[Evolution du capital par jour en %]]%)/('[2]Simulateur Calculatrice Pos.'!$E$15*'[2]Simulateur Calculatrice Pos.'!$E$24))/'[2]Simulateur Calculatrice Pos.'!$E$21),0)</f>
        <v>12</v>
      </c>
      <c r="J194" s="47">
        <f>IFERROR(IF(D194=5,((Positions[[#This Row],[Capital]]-F190)-K194),0),)</f>
        <v>0</v>
      </c>
      <c r="K194" s="48">
        <f>IFERROR(IF(D194=5,IF($B$6="Aucun retrait",0,IF($B$6=75%,(Positions[[#This Row],[Capital]]-F190)*75%)),0),)</f>
        <v>0</v>
      </c>
    </row>
    <row r="195" spans="4:11" ht="15.75" x14ac:dyDescent="0.25">
      <c r="D195" s="32">
        <f>WEEKDAY(Positions[[#This Row],[Jous / Séances de trading]],2)</f>
        <v>5</v>
      </c>
      <c r="E195" s="49">
        <f t="shared" si="4"/>
        <v>44610</v>
      </c>
      <c r="F195" s="50">
        <f t="shared" si="5"/>
        <v>7467.2553609435727</v>
      </c>
      <c r="G195" s="44">
        <f>'[2]Simulateur Calculatrice Pos.'!$E$35</f>
        <v>2</v>
      </c>
      <c r="H195" s="45">
        <f>Positions[[#This Row],[Capital]]*Positions[[#This Row],[Evolution du capital par jour en %]]%</f>
        <v>149.34510721887145</v>
      </c>
      <c r="I195" s="46">
        <f>ROUND((((Positions[[#This Row],[Capital]]*Positions[[#This Row],[Evolution du capital par jour en %]]%)/('[2]Simulateur Calculatrice Pos.'!$E$15*'[2]Simulateur Calculatrice Pos.'!$E$24))/'[2]Simulateur Calculatrice Pos.'!$E$21),0)</f>
        <v>12</v>
      </c>
      <c r="J195" s="47">
        <f>IFERROR(IF(D195=5,((Positions[[#This Row],[Capital]]-F191)-K195),0),)</f>
        <v>142.16641269097136</v>
      </c>
      <c r="K195" s="48">
        <f>IFERROR(IF(D195=5,IF($B$6="Aucun retrait",0,IF($B$6=75%,(Positions[[#This Row],[Capital]]-F191)*75%)),0),)</f>
        <v>426.49923807291407</v>
      </c>
    </row>
    <row r="196" spans="4:11" ht="15.75" x14ac:dyDescent="0.25">
      <c r="D196" s="32">
        <f>WEEKDAY(Positions[[#This Row],[Jous / Séances de trading]],2)</f>
        <v>1</v>
      </c>
      <c r="E196" s="49">
        <f t="shared" si="4"/>
        <v>44613</v>
      </c>
      <c r="F196" s="50">
        <f t="shared" si="5"/>
        <v>7190.1012300895309</v>
      </c>
      <c r="G196" s="44">
        <f>'[2]Simulateur Calculatrice Pos.'!$E$35</f>
        <v>2</v>
      </c>
      <c r="H196" s="45">
        <f>Positions[[#This Row],[Capital]]*Positions[[#This Row],[Evolution du capital par jour en %]]%</f>
        <v>143.80202460179063</v>
      </c>
      <c r="I196" s="46">
        <f>ROUND((((Positions[[#This Row],[Capital]]*Positions[[#This Row],[Evolution du capital par jour en %]]%)/('[2]Simulateur Calculatrice Pos.'!$E$15*'[2]Simulateur Calculatrice Pos.'!$E$24))/'[2]Simulateur Calculatrice Pos.'!$E$21),0)</f>
        <v>12</v>
      </c>
      <c r="J196" s="47">
        <f>IFERROR(IF(D196=5,((Positions[[#This Row],[Capital]]-F192)-K196),0),)</f>
        <v>0</v>
      </c>
      <c r="K196" s="48">
        <f>IFERROR(IF(D196=5,IF($B$6="Aucun retrait",0,IF($B$6=75%,(Positions[[#This Row],[Capital]]-F192)*75%)),0),)</f>
        <v>0</v>
      </c>
    </row>
    <row r="197" spans="4:11" ht="15.75" x14ac:dyDescent="0.25">
      <c r="D197" s="32">
        <f>WEEKDAY(Positions[[#This Row],[Jous / Séances de trading]],2)</f>
        <v>2</v>
      </c>
      <c r="E197" s="49">
        <f t="shared" si="4"/>
        <v>44614</v>
      </c>
      <c r="F197" s="50">
        <f t="shared" si="5"/>
        <v>7333.9032546913213</v>
      </c>
      <c r="G197" s="44">
        <f>'[2]Simulateur Calculatrice Pos.'!$E$35</f>
        <v>2</v>
      </c>
      <c r="H197" s="45">
        <f>Positions[[#This Row],[Capital]]*Positions[[#This Row],[Evolution du capital par jour en %]]%</f>
        <v>146.67806509382643</v>
      </c>
      <c r="I197" s="46">
        <f>ROUND((((Positions[[#This Row],[Capital]]*Positions[[#This Row],[Evolution du capital par jour en %]]%)/('[2]Simulateur Calculatrice Pos.'!$E$15*'[2]Simulateur Calculatrice Pos.'!$E$24))/'[2]Simulateur Calculatrice Pos.'!$E$21),0)</f>
        <v>12</v>
      </c>
      <c r="J197" s="47">
        <f>IFERROR(IF(D197=5,((Positions[[#This Row],[Capital]]-F193)-K197),0),)</f>
        <v>0</v>
      </c>
      <c r="K197" s="48">
        <f>IFERROR(IF(D197=5,IF($B$6="Aucun retrait",0,IF($B$6=75%,(Positions[[#This Row],[Capital]]-F193)*75%)),0),)</f>
        <v>0</v>
      </c>
    </row>
    <row r="198" spans="4:11" ht="15.75" x14ac:dyDescent="0.25">
      <c r="D198" s="32">
        <f>WEEKDAY(Positions[[#This Row],[Jous / Séances de trading]],2)</f>
        <v>3</v>
      </c>
      <c r="E198" s="49">
        <f t="shared" si="4"/>
        <v>44615</v>
      </c>
      <c r="F198" s="50">
        <f t="shared" si="5"/>
        <v>7480.5813197851476</v>
      </c>
      <c r="G198" s="44">
        <f>'[2]Simulateur Calculatrice Pos.'!$E$35</f>
        <v>2</v>
      </c>
      <c r="H198" s="45">
        <f>Positions[[#This Row],[Capital]]*Positions[[#This Row],[Evolution du capital par jour en %]]%</f>
        <v>149.61162639570296</v>
      </c>
      <c r="I198" s="46">
        <f>ROUND((((Positions[[#This Row],[Capital]]*Positions[[#This Row],[Evolution du capital par jour en %]]%)/('[2]Simulateur Calculatrice Pos.'!$E$15*'[2]Simulateur Calculatrice Pos.'!$E$24))/'[2]Simulateur Calculatrice Pos.'!$E$21),0)</f>
        <v>12</v>
      </c>
      <c r="J198" s="47">
        <f>IFERROR(IF(D198=5,((Positions[[#This Row],[Capital]]-F194)-K198),0),)</f>
        <v>0</v>
      </c>
      <c r="K198" s="48">
        <f>IFERROR(IF(D198=5,IF($B$6="Aucun retrait",0,IF($B$6=75%,(Positions[[#This Row],[Capital]]-F194)*75%)),0),)</f>
        <v>0</v>
      </c>
    </row>
    <row r="199" spans="4:11" ht="15.75" x14ac:dyDescent="0.25">
      <c r="D199" s="32">
        <f>WEEKDAY(Positions[[#This Row],[Jous / Séances de trading]],2)</f>
        <v>4</v>
      </c>
      <c r="E199" s="49">
        <f t="shared" si="4"/>
        <v>44616</v>
      </c>
      <c r="F199" s="50">
        <f t="shared" si="5"/>
        <v>7630.1929461808504</v>
      </c>
      <c r="G199" s="44">
        <f>'[2]Simulateur Calculatrice Pos.'!$E$35</f>
        <v>2</v>
      </c>
      <c r="H199" s="45">
        <f>Positions[[#This Row],[Capital]]*Positions[[#This Row],[Evolution du capital par jour en %]]%</f>
        <v>152.60385892361703</v>
      </c>
      <c r="I199" s="46">
        <f>ROUND((((Positions[[#This Row],[Capital]]*Positions[[#This Row],[Evolution du capital par jour en %]]%)/('[2]Simulateur Calculatrice Pos.'!$E$15*'[2]Simulateur Calculatrice Pos.'!$E$24))/'[2]Simulateur Calculatrice Pos.'!$E$21),0)</f>
        <v>13</v>
      </c>
      <c r="J199" s="47">
        <f>IFERROR(IF(D199=5,((Positions[[#This Row],[Capital]]-F195)-K199),0),)</f>
        <v>0</v>
      </c>
      <c r="K199" s="48">
        <f>IFERROR(IF(D199=5,IF($B$6="Aucun retrait",0,IF($B$6=75%,(Positions[[#This Row],[Capital]]-F195)*75%)),0),)</f>
        <v>0</v>
      </c>
    </row>
    <row r="200" spans="4:11" ht="15.75" x14ac:dyDescent="0.25">
      <c r="D200" s="32">
        <f>WEEKDAY(Positions[[#This Row],[Jous / Séances de trading]],2)</f>
        <v>5</v>
      </c>
      <c r="E200" s="49">
        <f t="shared" si="4"/>
        <v>44617</v>
      </c>
      <c r="F200" s="50">
        <f t="shared" si="5"/>
        <v>7782.7968051044672</v>
      </c>
      <c r="G200" s="44">
        <f>'[2]Simulateur Calculatrice Pos.'!$E$35</f>
        <v>2</v>
      </c>
      <c r="H200" s="45">
        <f>Positions[[#This Row],[Capital]]*Positions[[#This Row],[Evolution du capital par jour en %]]%</f>
        <v>155.65593610208936</v>
      </c>
      <c r="I200" s="46">
        <f>ROUND((((Positions[[#This Row],[Capital]]*Positions[[#This Row],[Evolution du capital par jour en %]]%)/('[2]Simulateur Calculatrice Pos.'!$E$15*'[2]Simulateur Calculatrice Pos.'!$E$24))/'[2]Simulateur Calculatrice Pos.'!$E$21),0)</f>
        <v>13</v>
      </c>
      <c r="J200" s="47">
        <f>IFERROR(IF(D200=5,((Positions[[#This Row],[Capital]]-F196)-K200),0),)</f>
        <v>148.17389375373409</v>
      </c>
      <c r="K200" s="48">
        <f>IFERROR(IF(D200=5,IF($B$6="Aucun retrait",0,IF($B$6=75%,(Positions[[#This Row],[Capital]]-F196)*75%)),0),)</f>
        <v>444.52168126120227</v>
      </c>
    </row>
    <row r="201" spans="4:11" ht="15.75" x14ac:dyDescent="0.25">
      <c r="D201" s="32">
        <f>WEEKDAY(Positions[[#This Row],[Jous / Séances de trading]],2)</f>
        <v>1</v>
      </c>
      <c r="E201" s="49">
        <f t="shared" ref="E201:E264" si="6">WORKDAY(E200,1)</f>
        <v>44620</v>
      </c>
      <c r="F201" s="50">
        <f t="shared" ref="F201:F264" si="7">IF(D201=1,(F200+H200)-K200,F200+H200)</f>
        <v>7493.9310599453538</v>
      </c>
      <c r="G201" s="44">
        <f>'[2]Simulateur Calculatrice Pos.'!$E$35</f>
        <v>2</v>
      </c>
      <c r="H201" s="45">
        <f>Positions[[#This Row],[Capital]]*Positions[[#This Row],[Evolution du capital par jour en %]]%</f>
        <v>149.87862119890707</v>
      </c>
      <c r="I201" s="46">
        <f>ROUND((((Positions[[#This Row],[Capital]]*Positions[[#This Row],[Evolution du capital par jour en %]]%)/('[2]Simulateur Calculatrice Pos.'!$E$15*'[2]Simulateur Calculatrice Pos.'!$E$24))/'[2]Simulateur Calculatrice Pos.'!$E$21),0)</f>
        <v>12</v>
      </c>
      <c r="J201" s="47">
        <f>IFERROR(IF(D201=5,((Positions[[#This Row],[Capital]]-F197)-K201),0),)</f>
        <v>0</v>
      </c>
      <c r="K201" s="48">
        <f>IFERROR(IF(D201=5,IF($B$6="Aucun retrait",0,IF($B$6=75%,(Positions[[#This Row],[Capital]]-F197)*75%)),0),)</f>
        <v>0</v>
      </c>
    </row>
    <row r="202" spans="4:11" ht="15.75" x14ac:dyDescent="0.25">
      <c r="D202" s="32">
        <f>WEEKDAY(Positions[[#This Row],[Jous / Séances de trading]],2)</f>
        <v>2</v>
      </c>
      <c r="E202" s="49">
        <f t="shared" si="6"/>
        <v>44621</v>
      </c>
      <c r="F202" s="50">
        <f t="shared" si="7"/>
        <v>7643.809681144261</v>
      </c>
      <c r="G202" s="44">
        <f>'[2]Simulateur Calculatrice Pos.'!$E$35</f>
        <v>2</v>
      </c>
      <c r="H202" s="45">
        <f>Positions[[#This Row],[Capital]]*Positions[[#This Row],[Evolution du capital par jour en %]]%</f>
        <v>152.87619362288521</v>
      </c>
      <c r="I202" s="46">
        <f>ROUND((((Positions[[#This Row],[Capital]]*Positions[[#This Row],[Evolution du capital par jour en %]]%)/('[2]Simulateur Calculatrice Pos.'!$E$15*'[2]Simulateur Calculatrice Pos.'!$E$24))/'[2]Simulateur Calculatrice Pos.'!$E$21),0)</f>
        <v>13</v>
      </c>
      <c r="J202" s="47">
        <f>IFERROR(IF(D202=5,((Positions[[#This Row],[Capital]]-F198)-K202),0),)</f>
        <v>0</v>
      </c>
      <c r="K202" s="48">
        <f>IFERROR(IF(D202=5,IF($B$6="Aucun retrait",0,IF($B$6=75%,(Positions[[#This Row],[Capital]]-F198)*75%)),0),)</f>
        <v>0</v>
      </c>
    </row>
    <row r="203" spans="4:11" ht="15.75" x14ac:dyDescent="0.25">
      <c r="D203" s="32">
        <f>WEEKDAY(Positions[[#This Row],[Jous / Séances de trading]],2)</f>
        <v>3</v>
      </c>
      <c r="E203" s="49">
        <f t="shared" si="6"/>
        <v>44622</v>
      </c>
      <c r="F203" s="50">
        <f t="shared" si="7"/>
        <v>7796.6858747671458</v>
      </c>
      <c r="G203" s="44">
        <f>'[2]Simulateur Calculatrice Pos.'!$E$35</f>
        <v>2</v>
      </c>
      <c r="H203" s="45">
        <f>Positions[[#This Row],[Capital]]*Positions[[#This Row],[Evolution du capital par jour en %]]%</f>
        <v>155.93371749534293</v>
      </c>
      <c r="I203" s="46">
        <f>ROUND((((Positions[[#This Row],[Capital]]*Positions[[#This Row],[Evolution du capital par jour en %]]%)/('[2]Simulateur Calculatrice Pos.'!$E$15*'[2]Simulateur Calculatrice Pos.'!$E$24))/'[2]Simulateur Calculatrice Pos.'!$E$21),0)</f>
        <v>13</v>
      </c>
      <c r="J203" s="47">
        <f>IFERROR(IF(D203=5,((Positions[[#This Row],[Capital]]-F199)-K203),0),)</f>
        <v>0</v>
      </c>
      <c r="K203" s="48">
        <f>IFERROR(IF(D203=5,IF($B$6="Aucun retrait",0,IF($B$6=75%,(Positions[[#This Row],[Capital]]-F199)*75%)),0),)</f>
        <v>0</v>
      </c>
    </row>
    <row r="204" spans="4:11" ht="15.75" x14ac:dyDescent="0.25">
      <c r="D204" s="32">
        <f>WEEKDAY(Positions[[#This Row],[Jous / Séances de trading]],2)</f>
        <v>4</v>
      </c>
      <c r="E204" s="49">
        <f t="shared" si="6"/>
        <v>44623</v>
      </c>
      <c r="F204" s="50">
        <f t="shared" si="7"/>
        <v>7952.6195922624884</v>
      </c>
      <c r="G204" s="44">
        <f>'[2]Simulateur Calculatrice Pos.'!$E$35</f>
        <v>2</v>
      </c>
      <c r="H204" s="45">
        <f>Positions[[#This Row],[Capital]]*Positions[[#This Row],[Evolution du capital par jour en %]]%</f>
        <v>159.05239184524976</v>
      </c>
      <c r="I204" s="46">
        <f>ROUND((((Positions[[#This Row],[Capital]]*Positions[[#This Row],[Evolution du capital par jour en %]]%)/('[2]Simulateur Calculatrice Pos.'!$E$15*'[2]Simulateur Calculatrice Pos.'!$E$24))/'[2]Simulateur Calculatrice Pos.'!$E$21),0)</f>
        <v>13</v>
      </c>
      <c r="J204" s="47">
        <f>IFERROR(IF(D204=5,((Positions[[#This Row],[Capital]]-F200)-K204),0),)</f>
        <v>0</v>
      </c>
      <c r="K204" s="48">
        <f>IFERROR(IF(D204=5,IF($B$6="Aucun retrait",0,IF($B$6=75%,(Positions[[#This Row],[Capital]]-F200)*75%)),0),)</f>
        <v>0</v>
      </c>
    </row>
    <row r="205" spans="4:11" ht="15.75" x14ac:dyDescent="0.25">
      <c r="D205" s="32">
        <f>WEEKDAY(Positions[[#This Row],[Jous / Séances de trading]],2)</f>
        <v>5</v>
      </c>
      <c r="E205" s="49">
        <f t="shared" si="6"/>
        <v>44624</v>
      </c>
      <c r="F205" s="50">
        <f t="shared" si="7"/>
        <v>8111.6719841077384</v>
      </c>
      <c r="G205" s="44">
        <f>'[2]Simulateur Calculatrice Pos.'!$E$35</f>
        <v>2</v>
      </c>
      <c r="H205" s="45">
        <f>Positions[[#This Row],[Capital]]*Positions[[#This Row],[Evolution du capital par jour en %]]%</f>
        <v>162.23343968215477</v>
      </c>
      <c r="I205" s="46">
        <f>ROUND((((Positions[[#This Row],[Capital]]*Positions[[#This Row],[Evolution du capital par jour en %]]%)/('[2]Simulateur Calculatrice Pos.'!$E$15*'[2]Simulateur Calculatrice Pos.'!$E$24))/'[2]Simulateur Calculatrice Pos.'!$E$21),0)</f>
        <v>14</v>
      </c>
      <c r="J205" s="47">
        <f>IFERROR(IF(D205=5,((Positions[[#This Row],[Capital]]-F201)-K205),0),)</f>
        <v>154.43523104059614</v>
      </c>
      <c r="K205" s="48">
        <f>IFERROR(IF(D205=5,IF($B$6="Aucun retrait",0,IF($B$6=75%,(Positions[[#This Row],[Capital]]-F201)*75%)),0),)</f>
        <v>463.30569312178841</v>
      </c>
    </row>
    <row r="206" spans="4:11" ht="15.75" x14ac:dyDescent="0.25">
      <c r="D206" s="32">
        <f>WEEKDAY(Positions[[#This Row],[Jous / Séances de trading]],2)</f>
        <v>1</v>
      </c>
      <c r="E206" s="49">
        <f t="shared" si="6"/>
        <v>44627</v>
      </c>
      <c r="F206" s="50">
        <f t="shared" si="7"/>
        <v>7810.5997306681038</v>
      </c>
      <c r="G206" s="44">
        <f>'[2]Simulateur Calculatrice Pos.'!$E$35</f>
        <v>2</v>
      </c>
      <c r="H206" s="45">
        <f>Positions[[#This Row],[Capital]]*Positions[[#This Row],[Evolution du capital par jour en %]]%</f>
        <v>156.21199461336207</v>
      </c>
      <c r="I206" s="46">
        <f>ROUND((((Positions[[#This Row],[Capital]]*Positions[[#This Row],[Evolution du capital par jour en %]]%)/('[2]Simulateur Calculatrice Pos.'!$E$15*'[2]Simulateur Calculatrice Pos.'!$E$24))/'[2]Simulateur Calculatrice Pos.'!$E$21),0)</f>
        <v>13</v>
      </c>
      <c r="J206" s="47">
        <f>IFERROR(IF(D206=5,((Positions[[#This Row],[Capital]]-F202)-K206),0),)</f>
        <v>0</v>
      </c>
      <c r="K206" s="48">
        <f>IFERROR(IF(D206=5,IF($B$6="Aucun retrait",0,IF($B$6=75%,(Positions[[#This Row],[Capital]]-F202)*75%)),0),)</f>
        <v>0</v>
      </c>
    </row>
    <row r="207" spans="4:11" ht="15.75" x14ac:dyDescent="0.25">
      <c r="D207" s="32">
        <f>WEEKDAY(Positions[[#This Row],[Jous / Séances de trading]],2)</f>
        <v>2</v>
      </c>
      <c r="E207" s="49">
        <f t="shared" si="6"/>
        <v>44628</v>
      </c>
      <c r="F207" s="50">
        <f t="shared" si="7"/>
        <v>7966.8117252814654</v>
      </c>
      <c r="G207" s="44">
        <f>'[2]Simulateur Calculatrice Pos.'!$E$35</f>
        <v>2</v>
      </c>
      <c r="H207" s="45">
        <f>Positions[[#This Row],[Capital]]*Positions[[#This Row],[Evolution du capital par jour en %]]%</f>
        <v>159.33623450562931</v>
      </c>
      <c r="I207" s="46">
        <f>ROUND((((Positions[[#This Row],[Capital]]*Positions[[#This Row],[Evolution du capital par jour en %]]%)/('[2]Simulateur Calculatrice Pos.'!$E$15*'[2]Simulateur Calculatrice Pos.'!$E$24))/'[2]Simulateur Calculatrice Pos.'!$E$21),0)</f>
        <v>13</v>
      </c>
      <c r="J207" s="47">
        <f>IFERROR(IF(D207=5,((Positions[[#This Row],[Capital]]-F203)-K207),0),)</f>
        <v>0</v>
      </c>
      <c r="K207" s="48">
        <f>IFERROR(IF(D207=5,IF($B$6="Aucun retrait",0,IF($B$6=75%,(Positions[[#This Row],[Capital]]-F203)*75%)),0),)</f>
        <v>0</v>
      </c>
    </row>
    <row r="208" spans="4:11" ht="15.75" x14ac:dyDescent="0.25">
      <c r="D208" s="32">
        <f>WEEKDAY(Positions[[#This Row],[Jous / Séances de trading]],2)</f>
        <v>3</v>
      </c>
      <c r="E208" s="49">
        <f t="shared" si="6"/>
        <v>44629</v>
      </c>
      <c r="F208" s="50">
        <f t="shared" si="7"/>
        <v>8126.1479597870948</v>
      </c>
      <c r="G208" s="44">
        <f>'[2]Simulateur Calculatrice Pos.'!$E$35</f>
        <v>2</v>
      </c>
      <c r="H208" s="45">
        <f>Positions[[#This Row],[Capital]]*Positions[[#This Row],[Evolution du capital par jour en %]]%</f>
        <v>162.52295919574189</v>
      </c>
      <c r="I208" s="46">
        <f>ROUND((((Positions[[#This Row],[Capital]]*Positions[[#This Row],[Evolution du capital par jour en %]]%)/('[2]Simulateur Calculatrice Pos.'!$E$15*'[2]Simulateur Calculatrice Pos.'!$E$24))/'[2]Simulateur Calculatrice Pos.'!$E$21),0)</f>
        <v>14</v>
      </c>
      <c r="J208" s="47">
        <f>IFERROR(IF(D208=5,((Positions[[#This Row],[Capital]]-F204)-K208),0),)</f>
        <v>0</v>
      </c>
      <c r="K208" s="48">
        <f>IFERROR(IF(D208=5,IF($B$6="Aucun retrait",0,IF($B$6=75%,(Positions[[#This Row],[Capital]]-F204)*75%)),0),)</f>
        <v>0</v>
      </c>
    </row>
    <row r="209" spans="4:11" ht="15.75" x14ac:dyDescent="0.25">
      <c r="D209" s="32">
        <f>WEEKDAY(Positions[[#This Row],[Jous / Séances de trading]],2)</f>
        <v>4</v>
      </c>
      <c r="E209" s="49">
        <f t="shared" si="6"/>
        <v>44630</v>
      </c>
      <c r="F209" s="50">
        <f t="shared" si="7"/>
        <v>8288.6709189828362</v>
      </c>
      <c r="G209" s="44">
        <f>'[2]Simulateur Calculatrice Pos.'!$E$35</f>
        <v>2</v>
      </c>
      <c r="H209" s="45">
        <f>Positions[[#This Row],[Capital]]*Positions[[#This Row],[Evolution du capital par jour en %]]%</f>
        <v>165.77341837965673</v>
      </c>
      <c r="I209" s="46">
        <f>ROUND((((Positions[[#This Row],[Capital]]*Positions[[#This Row],[Evolution du capital par jour en %]]%)/('[2]Simulateur Calculatrice Pos.'!$E$15*'[2]Simulateur Calculatrice Pos.'!$E$24))/'[2]Simulateur Calculatrice Pos.'!$E$21),0)</f>
        <v>14</v>
      </c>
      <c r="J209" s="47">
        <f>IFERROR(IF(D209=5,((Positions[[#This Row],[Capital]]-F205)-K209),0),)</f>
        <v>0</v>
      </c>
      <c r="K209" s="48">
        <f>IFERROR(IF(D209=5,IF($B$6="Aucun retrait",0,IF($B$6=75%,(Positions[[#This Row],[Capital]]-F205)*75%)),0),)</f>
        <v>0</v>
      </c>
    </row>
    <row r="210" spans="4:11" ht="15.75" x14ac:dyDescent="0.25">
      <c r="D210" s="32">
        <f>WEEKDAY(Positions[[#This Row],[Jous / Séances de trading]],2)</f>
        <v>5</v>
      </c>
      <c r="E210" s="49">
        <f t="shared" si="6"/>
        <v>44631</v>
      </c>
      <c r="F210" s="50">
        <f t="shared" si="7"/>
        <v>8454.4443373624927</v>
      </c>
      <c r="G210" s="44">
        <f>'[2]Simulateur Calculatrice Pos.'!$E$35</f>
        <v>2</v>
      </c>
      <c r="H210" s="45">
        <f>Positions[[#This Row],[Capital]]*Positions[[#This Row],[Evolution du capital par jour en %]]%</f>
        <v>169.08888674724986</v>
      </c>
      <c r="I210" s="46">
        <f>ROUND((((Positions[[#This Row],[Capital]]*Positions[[#This Row],[Evolution du capital par jour en %]]%)/('[2]Simulateur Calculatrice Pos.'!$E$15*'[2]Simulateur Calculatrice Pos.'!$E$24))/'[2]Simulateur Calculatrice Pos.'!$E$21),0)</f>
        <v>14</v>
      </c>
      <c r="J210" s="47">
        <f>IFERROR(IF(D210=5,((Positions[[#This Row],[Capital]]-F206)-K210),0),)</f>
        <v>160.96115167359721</v>
      </c>
      <c r="K210" s="48">
        <f>IFERROR(IF(D210=5,IF($B$6="Aucun retrait",0,IF($B$6=75%,(Positions[[#This Row],[Capital]]-F206)*75%)),0),)</f>
        <v>482.88345502079164</v>
      </c>
    </row>
    <row r="211" spans="4:11" ht="15.75" x14ac:dyDescent="0.25">
      <c r="D211" s="32">
        <f>WEEKDAY(Positions[[#This Row],[Jous / Séances de trading]],2)</f>
        <v>1</v>
      </c>
      <c r="E211" s="49">
        <f t="shared" si="6"/>
        <v>44634</v>
      </c>
      <c r="F211" s="50">
        <f t="shared" si="7"/>
        <v>8140.6497690889501</v>
      </c>
      <c r="G211" s="44">
        <f>'[2]Simulateur Calculatrice Pos.'!$E$35</f>
        <v>2</v>
      </c>
      <c r="H211" s="45">
        <f>Positions[[#This Row],[Capital]]*Positions[[#This Row],[Evolution du capital par jour en %]]%</f>
        <v>162.81299538177902</v>
      </c>
      <c r="I211" s="46">
        <f>ROUND((((Positions[[#This Row],[Capital]]*Positions[[#This Row],[Evolution du capital par jour en %]]%)/('[2]Simulateur Calculatrice Pos.'!$E$15*'[2]Simulateur Calculatrice Pos.'!$E$24))/'[2]Simulateur Calculatrice Pos.'!$E$21),0)</f>
        <v>14</v>
      </c>
      <c r="J211" s="47">
        <f>IFERROR(IF(D211=5,((Positions[[#This Row],[Capital]]-F207)-K211),0),)</f>
        <v>0</v>
      </c>
      <c r="K211" s="48">
        <f>IFERROR(IF(D211=5,IF($B$6="Aucun retrait",0,IF($B$6=75%,(Positions[[#This Row],[Capital]]-F207)*75%)),0),)</f>
        <v>0</v>
      </c>
    </row>
    <row r="212" spans="4:11" ht="15.75" x14ac:dyDescent="0.25">
      <c r="D212" s="32">
        <f>WEEKDAY(Positions[[#This Row],[Jous / Séances de trading]],2)</f>
        <v>2</v>
      </c>
      <c r="E212" s="49">
        <f t="shared" si="6"/>
        <v>44635</v>
      </c>
      <c r="F212" s="50">
        <f t="shared" si="7"/>
        <v>8303.4627644707289</v>
      </c>
      <c r="G212" s="44">
        <f>'[2]Simulateur Calculatrice Pos.'!$E$35</f>
        <v>2</v>
      </c>
      <c r="H212" s="45">
        <f>Positions[[#This Row],[Capital]]*Positions[[#This Row],[Evolution du capital par jour en %]]%</f>
        <v>166.06925528941457</v>
      </c>
      <c r="I212" s="46">
        <f>ROUND((((Positions[[#This Row],[Capital]]*Positions[[#This Row],[Evolution du capital par jour en %]]%)/('[2]Simulateur Calculatrice Pos.'!$E$15*'[2]Simulateur Calculatrice Pos.'!$E$24))/'[2]Simulateur Calculatrice Pos.'!$E$21),0)</f>
        <v>14</v>
      </c>
      <c r="J212" s="47">
        <f>IFERROR(IF(D212=5,((Positions[[#This Row],[Capital]]-F208)-K212),0),)</f>
        <v>0</v>
      </c>
      <c r="K212" s="48">
        <f>IFERROR(IF(D212=5,IF($B$6="Aucun retrait",0,IF($B$6=75%,(Positions[[#This Row],[Capital]]-F208)*75%)),0),)</f>
        <v>0</v>
      </c>
    </row>
    <row r="213" spans="4:11" ht="15.75" x14ac:dyDescent="0.25">
      <c r="D213" s="32">
        <f>WEEKDAY(Positions[[#This Row],[Jous / Séances de trading]],2)</f>
        <v>3</v>
      </c>
      <c r="E213" s="49">
        <f t="shared" si="6"/>
        <v>44636</v>
      </c>
      <c r="F213" s="50">
        <f t="shared" si="7"/>
        <v>8469.5320197601432</v>
      </c>
      <c r="G213" s="44">
        <f>'[2]Simulateur Calculatrice Pos.'!$E$35</f>
        <v>2</v>
      </c>
      <c r="H213" s="45">
        <f>Positions[[#This Row],[Capital]]*Positions[[#This Row],[Evolution du capital par jour en %]]%</f>
        <v>169.39064039520287</v>
      </c>
      <c r="I213" s="46">
        <f>ROUND((((Positions[[#This Row],[Capital]]*Positions[[#This Row],[Evolution du capital par jour en %]]%)/('[2]Simulateur Calculatrice Pos.'!$E$15*'[2]Simulateur Calculatrice Pos.'!$E$24))/'[2]Simulateur Calculatrice Pos.'!$E$21),0)</f>
        <v>14</v>
      </c>
      <c r="J213" s="47">
        <f>IFERROR(IF(D213=5,((Positions[[#This Row],[Capital]]-F209)-K213),0),)</f>
        <v>0</v>
      </c>
      <c r="K213" s="48">
        <f>IFERROR(IF(D213=5,IF($B$6="Aucun retrait",0,IF($B$6=75%,(Positions[[#This Row],[Capital]]-F209)*75%)),0),)</f>
        <v>0</v>
      </c>
    </row>
    <row r="214" spans="4:11" ht="15.75" x14ac:dyDescent="0.25">
      <c r="D214" s="32">
        <f>WEEKDAY(Positions[[#This Row],[Jous / Séances de trading]],2)</f>
        <v>4</v>
      </c>
      <c r="E214" s="49">
        <f t="shared" si="6"/>
        <v>44637</v>
      </c>
      <c r="F214" s="50">
        <f t="shared" si="7"/>
        <v>8638.9226601553455</v>
      </c>
      <c r="G214" s="44">
        <f>'[2]Simulateur Calculatrice Pos.'!$E$35</f>
        <v>2</v>
      </c>
      <c r="H214" s="45">
        <f>Positions[[#This Row],[Capital]]*Positions[[#This Row],[Evolution du capital par jour en %]]%</f>
        <v>172.77845320310692</v>
      </c>
      <c r="I214" s="46">
        <f>ROUND((((Positions[[#This Row],[Capital]]*Positions[[#This Row],[Evolution du capital par jour en %]]%)/('[2]Simulateur Calculatrice Pos.'!$E$15*'[2]Simulateur Calculatrice Pos.'!$E$24))/'[2]Simulateur Calculatrice Pos.'!$E$21),0)</f>
        <v>14</v>
      </c>
      <c r="J214" s="47">
        <f>IFERROR(IF(D214=5,((Positions[[#This Row],[Capital]]-F210)-K214),0),)</f>
        <v>0</v>
      </c>
      <c r="K214" s="48">
        <f>IFERROR(IF(D214=5,IF($B$6="Aucun retrait",0,IF($B$6=75%,(Positions[[#This Row],[Capital]]-F210)*75%)),0),)</f>
        <v>0</v>
      </c>
    </row>
    <row r="215" spans="4:11" ht="15.75" x14ac:dyDescent="0.25">
      <c r="D215" s="32">
        <f>WEEKDAY(Positions[[#This Row],[Jous / Séances de trading]],2)</f>
        <v>5</v>
      </c>
      <c r="E215" s="49">
        <f t="shared" si="6"/>
        <v>44638</v>
      </c>
      <c r="F215" s="50">
        <f t="shared" si="7"/>
        <v>8811.7011133584529</v>
      </c>
      <c r="G215" s="44">
        <f>'[2]Simulateur Calculatrice Pos.'!$E$35</f>
        <v>2</v>
      </c>
      <c r="H215" s="45">
        <f>Positions[[#This Row],[Capital]]*Positions[[#This Row],[Evolution du capital par jour en %]]%</f>
        <v>176.23402226716905</v>
      </c>
      <c r="I215" s="46">
        <f>ROUND((((Positions[[#This Row],[Capital]]*Positions[[#This Row],[Evolution du capital par jour en %]]%)/('[2]Simulateur Calculatrice Pos.'!$E$15*'[2]Simulateur Calculatrice Pos.'!$E$24))/'[2]Simulateur Calculatrice Pos.'!$E$21),0)</f>
        <v>15</v>
      </c>
      <c r="J215" s="47">
        <f>IFERROR(IF(D215=5,((Positions[[#This Row],[Capital]]-F211)-K215),0),)</f>
        <v>167.7628360673757</v>
      </c>
      <c r="K215" s="48">
        <f>IFERROR(IF(D215=5,IF($B$6="Aucun retrait",0,IF($B$6=75%,(Positions[[#This Row],[Capital]]-F211)*75%)),0),)</f>
        <v>503.2885082021271</v>
      </c>
    </row>
    <row r="216" spans="4:11" ht="15.75" x14ac:dyDescent="0.25">
      <c r="D216" s="32">
        <f>WEEKDAY(Positions[[#This Row],[Jous / Séances de trading]],2)</f>
        <v>1</v>
      </c>
      <c r="E216" s="49">
        <f t="shared" si="6"/>
        <v>44641</v>
      </c>
      <c r="F216" s="50">
        <f t="shared" si="7"/>
        <v>8484.6466274234936</v>
      </c>
      <c r="G216" s="44">
        <f>'[2]Simulateur Calculatrice Pos.'!$E$35</f>
        <v>2</v>
      </c>
      <c r="H216" s="45">
        <f>Positions[[#This Row],[Capital]]*Positions[[#This Row],[Evolution du capital par jour en %]]%</f>
        <v>169.69293254846988</v>
      </c>
      <c r="I216" s="46">
        <f>ROUND((((Positions[[#This Row],[Capital]]*Positions[[#This Row],[Evolution du capital par jour en %]]%)/('[2]Simulateur Calculatrice Pos.'!$E$15*'[2]Simulateur Calculatrice Pos.'!$E$24))/'[2]Simulateur Calculatrice Pos.'!$E$21),0)</f>
        <v>14</v>
      </c>
      <c r="J216" s="47">
        <f>IFERROR(IF(D216=5,((Positions[[#This Row],[Capital]]-F212)-K216),0),)</f>
        <v>0</v>
      </c>
      <c r="K216" s="48">
        <f>IFERROR(IF(D216=5,IF($B$6="Aucun retrait",0,IF($B$6=75%,(Positions[[#This Row],[Capital]]-F212)*75%)),0),)</f>
        <v>0</v>
      </c>
    </row>
    <row r="217" spans="4:11" ht="15.75" x14ac:dyDescent="0.25">
      <c r="D217" s="32">
        <f>WEEKDAY(Positions[[#This Row],[Jous / Séances de trading]],2)</f>
        <v>2</v>
      </c>
      <c r="E217" s="49">
        <f t="shared" si="6"/>
        <v>44642</v>
      </c>
      <c r="F217" s="50">
        <f t="shared" si="7"/>
        <v>8654.3395599719643</v>
      </c>
      <c r="G217" s="44">
        <f>'[2]Simulateur Calculatrice Pos.'!$E$35</f>
        <v>2</v>
      </c>
      <c r="H217" s="45">
        <f>Positions[[#This Row],[Capital]]*Positions[[#This Row],[Evolution du capital par jour en %]]%</f>
        <v>173.08679119943929</v>
      </c>
      <c r="I217" s="46">
        <f>ROUND((((Positions[[#This Row],[Capital]]*Positions[[#This Row],[Evolution du capital par jour en %]]%)/('[2]Simulateur Calculatrice Pos.'!$E$15*'[2]Simulateur Calculatrice Pos.'!$E$24))/'[2]Simulateur Calculatrice Pos.'!$E$21),0)</f>
        <v>14</v>
      </c>
      <c r="J217" s="47">
        <f>IFERROR(IF(D217=5,((Positions[[#This Row],[Capital]]-F213)-K217),0),)</f>
        <v>0</v>
      </c>
      <c r="K217" s="48">
        <f>IFERROR(IF(D217=5,IF($B$6="Aucun retrait",0,IF($B$6=75%,(Positions[[#This Row],[Capital]]-F213)*75%)),0),)</f>
        <v>0</v>
      </c>
    </row>
    <row r="218" spans="4:11" ht="15.75" x14ac:dyDescent="0.25">
      <c r="D218" s="32">
        <f>WEEKDAY(Positions[[#This Row],[Jous / Séances de trading]],2)</f>
        <v>3</v>
      </c>
      <c r="E218" s="49">
        <f t="shared" si="6"/>
        <v>44643</v>
      </c>
      <c r="F218" s="50">
        <f t="shared" si="7"/>
        <v>8827.4263511714034</v>
      </c>
      <c r="G218" s="44">
        <f>'[2]Simulateur Calculatrice Pos.'!$E$35</f>
        <v>2</v>
      </c>
      <c r="H218" s="45">
        <f>Positions[[#This Row],[Capital]]*Positions[[#This Row],[Evolution du capital par jour en %]]%</f>
        <v>176.54852702342808</v>
      </c>
      <c r="I218" s="46">
        <f>ROUND((((Positions[[#This Row],[Capital]]*Positions[[#This Row],[Evolution du capital par jour en %]]%)/('[2]Simulateur Calculatrice Pos.'!$E$15*'[2]Simulateur Calculatrice Pos.'!$E$24))/'[2]Simulateur Calculatrice Pos.'!$E$21),0)</f>
        <v>15</v>
      </c>
      <c r="J218" s="47">
        <f>IFERROR(IF(D218=5,((Positions[[#This Row],[Capital]]-F214)-K218),0),)</f>
        <v>0</v>
      </c>
      <c r="K218" s="48">
        <f>IFERROR(IF(D218=5,IF($B$6="Aucun retrait",0,IF($B$6=75%,(Positions[[#This Row],[Capital]]-F214)*75%)),0),)</f>
        <v>0</v>
      </c>
    </row>
    <row r="219" spans="4:11" ht="15.75" x14ac:dyDescent="0.25">
      <c r="D219" s="32">
        <f>WEEKDAY(Positions[[#This Row],[Jous / Séances de trading]],2)</f>
        <v>4</v>
      </c>
      <c r="E219" s="49">
        <f t="shared" si="6"/>
        <v>44644</v>
      </c>
      <c r="F219" s="50">
        <f t="shared" si="7"/>
        <v>9003.974878194831</v>
      </c>
      <c r="G219" s="44">
        <f>'[2]Simulateur Calculatrice Pos.'!$E$35</f>
        <v>2</v>
      </c>
      <c r="H219" s="45">
        <f>Positions[[#This Row],[Capital]]*Positions[[#This Row],[Evolution du capital par jour en %]]%</f>
        <v>180.07949756389664</v>
      </c>
      <c r="I219" s="46">
        <f>ROUND((((Positions[[#This Row],[Capital]]*Positions[[#This Row],[Evolution du capital par jour en %]]%)/('[2]Simulateur Calculatrice Pos.'!$E$15*'[2]Simulateur Calculatrice Pos.'!$E$24))/'[2]Simulateur Calculatrice Pos.'!$E$21),0)</f>
        <v>15</v>
      </c>
      <c r="J219" s="47">
        <f>IFERROR(IF(D219=5,((Positions[[#This Row],[Capital]]-F215)-K219),0),)</f>
        <v>0</v>
      </c>
      <c r="K219" s="48">
        <f>IFERROR(IF(D219=5,IF($B$6="Aucun retrait",0,IF($B$6=75%,(Positions[[#This Row],[Capital]]-F215)*75%)),0),)</f>
        <v>0</v>
      </c>
    </row>
    <row r="220" spans="4:11" ht="15.75" x14ac:dyDescent="0.25">
      <c r="D220" s="32">
        <f>WEEKDAY(Positions[[#This Row],[Jous / Séances de trading]],2)</f>
        <v>5</v>
      </c>
      <c r="E220" s="49">
        <f t="shared" si="6"/>
        <v>44645</v>
      </c>
      <c r="F220" s="50">
        <f t="shared" si="7"/>
        <v>9184.0543757587275</v>
      </c>
      <c r="G220" s="44">
        <f>'[2]Simulateur Calculatrice Pos.'!$E$35</f>
        <v>2</v>
      </c>
      <c r="H220" s="45">
        <f>Positions[[#This Row],[Capital]]*Positions[[#This Row],[Evolution du capital par jour en %]]%</f>
        <v>183.68108751517454</v>
      </c>
      <c r="I220" s="46">
        <f>ROUND((((Positions[[#This Row],[Capital]]*Positions[[#This Row],[Evolution du capital par jour en %]]%)/('[2]Simulateur Calculatrice Pos.'!$E$15*'[2]Simulateur Calculatrice Pos.'!$E$24))/'[2]Simulateur Calculatrice Pos.'!$E$21),0)</f>
        <v>15</v>
      </c>
      <c r="J220" s="47">
        <f>IFERROR(IF(D220=5,((Positions[[#This Row],[Capital]]-F216)-K220),0),)</f>
        <v>174.85193708380848</v>
      </c>
      <c r="K220" s="48">
        <f>IFERROR(IF(D220=5,IF($B$6="Aucun retrait",0,IF($B$6=75%,(Positions[[#This Row],[Capital]]-F216)*75%)),0),)</f>
        <v>524.55581125142544</v>
      </c>
    </row>
    <row r="221" spans="4:11" ht="15.75" x14ac:dyDescent="0.25">
      <c r="D221" s="32">
        <f>WEEKDAY(Positions[[#This Row],[Jous / Séances de trading]],2)</f>
        <v>1</v>
      </c>
      <c r="E221" s="49">
        <f t="shared" si="6"/>
        <v>44648</v>
      </c>
      <c r="F221" s="50">
        <f t="shared" si="7"/>
        <v>8843.179652022478</v>
      </c>
      <c r="G221" s="44">
        <f>'[2]Simulateur Calculatrice Pos.'!$E$35</f>
        <v>2</v>
      </c>
      <c r="H221" s="45">
        <f>Positions[[#This Row],[Capital]]*Positions[[#This Row],[Evolution du capital par jour en %]]%</f>
        <v>176.86359304044956</v>
      </c>
      <c r="I221" s="46">
        <f>ROUND((((Positions[[#This Row],[Capital]]*Positions[[#This Row],[Evolution du capital par jour en %]]%)/('[2]Simulateur Calculatrice Pos.'!$E$15*'[2]Simulateur Calculatrice Pos.'!$E$24))/'[2]Simulateur Calculatrice Pos.'!$E$21),0)</f>
        <v>15</v>
      </c>
      <c r="J221" s="47">
        <f>IFERROR(IF(D221=5,((Positions[[#This Row],[Capital]]-F217)-K221),0),)</f>
        <v>0</v>
      </c>
      <c r="K221" s="48">
        <f>IFERROR(IF(D221=5,IF($B$6="Aucun retrait",0,IF($B$6=75%,(Positions[[#This Row],[Capital]]-F217)*75%)),0),)</f>
        <v>0</v>
      </c>
    </row>
    <row r="222" spans="4:11" ht="15.75" x14ac:dyDescent="0.25">
      <c r="D222" s="32">
        <f>WEEKDAY(Positions[[#This Row],[Jous / Séances de trading]],2)</f>
        <v>2</v>
      </c>
      <c r="E222" s="49">
        <f t="shared" si="6"/>
        <v>44649</v>
      </c>
      <c r="F222" s="50">
        <f t="shared" si="7"/>
        <v>9020.0432450629269</v>
      </c>
      <c r="G222" s="44">
        <f>'[2]Simulateur Calculatrice Pos.'!$E$35</f>
        <v>2</v>
      </c>
      <c r="H222" s="45">
        <f>Positions[[#This Row],[Capital]]*Positions[[#This Row],[Evolution du capital par jour en %]]%</f>
        <v>180.40086490125853</v>
      </c>
      <c r="I222" s="46">
        <f>ROUND((((Positions[[#This Row],[Capital]]*Positions[[#This Row],[Evolution du capital par jour en %]]%)/('[2]Simulateur Calculatrice Pos.'!$E$15*'[2]Simulateur Calculatrice Pos.'!$E$24))/'[2]Simulateur Calculatrice Pos.'!$E$21),0)</f>
        <v>15</v>
      </c>
      <c r="J222" s="47">
        <f>IFERROR(IF(D222=5,((Positions[[#This Row],[Capital]]-F218)-K222),0),)</f>
        <v>0</v>
      </c>
      <c r="K222" s="48">
        <f>IFERROR(IF(D222=5,IF($B$6="Aucun retrait",0,IF($B$6=75%,(Positions[[#This Row],[Capital]]-F218)*75%)),0),)</f>
        <v>0</v>
      </c>
    </row>
    <row r="223" spans="4:11" ht="15.75" x14ac:dyDescent="0.25">
      <c r="D223" s="32">
        <f>WEEKDAY(Positions[[#This Row],[Jous / Séances de trading]],2)</f>
        <v>3</v>
      </c>
      <c r="E223" s="49">
        <f t="shared" si="6"/>
        <v>44650</v>
      </c>
      <c r="F223" s="50">
        <f t="shared" si="7"/>
        <v>9200.4441099641863</v>
      </c>
      <c r="G223" s="44">
        <f>'[2]Simulateur Calculatrice Pos.'!$E$35</f>
        <v>2</v>
      </c>
      <c r="H223" s="45">
        <f>Positions[[#This Row],[Capital]]*Positions[[#This Row],[Evolution du capital par jour en %]]%</f>
        <v>184.00888219928373</v>
      </c>
      <c r="I223" s="46">
        <f>ROUND((((Positions[[#This Row],[Capital]]*Positions[[#This Row],[Evolution du capital par jour en %]]%)/('[2]Simulateur Calculatrice Pos.'!$E$15*'[2]Simulateur Calculatrice Pos.'!$E$24))/'[2]Simulateur Calculatrice Pos.'!$E$21),0)</f>
        <v>15</v>
      </c>
      <c r="J223" s="47">
        <f>IFERROR(IF(D223=5,((Positions[[#This Row],[Capital]]-F219)-K223),0),)</f>
        <v>0</v>
      </c>
      <c r="K223" s="48">
        <f>IFERROR(IF(D223=5,IF($B$6="Aucun retrait",0,IF($B$6=75%,(Positions[[#This Row],[Capital]]-F219)*75%)),0),)</f>
        <v>0</v>
      </c>
    </row>
    <row r="224" spans="4:11" ht="15.75" x14ac:dyDescent="0.25">
      <c r="D224" s="32">
        <f>WEEKDAY(Positions[[#This Row],[Jous / Séances de trading]],2)</f>
        <v>4</v>
      </c>
      <c r="E224" s="49">
        <f t="shared" si="6"/>
        <v>44651</v>
      </c>
      <c r="F224" s="50">
        <f t="shared" si="7"/>
        <v>9384.4529921634694</v>
      </c>
      <c r="G224" s="44">
        <f>'[2]Simulateur Calculatrice Pos.'!$E$35</f>
        <v>2</v>
      </c>
      <c r="H224" s="45">
        <f>Positions[[#This Row],[Capital]]*Positions[[#This Row],[Evolution du capital par jour en %]]%</f>
        <v>187.6890598432694</v>
      </c>
      <c r="I224" s="46">
        <f>ROUND((((Positions[[#This Row],[Capital]]*Positions[[#This Row],[Evolution du capital par jour en %]]%)/('[2]Simulateur Calculatrice Pos.'!$E$15*'[2]Simulateur Calculatrice Pos.'!$E$24))/'[2]Simulateur Calculatrice Pos.'!$E$21),0)</f>
        <v>16</v>
      </c>
      <c r="J224" s="47">
        <f>IFERROR(IF(D224=5,((Positions[[#This Row],[Capital]]-F220)-K224),0),)</f>
        <v>0</v>
      </c>
      <c r="K224" s="48">
        <f>IFERROR(IF(D224=5,IF($B$6="Aucun retrait",0,IF($B$6=75%,(Positions[[#This Row],[Capital]]-F220)*75%)),0),)</f>
        <v>0</v>
      </c>
    </row>
    <row r="225" spans="4:11" ht="15.75" x14ac:dyDescent="0.25">
      <c r="D225" s="32">
        <f>WEEKDAY(Positions[[#This Row],[Jous / Séances de trading]],2)</f>
        <v>5</v>
      </c>
      <c r="E225" s="49">
        <f t="shared" si="6"/>
        <v>44652</v>
      </c>
      <c r="F225" s="50">
        <f t="shared" si="7"/>
        <v>9572.1420520067386</v>
      </c>
      <c r="G225" s="44">
        <f>'[2]Simulateur Calculatrice Pos.'!$E$35</f>
        <v>2</v>
      </c>
      <c r="H225" s="45">
        <f>Positions[[#This Row],[Capital]]*Positions[[#This Row],[Evolution du capital par jour en %]]%</f>
        <v>191.44284104013477</v>
      </c>
      <c r="I225" s="46">
        <f>ROUND((((Positions[[#This Row],[Capital]]*Positions[[#This Row],[Evolution du capital par jour en %]]%)/('[2]Simulateur Calculatrice Pos.'!$E$15*'[2]Simulateur Calculatrice Pos.'!$E$24))/'[2]Simulateur Calculatrice Pos.'!$E$21),0)</f>
        <v>16</v>
      </c>
      <c r="J225" s="47">
        <f>IFERROR(IF(D225=5,((Positions[[#This Row],[Capital]]-F221)-K225),0),)</f>
        <v>182.24059999606516</v>
      </c>
      <c r="K225" s="48">
        <f>IFERROR(IF(D225=5,IF($B$6="Aucun retrait",0,IF($B$6=75%,(Positions[[#This Row],[Capital]]-F221)*75%)),0),)</f>
        <v>546.72179998819547</v>
      </c>
    </row>
    <row r="226" spans="4:11" ht="15.75" x14ac:dyDescent="0.25">
      <c r="D226" s="32">
        <f>WEEKDAY(Positions[[#This Row],[Jous / Séances de trading]],2)</f>
        <v>1</v>
      </c>
      <c r="E226" s="49">
        <f t="shared" si="6"/>
        <v>44655</v>
      </c>
      <c r="F226" s="50">
        <f t="shared" si="7"/>
        <v>9216.8630930586769</v>
      </c>
      <c r="G226" s="44">
        <f>'[2]Simulateur Calculatrice Pos.'!$E$35</f>
        <v>2</v>
      </c>
      <c r="H226" s="45">
        <f>Positions[[#This Row],[Capital]]*Positions[[#This Row],[Evolution du capital par jour en %]]%</f>
        <v>184.33726186117354</v>
      </c>
      <c r="I226" s="46">
        <f>ROUND((((Positions[[#This Row],[Capital]]*Positions[[#This Row],[Evolution du capital par jour en %]]%)/('[2]Simulateur Calculatrice Pos.'!$E$15*'[2]Simulateur Calculatrice Pos.'!$E$24))/'[2]Simulateur Calculatrice Pos.'!$E$21),0)</f>
        <v>15</v>
      </c>
      <c r="J226" s="47">
        <f>IFERROR(IF(D226=5,((Positions[[#This Row],[Capital]]-F222)-K226),0),)</f>
        <v>0</v>
      </c>
      <c r="K226" s="48">
        <f>IFERROR(IF(D226=5,IF($B$6="Aucun retrait",0,IF($B$6=75%,(Positions[[#This Row],[Capital]]-F222)*75%)),0),)</f>
        <v>0</v>
      </c>
    </row>
    <row r="227" spans="4:11" ht="15.75" x14ac:dyDescent="0.25">
      <c r="D227" s="32">
        <f>WEEKDAY(Positions[[#This Row],[Jous / Séances de trading]],2)</f>
        <v>2</v>
      </c>
      <c r="E227" s="49">
        <f t="shared" si="6"/>
        <v>44656</v>
      </c>
      <c r="F227" s="50">
        <f t="shared" si="7"/>
        <v>9401.2003549198507</v>
      </c>
      <c r="G227" s="44">
        <f>'[2]Simulateur Calculatrice Pos.'!$E$35</f>
        <v>2</v>
      </c>
      <c r="H227" s="45">
        <f>Positions[[#This Row],[Capital]]*Positions[[#This Row],[Evolution du capital par jour en %]]%</f>
        <v>188.02400709839702</v>
      </c>
      <c r="I227" s="46">
        <f>ROUND((((Positions[[#This Row],[Capital]]*Positions[[#This Row],[Evolution du capital par jour en %]]%)/('[2]Simulateur Calculatrice Pos.'!$E$15*'[2]Simulateur Calculatrice Pos.'!$E$24))/'[2]Simulateur Calculatrice Pos.'!$E$21),0)</f>
        <v>16</v>
      </c>
      <c r="J227" s="47">
        <f>IFERROR(IF(D227=5,((Positions[[#This Row],[Capital]]-F223)-K227),0),)</f>
        <v>0</v>
      </c>
      <c r="K227" s="48">
        <f>IFERROR(IF(D227=5,IF($B$6="Aucun retrait",0,IF($B$6=75%,(Positions[[#This Row],[Capital]]-F223)*75%)),0),)</f>
        <v>0</v>
      </c>
    </row>
    <row r="228" spans="4:11" ht="15.75" x14ac:dyDescent="0.25">
      <c r="D228" s="32">
        <f>WEEKDAY(Positions[[#This Row],[Jous / Séances de trading]],2)</f>
        <v>3</v>
      </c>
      <c r="E228" s="49">
        <f t="shared" si="6"/>
        <v>44657</v>
      </c>
      <c r="F228" s="50">
        <f t="shared" si="7"/>
        <v>9589.2243620182471</v>
      </c>
      <c r="G228" s="44">
        <f>'[2]Simulateur Calculatrice Pos.'!$E$35</f>
        <v>2</v>
      </c>
      <c r="H228" s="45">
        <f>Positions[[#This Row],[Capital]]*Positions[[#This Row],[Evolution du capital par jour en %]]%</f>
        <v>191.78448724036494</v>
      </c>
      <c r="I228" s="46">
        <f>ROUND((((Positions[[#This Row],[Capital]]*Positions[[#This Row],[Evolution du capital par jour en %]]%)/('[2]Simulateur Calculatrice Pos.'!$E$15*'[2]Simulateur Calculatrice Pos.'!$E$24))/'[2]Simulateur Calculatrice Pos.'!$E$21),0)</f>
        <v>16</v>
      </c>
      <c r="J228" s="47">
        <f>IFERROR(IF(D228=5,((Positions[[#This Row],[Capital]]-F224)-K228),0),)</f>
        <v>0</v>
      </c>
      <c r="K228" s="48">
        <f>IFERROR(IF(D228=5,IF($B$6="Aucun retrait",0,IF($B$6=75%,(Positions[[#This Row],[Capital]]-F224)*75%)),0),)</f>
        <v>0</v>
      </c>
    </row>
    <row r="229" spans="4:11" ht="15.75" x14ac:dyDescent="0.25">
      <c r="D229" s="32">
        <f>WEEKDAY(Positions[[#This Row],[Jous / Séances de trading]],2)</f>
        <v>4</v>
      </c>
      <c r="E229" s="49">
        <f t="shared" si="6"/>
        <v>44658</v>
      </c>
      <c r="F229" s="50">
        <f t="shared" si="7"/>
        <v>9781.0088492586128</v>
      </c>
      <c r="G229" s="44">
        <f>'[2]Simulateur Calculatrice Pos.'!$E$35</f>
        <v>2</v>
      </c>
      <c r="H229" s="45">
        <f>Positions[[#This Row],[Capital]]*Positions[[#This Row],[Evolution du capital par jour en %]]%</f>
        <v>195.62017698517226</v>
      </c>
      <c r="I229" s="46">
        <f>ROUND((((Positions[[#This Row],[Capital]]*Positions[[#This Row],[Evolution du capital par jour en %]]%)/('[2]Simulateur Calculatrice Pos.'!$E$15*'[2]Simulateur Calculatrice Pos.'!$E$24))/'[2]Simulateur Calculatrice Pos.'!$E$21),0)</f>
        <v>16</v>
      </c>
      <c r="J229" s="47">
        <f>IFERROR(IF(D229=5,((Positions[[#This Row],[Capital]]-F225)-K229),0),)</f>
        <v>0</v>
      </c>
      <c r="K229" s="48">
        <f>IFERROR(IF(D229=5,IF($B$6="Aucun retrait",0,IF($B$6=75%,(Positions[[#This Row],[Capital]]-F225)*75%)),0),)</f>
        <v>0</v>
      </c>
    </row>
    <row r="230" spans="4:11" ht="15.75" x14ac:dyDescent="0.25">
      <c r="D230" s="32">
        <f>WEEKDAY(Positions[[#This Row],[Jous / Séances de trading]],2)</f>
        <v>5</v>
      </c>
      <c r="E230" s="49">
        <f t="shared" si="6"/>
        <v>44659</v>
      </c>
      <c r="F230" s="50">
        <f t="shared" si="7"/>
        <v>9976.6290262437851</v>
      </c>
      <c r="G230" s="44">
        <f>'[2]Simulateur Calculatrice Pos.'!$E$35</f>
        <v>2</v>
      </c>
      <c r="H230" s="45">
        <f>Positions[[#This Row],[Capital]]*Positions[[#This Row],[Evolution du capital par jour en %]]%</f>
        <v>199.5325805248757</v>
      </c>
      <c r="I230" s="46">
        <f>ROUND((((Positions[[#This Row],[Capital]]*Positions[[#This Row],[Evolution du capital par jour en %]]%)/('[2]Simulateur Calculatrice Pos.'!$E$15*'[2]Simulateur Calculatrice Pos.'!$E$24))/'[2]Simulateur Calculatrice Pos.'!$E$21),0)</f>
        <v>17</v>
      </c>
      <c r="J230" s="47">
        <f>IFERROR(IF(D230=5,((Positions[[#This Row],[Capital]]-F226)-K230),0),)</f>
        <v>189.94148329627706</v>
      </c>
      <c r="K230" s="48">
        <f>IFERROR(IF(D230=5,IF($B$6="Aucun retrait",0,IF($B$6=75%,(Positions[[#This Row],[Capital]]-F226)*75%)),0),)</f>
        <v>569.82444988883117</v>
      </c>
    </row>
    <row r="231" spans="4:11" ht="15.75" x14ac:dyDescent="0.25">
      <c r="D231" s="32">
        <f>WEEKDAY(Positions[[#This Row],[Jous / Séances de trading]],2)</f>
        <v>1</v>
      </c>
      <c r="E231" s="49">
        <f t="shared" si="6"/>
        <v>44662</v>
      </c>
      <c r="F231" s="50">
        <f t="shared" si="7"/>
        <v>9606.3371568798302</v>
      </c>
      <c r="G231" s="44">
        <f>'[2]Simulateur Calculatrice Pos.'!$E$35</f>
        <v>2</v>
      </c>
      <c r="H231" s="45">
        <f>Positions[[#This Row],[Capital]]*Positions[[#This Row],[Evolution du capital par jour en %]]%</f>
        <v>192.12674313759661</v>
      </c>
      <c r="I231" s="46">
        <f>ROUND((((Positions[[#This Row],[Capital]]*Positions[[#This Row],[Evolution du capital par jour en %]]%)/('[2]Simulateur Calculatrice Pos.'!$E$15*'[2]Simulateur Calculatrice Pos.'!$E$24))/'[2]Simulateur Calculatrice Pos.'!$E$21),0)</f>
        <v>16</v>
      </c>
      <c r="J231" s="47">
        <f>IFERROR(IF(D231=5,((Positions[[#This Row],[Capital]]-F227)-K231),0),)</f>
        <v>0</v>
      </c>
      <c r="K231" s="48">
        <f>IFERROR(IF(D231=5,IF($B$6="Aucun retrait",0,IF($B$6=75%,(Positions[[#This Row],[Capital]]-F227)*75%)),0),)</f>
        <v>0</v>
      </c>
    </row>
    <row r="232" spans="4:11" ht="15.75" x14ac:dyDescent="0.25">
      <c r="D232" s="32">
        <f>WEEKDAY(Positions[[#This Row],[Jous / Séances de trading]],2)</f>
        <v>2</v>
      </c>
      <c r="E232" s="49">
        <f t="shared" si="6"/>
        <v>44663</v>
      </c>
      <c r="F232" s="50">
        <f t="shared" si="7"/>
        <v>9798.4639000174266</v>
      </c>
      <c r="G232" s="44">
        <f>'[2]Simulateur Calculatrice Pos.'!$E$35</f>
        <v>2</v>
      </c>
      <c r="H232" s="45">
        <f>Positions[[#This Row],[Capital]]*Positions[[#This Row],[Evolution du capital par jour en %]]%</f>
        <v>195.96927800034854</v>
      </c>
      <c r="I232" s="46">
        <f>ROUND((((Positions[[#This Row],[Capital]]*Positions[[#This Row],[Evolution du capital par jour en %]]%)/('[2]Simulateur Calculatrice Pos.'!$E$15*'[2]Simulateur Calculatrice Pos.'!$E$24))/'[2]Simulateur Calculatrice Pos.'!$E$21),0)</f>
        <v>16</v>
      </c>
      <c r="J232" s="47">
        <f>IFERROR(IF(D232=5,((Positions[[#This Row],[Capital]]-F228)-K232),0),)</f>
        <v>0</v>
      </c>
      <c r="K232" s="48">
        <f>IFERROR(IF(D232=5,IF($B$6="Aucun retrait",0,IF($B$6=75%,(Positions[[#This Row],[Capital]]-F228)*75%)),0),)</f>
        <v>0</v>
      </c>
    </row>
    <row r="233" spans="4:11" ht="15.75" x14ac:dyDescent="0.25">
      <c r="D233" s="32">
        <f>WEEKDAY(Positions[[#This Row],[Jous / Séances de trading]],2)</f>
        <v>3</v>
      </c>
      <c r="E233" s="49">
        <f t="shared" si="6"/>
        <v>44664</v>
      </c>
      <c r="F233" s="50">
        <f t="shared" si="7"/>
        <v>9994.4331780177745</v>
      </c>
      <c r="G233" s="44">
        <f>'[2]Simulateur Calculatrice Pos.'!$E$35</f>
        <v>2</v>
      </c>
      <c r="H233" s="45">
        <f>Positions[[#This Row],[Capital]]*Positions[[#This Row],[Evolution du capital par jour en %]]%</f>
        <v>199.8886635603555</v>
      </c>
      <c r="I233" s="46">
        <f>ROUND((((Positions[[#This Row],[Capital]]*Positions[[#This Row],[Evolution du capital par jour en %]]%)/('[2]Simulateur Calculatrice Pos.'!$E$15*'[2]Simulateur Calculatrice Pos.'!$E$24))/'[2]Simulateur Calculatrice Pos.'!$E$21),0)</f>
        <v>17</v>
      </c>
      <c r="J233" s="47">
        <f>IFERROR(IF(D233=5,((Positions[[#This Row],[Capital]]-F229)-K233),0),)</f>
        <v>0</v>
      </c>
      <c r="K233" s="48">
        <f>IFERROR(IF(D233=5,IF($B$6="Aucun retrait",0,IF($B$6=75%,(Positions[[#This Row],[Capital]]-F229)*75%)),0),)</f>
        <v>0</v>
      </c>
    </row>
    <row r="234" spans="4:11" ht="15.75" x14ac:dyDescent="0.25">
      <c r="D234" s="32">
        <f>WEEKDAY(Positions[[#This Row],[Jous / Séances de trading]],2)</f>
        <v>4</v>
      </c>
      <c r="E234" s="49">
        <f t="shared" si="6"/>
        <v>44665</v>
      </c>
      <c r="F234" s="50">
        <f t="shared" si="7"/>
        <v>10194.32184157813</v>
      </c>
      <c r="G234" s="44">
        <f>'[2]Simulateur Calculatrice Pos.'!$E$35</f>
        <v>2</v>
      </c>
      <c r="H234" s="45">
        <f>Positions[[#This Row],[Capital]]*Positions[[#This Row],[Evolution du capital par jour en %]]%</f>
        <v>203.88643683156261</v>
      </c>
      <c r="I234" s="46">
        <f>ROUND((((Positions[[#This Row],[Capital]]*Positions[[#This Row],[Evolution du capital par jour en %]]%)/('[2]Simulateur Calculatrice Pos.'!$E$15*'[2]Simulateur Calculatrice Pos.'!$E$24))/'[2]Simulateur Calculatrice Pos.'!$E$21),0)</f>
        <v>17</v>
      </c>
      <c r="J234" s="47">
        <f>IFERROR(IF(D234=5,((Positions[[#This Row],[Capital]]-F230)-K234),0),)</f>
        <v>0</v>
      </c>
      <c r="K234" s="48">
        <f>IFERROR(IF(D234=5,IF($B$6="Aucun retrait",0,IF($B$6=75%,(Positions[[#This Row],[Capital]]-F230)*75%)),0),)</f>
        <v>0</v>
      </c>
    </row>
    <row r="235" spans="4:11" ht="15.75" x14ac:dyDescent="0.25">
      <c r="D235" s="32">
        <f>WEEKDAY(Positions[[#This Row],[Jous / Séances de trading]],2)</f>
        <v>5</v>
      </c>
      <c r="E235" s="49">
        <f t="shared" si="6"/>
        <v>44666</v>
      </c>
      <c r="F235" s="50">
        <f t="shared" si="7"/>
        <v>10398.208278409693</v>
      </c>
      <c r="G235" s="44">
        <f>'[2]Simulateur Calculatrice Pos.'!$E$35</f>
        <v>2</v>
      </c>
      <c r="H235" s="45">
        <f>Positions[[#This Row],[Capital]]*Positions[[#This Row],[Evolution du capital par jour en %]]%</f>
        <v>207.96416556819386</v>
      </c>
      <c r="I235" s="46">
        <f>ROUND((((Positions[[#This Row],[Capital]]*Positions[[#This Row],[Evolution du capital par jour en %]]%)/('[2]Simulateur Calculatrice Pos.'!$E$15*'[2]Simulateur Calculatrice Pos.'!$E$24))/'[2]Simulateur Calculatrice Pos.'!$E$21),0)</f>
        <v>17</v>
      </c>
      <c r="J235" s="47">
        <f>IFERROR(IF(D235=5,((Positions[[#This Row],[Capital]]-F231)-K235),0),)</f>
        <v>197.96778038246566</v>
      </c>
      <c r="K235" s="48">
        <f>IFERROR(IF(D235=5,IF($B$6="Aucun retrait",0,IF($B$6=75%,(Positions[[#This Row],[Capital]]-F231)*75%)),0),)</f>
        <v>593.90334114739699</v>
      </c>
    </row>
    <row r="236" spans="4:11" ht="15.75" x14ac:dyDescent="0.25">
      <c r="D236" s="32">
        <f>WEEKDAY(Positions[[#This Row],[Jous / Séances de trading]],2)</f>
        <v>1</v>
      </c>
      <c r="E236" s="49">
        <f t="shared" si="6"/>
        <v>44669</v>
      </c>
      <c r="F236" s="50">
        <f t="shared" si="7"/>
        <v>10012.269102830489</v>
      </c>
      <c r="G236" s="44">
        <f>'[2]Simulateur Calculatrice Pos.'!$E$35</f>
        <v>2</v>
      </c>
      <c r="H236" s="45">
        <f>Positions[[#This Row],[Capital]]*Positions[[#This Row],[Evolution du capital par jour en %]]%</f>
        <v>200.24538205660977</v>
      </c>
      <c r="I236" s="46">
        <f>ROUND((((Positions[[#This Row],[Capital]]*Positions[[#This Row],[Evolution du capital par jour en %]]%)/('[2]Simulateur Calculatrice Pos.'!$E$15*'[2]Simulateur Calculatrice Pos.'!$E$24))/'[2]Simulateur Calculatrice Pos.'!$E$21),0)</f>
        <v>17</v>
      </c>
      <c r="J236" s="47">
        <f>IFERROR(IF(D236=5,((Positions[[#This Row],[Capital]]-F232)-K236),0),)</f>
        <v>0</v>
      </c>
      <c r="K236" s="48">
        <f>IFERROR(IF(D236=5,IF($B$6="Aucun retrait",0,IF($B$6=75%,(Positions[[#This Row],[Capital]]-F232)*75%)),0),)</f>
        <v>0</v>
      </c>
    </row>
    <row r="237" spans="4:11" ht="15.75" x14ac:dyDescent="0.25">
      <c r="D237" s="32">
        <f>WEEKDAY(Positions[[#This Row],[Jous / Séances de trading]],2)</f>
        <v>2</v>
      </c>
      <c r="E237" s="49">
        <f t="shared" si="6"/>
        <v>44670</v>
      </c>
      <c r="F237" s="50">
        <f t="shared" si="7"/>
        <v>10212.514484887099</v>
      </c>
      <c r="G237" s="44">
        <f>'[2]Simulateur Calculatrice Pos.'!$E$35</f>
        <v>2</v>
      </c>
      <c r="H237" s="45">
        <f>Positions[[#This Row],[Capital]]*Positions[[#This Row],[Evolution du capital par jour en %]]%</f>
        <v>204.25028969774198</v>
      </c>
      <c r="I237" s="46">
        <f>ROUND((((Positions[[#This Row],[Capital]]*Positions[[#This Row],[Evolution du capital par jour en %]]%)/('[2]Simulateur Calculatrice Pos.'!$E$15*'[2]Simulateur Calculatrice Pos.'!$E$24))/'[2]Simulateur Calculatrice Pos.'!$E$21),0)</f>
        <v>17</v>
      </c>
      <c r="J237" s="47">
        <f>IFERROR(IF(D237=5,((Positions[[#This Row],[Capital]]-F233)-K237),0),)</f>
        <v>0</v>
      </c>
      <c r="K237" s="48">
        <f>IFERROR(IF(D237=5,IF($B$6="Aucun retrait",0,IF($B$6=75%,(Positions[[#This Row],[Capital]]-F233)*75%)),0),)</f>
        <v>0</v>
      </c>
    </row>
    <row r="238" spans="4:11" ht="15.75" x14ac:dyDescent="0.25">
      <c r="D238" s="32">
        <f>WEEKDAY(Positions[[#This Row],[Jous / Séances de trading]],2)</f>
        <v>3</v>
      </c>
      <c r="E238" s="49">
        <f t="shared" si="6"/>
        <v>44671</v>
      </c>
      <c r="F238" s="50">
        <f t="shared" si="7"/>
        <v>10416.764774584841</v>
      </c>
      <c r="G238" s="44">
        <f>'[2]Simulateur Calculatrice Pos.'!$E$35</f>
        <v>2</v>
      </c>
      <c r="H238" s="45">
        <f>Positions[[#This Row],[Capital]]*Positions[[#This Row],[Evolution du capital par jour en %]]%</f>
        <v>208.33529549169683</v>
      </c>
      <c r="I238" s="46">
        <f>ROUND((((Positions[[#This Row],[Capital]]*Positions[[#This Row],[Evolution du capital par jour en %]]%)/('[2]Simulateur Calculatrice Pos.'!$E$15*'[2]Simulateur Calculatrice Pos.'!$E$24))/'[2]Simulateur Calculatrice Pos.'!$E$21),0)</f>
        <v>17</v>
      </c>
      <c r="J238" s="47">
        <f>IFERROR(IF(D238=5,((Positions[[#This Row],[Capital]]-F234)-K238),0),)</f>
        <v>0</v>
      </c>
      <c r="K238" s="48">
        <f>IFERROR(IF(D238=5,IF($B$6="Aucun retrait",0,IF($B$6=75%,(Positions[[#This Row],[Capital]]-F234)*75%)),0),)</f>
        <v>0</v>
      </c>
    </row>
    <row r="239" spans="4:11" ht="15.75" x14ac:dyDescent="0.25">
      <c r="D239" s="32">
        <f>WEEKDAY(Positions[[#This Row],[Jous / Séances de trading]],2)</f>
        <v>4</v>
      </c>
      <c r="E239" s="49">
        <f t="shared" si="6"/>
        <v>44672</v>
      </c>
      <c r="F239" s="50">
        <f t="shared" si="7"/>
        <v>10625.100070076538</v>
      </c>
      <c r="G239" s="44">
        <f>'[2]Simulateur Calculatrice Pos.'!$E$35</f>
        <v>2</v>
      </c>
      <c r="H239" s="45">
        <f>Positions[[#This Row],[Capital]]*Positions[[#This Row],[Evolution du capital par jour en %]]%</f>
        <v>212.50200140153078</v>
      </c>
      <c r="I239" s="46">
        <f>ROUND((((Positions[[#This Row],[Capital]]*Positions[[#This Row],[Evolution du capital par jour en %]]%)/('[2]Simulateur Calculatrice Pos.'!$E$15*'[2]Simulateur Calculatrice Pos.'!$E$24))/'[2]Simulateur Calculatrice Pos.'!$E$21),0)</f>
        <v>18</v>
      </c>
      <c r="J239" s="47">
        <f>IFERROR(IF(D239=5,((Positions[[#This Row],[Capital]]-F235)-K239),0),)</f>
        <v>0</v>
      </c>
      <c r="K239" s="48">
        <f>IFERROR(IF(D239=5,IF($B$6="Aucun retrait",0,IF($B$6=75%,(Positions[[#This Row],[Capital]]-F235)*75%)),0),)</f>
        <v>0</v>
      </c>
    </row>
    <row r="240" spans="4:11" ht="15.75" x14ac:dyDescent="0.25">
      <c r="D240" s="32">
        <f>WEEKDAY(Positions[[#This Row],[Jous / Séances de trading]],2)</f>
        <v>5</v>
      </c>
      <c r="E240" s="49">
        <f t="shared" si="6"/>
        <v>44673</v>
      </c>
      <c r="F240" s="50">
        <f t="shared" si="7"/>
        <v>10837.602071478068</v>
      </c>
      <c r="G240" s="44">
        <f>'[2]Simulateur Calculatrice Pos.'!$E$35</f>
        <v>2</v>
      </c>
      <c r="H240" s="45">
        <f>Positions[[#This Row],[Capital]]*Positions[[#This Row],[Evolution du capital par jour en %]]%</f>
        <v>216.75204142956136</v>
      </c>
      <c r="I240" s="46">
        <f>ROUND((((Positions[[#This Row],[Capital]]*Positions[[#This Row],[Evolution du capital par jour en %]]%)/('[2]Simulateur Calculatrice Pos.'!$E$15*'[2]Simulateur Calculatrice Pos.'!$E$24))/'[2]Simulateur Calculatrice Pos.'!$E$21),0)</f>
        <v>18</v>
      </c>
      <c r="J240" s="47">
        <f>IFERROR(IF(D240=5,((Positions[[#This Row],[Capital]]-F236)-K240),0),)</f>
        <v>206.33324216189476</v>
      </c>
      <c r="K240" s="48">
        <f>IFERROR(IF(D240=5,IF($B$6="Aucun retrait",0,IF($B$6=75%,(Positions[[#This Row],[Capital]]-F236)*75%)),0),)</f>
        <v>618.99972648568428</v>
      </c>
    </row>
    <row r="241" spans="4:11" ht="15.75" x14ac:dyDescent="0.25">
      <c r="D241" s="32">
        <f>WEEKDAY(Positions[[#This Row],[Jous / Séances de trading]],2)</f>
        <v>1</v>
      </c>
      <c r="E241" s="49">
        <f t="shared" si="6"/>
        <v>44676</v>
      </c>
      <c r="F241" s="50">
        <f t="shared" si="7"/>
        <v>10435.354386421945</v>
      </c>
      <c r="G241" s="44">
        <f>'[2]Simulateur Calculatrice Pos.'!$E$35</f>
        <v>2</v>
      </c>
      <c r="H241" s="45">
        <f>Positions[[#This Row],[Capital]]*Positions[[#This Row],[Evolution du capital par jour en %]]%</f>
        <v>208.70708772843889</v>
      </c>
      <c r="I241" s="46">
        <f>ROUND((((Positions[[#This Row],[Capital]]*Positions[[#This Row],[Evolution du capital par jour en %]]%)/('[2]Simulateur Calculatrice Pos.'!$E$15*'[2]Simulateur Calculatrice Pos.'!$E$24))/'[2]Simulateur Calculatrice Pos.'!$E$21),0)</f>
        <v>17</v>
      </c>
      <c r="J241" s="47">
        <f>IFERROR(IF(D241=5,((Positions[[#This Row],[Capital]]-F237)-K241),0),)</f>
        <v>0</v>
      </c>
      <c r="K241" s="48">
        <f>IFERROR(IF(D241=5,IF($B$6="Aucun retrait",0,IF($B$6=75%,(Positions[[#This Row],[Capital]]-F237)*75%)),0),)</f>
        <v>0</v>
      </c>
    </row>
    <row r="242" spans="4:11" ht="15.75" x14ac:dyDescent="0.25">
      <c r="D242" s="32">
        <f>WEEKDAY(Positions[[#This Row],[Jous / Séances de trading]],2)</f>
        <v>2</v>
      </c>
      <c r="E242" s="49">
        <f t="shared" si="6"/>
        <v>44677</v>
      </c>
      <c r="F242" s="50">
        <f t="shared" si="7"/>
        <v>10644.061474150383</v>
      </c>
      <c r="G242" s="44">
        <f>'[2]Simulateur Calculatrice Pos.'!$E$35</f>
        <v>2</v>
      </c>
      <c r="H242" s="45">
        <f>Positions[[#This Row],[Capital]]*Positions[[#This Row],[Evolution du capital par jour en %]]%</f>
        <v>212.88122948300767</v>
      </c>
      <c r="I242" s="46">
        <f>ROUND((((Positions[[#This Row],[Capital]]*Positions[[#This Row],[Evolution du capital par jour en %]]%)/('[2]Simulateur Calculatrice Pos.'!$E$15*'[2]Simulateur Calculatrice Pos.'!$E$24))/'[2]Simulateur Calculatrice Pos.'!$E$21),0)</f>
        <v>18</v>
      </c>
      <c r="J242" s="47">
        <f>IFERROR(IF(D242=5,((Positions[[#This Row],[Capital]]-F238)-K242),0),)</f>
        <v>0</v>
      </c>
      <c r="K242" s="48">
        <f>IFERROR(IF(D242=5,IF($B$6="Aucun retrait",0,IF($B$6=75%,(Positions[[#This Row],[Capital]]-F238)*75%)),0),)</f>
        <v>0</v>
      </c>
    </row>
    <row r="243" spans="4:11" ht="15.75" x14ac:dyDescent="0.25">
      <c r="D243" s="32">
        <f>WEEKDAY(Positions[[#This Row],[Jous / Séances de trading]],2)</f>
        <v>3</v>
      </c>
      <c r="E243" s="49">
        <f t="shared" si="6"/>
        <v>44678</v>
      </c>
      <c r="F243" s="50">
        <f t="shared" si="7"/>
        <v>10856.942703633391</v>
      </c>
      <c r="G243" s="44">
        <f>'[2]Simulateur Calculatrice Pos.'!$E$35</f>
        <v>2</v>
      </c>
      <c r="H243" s="45">
        <f>Positions[[#This Row],[Capital]]*Positions[[#This Row],[Evolution du capital par jour en %]]%</f>
        <v>217.13885407266781</v>
      </c>
      <c r="I243" s="46">
        <f>ROUND((((Positions[[#This Row],[Capital]]*Positions[[#This Row],[Evolution du capital par jour en %]]%)/('[2]Simulateur Calculatrice Pos.'!$E$15*'[2]Simulateur Calculatrice Pos.'!$E$24))/'[2]Simulateur Calculatrice Pos.'!$E$21),0)</f>
        <v>18</v>
      </c>
      <c r="J243" s="47">
        <f>IFERROR(IF(D243=5,((Positions[[#This Row],[Capital]]-F239)-K243),0),)</f>
        <v>0</v>
      </c>
      <c r="K243" s="48">
        <f>IFERROR(IF(D243=5,IF($B$6="Aucun retrait",0,IF($B$6=75%,(Positions[[#This Row],[Capital]]-F239)*75%)),0),)</f>
        <v>0</v>
      </c>
    </row>
    <row r="244" spans="4:11" ht="15.75" x14ac:dyDescent="0.25">
      <c r="D244" s="32">
        <f>WEEKDAY(Positions[[#This Row],[Jous / Séances de trading]],2)</f>
        <v>4</v>
      </c>
      <c r="E244" s="49">
        <f t="shared" si="6"/>
        <v>44679</v>
      </c>
      <c r="F244" s="50">
        <f t="shared" si="7"/>
        <v>11074.081557706058</v>
      </c>
      <c r="G244" s="44">
        <f>'[2]Simulateur Calculatrice Pos.'!$E$35</f>
        <v>2</v>
      </c>
      <c r="H244" s="45">
        <f>Positions[[#This Row],[Capital]]*Positions[[#This Row],[Evolution du capital par jour en %]]%</f>
        <v>221.48163115412117</v>
      </c>
      <c r="I244" s="46">
        <f>ROUND((((Positions[[#This Row],[Capital]]*Positions[[#This Row],[Evolution du capital par jour en %]]%)/('[2]Simulateur Calculatrice Pos.'!$E$15*'[2]Simulateur Calculatrice Pos.'!$E$24))/'[2]Simulateur Calculatrice Pos.'!$E$21),0)</f>
        <v>18</v>
      </c>
      <c r="J244" s="47">
        <f>IFERROR(IF(D244=5,((Positions[[#This Row],[Capital]]-F240)-K244),0),)</f>
        <v>0</v>
      </c>
      <c r="K244" s="48">
        <f>IFERROR(IF(D244=5,IF($B$6="Aucun retrait",0,IF($B$6=75%,(Positions[[#This Row],[Capital]]-F240)*75%)),0),)</f>
        <v>0</v>
      </c>
    </row>
    <row r="245" spans="4:11" ht="15.75" x14ac:dyDescent="0.25">
      <c r="D245" s="32">
        <f>WEEKDAY(Positions[[#This Row],[Jous / Séances de trading]],2)</f>
        <v>5</v>
      </c>
      <c r="E245" s="49">
        <f t="shared" si="6"/>
        <v>44680</v>
      </c>
      <c r="F245" s="50">
        <f t="shared" si="7"/>
        <v>11295.56318886018</v>
      </c>
      <c r="G245" s="44">
        <f>'[2]Simulateur Calculatrice Pos.'!$E$35</f>
        <v>2</v>
      </c>
      <c r="H245" s="45">
        <f>Positions[[#This Row],[Capital]]*Positions[[#This Row],[Evolution du capital par jour en %]]%</f>
        <v>225.9112637772036</v>
      </c>
      <c r="I245" s="46">
        <f>ROUND((((Positions[[#This Row],[Capital]]*Positions[[#This Row],[Evolution du capital par jour en %]]%)/('[2]Simulateur Calculatrice Pos.'!$E$15*'[2]Simulateur Calculatrice Pos.'!$E$24))/'[2]Simulateur Calculatrice Pos.'!$E$21),0)</f>
        <v>19</v>
      </c>
      <c r="J245" s="47">
        <f>IFERROR(IF(D245=5,((Positions[[#This Row],[Capital]]-F241)-K245),0),)</f>
        <v>215.05220060955889</v>
      </c>
      <c r="K245" s="48">
        <f>IFERROR(IF(D245=5,IF($B$6="Aucun retrait",0,IF($B$6=75%,(Positions[[#This Row],[Capital]]-F241)*75%)),0),)</f>
        <v>645.15660182867668</v>
      </c>
    </row>
    <row r="246" spans="4:11" ht="15.75" x14ac:dyDescent="0.25">
      <c r="D246" s="32">
        <f>WEEKDAY(Positions[[#This Row],[Jous / Séances de trading]],2)</f>
        <v>1</v>
      </c>
      <c r="E246" s="49">
        <f t="shared" si="6"/>
        <v>44683</v>
      </c>
      <c r="F246" s="50">
        <f t="shared" si="7"/>
        <v>10876.317850808708</v>
      </c>
      <c r="G246" s="44">
        <f>'[2]Simulateur Calculatrice Pos.'!$E$35</f>
        <v>2</v>
      </c>
      <c r="H246" s="45">
        <f>Positions[[#This Row],[Capital]]*Positions[[#This Row],[Evolution du capital par jour en %]]%</f>
        <v>217.52635701617416</v>
      </c>
      <c r="I246" s="46">
        <f>ROUND((((Positions[[#This Row],[Capital]]*Positions[[#This Row],[Evolution du capital par jour en %]]%)/('[2]Simulateur Calculatrice Pos.'!$E$15*'[2]Simulateur Calculatrice Pos.'!$E$24))/'[2]Simulateur Calculatrice Pos.'!$E$21),0)</f>
        <v>18</v>
      </c>
      <c r="J246" s="47">
        <f>IFERROR(IF(D246=5,((Positions[[#This Row],[Capital]]-F242)-K246),0),)</f>
        <v>0</v>
      </c>
      <c r="K246" s="48">
        <f>IFERROR(IF(D246=5,IF($B$6="Aucun retrait",0,IF($B$6=75%,(Positions[[#This Row],[Capital]]-F242)*75%)),0),)</f>
        <v>0</v>
      </c>
    </row>
    <row r="247" spans="4:11" ht="15.75" x14ac:dyDescent="0.25">
      <c r="D247" s="32">
        <f>WEEKDAY(Positions[[#This Row],[Jous / Séances de trading]],2)</f>
        <v>2</v>
      </c>
      <c r="E247" s="49">
        <f t="shared" si="6"/>
        <v>44684</v>
      </c>
      <c r="F247" s="50">
        <f t="shared" si="7"/>
        <v>11093.844207824881</v>
      </c>
      <c r="G247" s="44">
        <f>'[2]Simulateur Calculatrice Pos.'!$E$35</f>
        <v>2</v>
      </c>
      <c r="H247" s="45">
        <f>Positions[[#This Row],[Capital]]*Positions[[#This Row],[Evolution du capital par jour en %]]%</f>
        <v>221.87688415649762</v>
      </c>
      <c r="I247" s="46">
        <f>ROUND((((Positions[[#This Row],[Capital]]*Positions[[#This Row],[Evolution du capital par jour en %]]%)/('[2]Simulateur Calculatrice Pos.'!$E$15*'[2]Simulateur Calculatrice Pos.'!$E$24))/'[2]Simulateur Calculatrice Pos.'!$E$21),0)</f>
        <v>18</v>
      </c>
      <c r="J247" s="47">
        <f>IFERROR(IF(D247=5,((Positions[[#This Row],[Capital]]-F243)-K247),0),)</f>
        <v>0</v>
      </c>
      <c r="K247" s="48">
        <f>IFERROR(IF(D247=5,IF($B$6="Aucun retrait",0,IF($B$6=75%,(Positions[[#This Row],[Capital]]-F243)*75%)),0),)</f>
        <v>0</v>
      </c>
    </row>
    <row r="248" spans="4:11" ht="15.75" x14ac:dyDescent="0.25">
      <c r="D248" s="32">
        <f>WEEKDAY(Positions[[#This Row],[Jous / Séances de trading]],2)</f>
        <v>3</v>
      </c>
      <c r="E248" s="49">
        <f t="shared" si="6"/>
        <v>44685</v>
      </c>
      <c r="F248" s="50">
        <f t="shared" si="7"/>
        <v>11315.721091981379</v>
      </c>
      <c r="G248" s="44">
        <f>'[2]Simulateur Calculatrice Pos.'!$E$35</f>
        <v>2</v>
      </c>
      <c r="H248" s="45">
        <f>Positions[[#This Row],[Capital]]*Positions[[#This Row],[Evolution du capital par jour en %]]%</f>
        <v>226.31442183962758</v>
      </c>
      <c r="I248" s="46">
        <f>ROUND((((Positions[[#This Row],[Capital]]*Positions[[#This Row],[Evolution du capital par jour en %]]%)/('[2]Simulateur Calculatrice Pos.'!$E$15*'[2]Simulateur Calculatrice Pos.'!$E$24))/'[2]Simulateur Calculatrice Pos.'!$E$21),0)</f>
        <v>19</v>
      </c>
      <c r="J248" s="47">
        <f>IFERROR(IF(D248=5,((Positions[[#This Row],[Capital]]-F244)-K248),0),)</f>
        <v>0</v>
      </c>
      <c r="K248" s="48">
        <f>IFERROR(IF(D248=5,IF($B$6="Aucun retrait",0,IF($B$6=75%,(Positions[[#This Row],[Capital]]-F244)*75%)),0),)</f>
        <v>0</v>
      </c>
    </row>
    <row r="249" spans="4:11" ht="15.75" x14ac:dyDescent="0.25">
      <c r="D249" s="32">
        <f>WEEKDAY(Positions[[#This Row],[Jous / Séances de trading]],2)</f>
        <v>4</v>
      </c>
      <c r="E249" s="49">
        <f t="shared" si="6"/>
        <v>44686</v>
      </c>
      <c r="F249" s="50">
        <f t="shared" si="7"/>
        <v>11542.035513821007</v>
      </c>
      <c r="G249" s="44">
        <f>'[2]Simulateur Calculatrice Pos.'!$E$35</f>
        <v>2</v>
      </c>
      <c r="H249" s="45">
        <f>Positions[[#This Row],[Capital]]*Positions[[#This Row],[Evolution du capital par jour en %]]%</f>
        <v>230.84071027642014</v>
      </c>
      <c r="I249" s="46">
        <f>ROUND((((Positions[[#This Row],[Capital]]*Positions[[#This Row],[Evolution du capital par jour en %]]%)/('[2]Simulateur Calculatrice Pos.'!$E$15*'[2]Simulateur Calculatrice Pos.'!$E$24))/'[2]Simulateur Calculatrice Pos.'!$E$21),0)</f>
        <v>19</v>
      </c>
      <c r="J249" s="47">
        <f>IFERROR(IF(D249=5,((Positions[[#This Row],[Capital]]-F245)-K249),0),)</f>
        <v>0</v>
      </c>
      <c r="K249" s="48">
        <f>IFERROR(IF(D249=5,IF($B$6="Aucun retrait",0,IF($B$6=75%,(Positions[[#This Row],[Capital]]-F245)*75%)),0),)</f>
        <v>0</v>
      </c>
    </row>
    <row r="250" spans="4:11" ht="15.75" x14ac:dyDescent="0.25">
      <c r="D250" s="32">
        <f>WEEKDAY(Positions[[#This Row],[Jous / Séances de trading]],2)</f>
        <v>5</v>
      </c>
      <c r="E250" s="49">
        <f t="shared" si="6"/>
        <v>44687</v>
      </c>
      <c r="F250" s="50">
        <f t="shared" si="7"/>
        <v>11772.876224097427</v>
      </c>
      <c r="G250" s="44">
        <f>'[2]Simulateur Calculatrice Pos.'!$E$35</f>
        <v>2</v>
      </c>
      <c r="H250" s="45">
        <f>Positions[[#This Row],[Capital]]*Positions[[#This Row],[Evolution du capital par jour en %]]%</f>
        <v>235.45752448194852</v>
      </c>
      <c r="I250" s="46">
        <f>ROUND((((Positions[[#This Row],[Capital]]*Positions[[#This Row],[Evolution du capital par jour en %]]%)/('[2]Simulateur Calculatrice Pos.'!$E$15*'[2]Simulateur Calculatrice Pos.'!$E$24))/'[2]Simulateur Calculatrice Pos.'!$E$21),0)</f>
        <v>20</v>
      </c>
      <c r="J250" s="47">
        <f>IFERROR(IF(D250=5,((Positions[[#This Row],[Capital]]-F246)-K250),0),)</f>
        <v>224.13959332217973</v>
      </c>
      <c r="K250" s="48">
        <f>IFERROR(IF(D250=5,IF($B$6="Aucun retrait",0,IF($B$6=75%,(Positions[[#This Row],[Capital]]-F246)*75%)),0),)</f>
        <v>672.4187799665392</v>
      </c>
    </row>
    <row r="251" spans="4:11" ht="15.75" x14ac:dyDescent="0.25">
      <c r="D251" s="32">
        <f>WEEKDAY(Positions[[#This Row],[Jous / Séances de trading]],2)</f>
        <v>1</v>
      </c>
      <c r="E251" s="49">
        <f t="shared" si="6"/>
        <v>44690</v>
      </c>
      <c r="F251" s="50">
        <f t="shared" si="7"/>
        <v>11335.914968612835</v>
      </c>
      <c r="G251" s="44">
        <f>'[2]Simulateur Calculatrice Pos.'!$E$35</f>
        <v>2</v>
      </c>
      <c r="H251" s="45">
        <f>Positions[[#This Row],[Capital]]*Positions[[#This Row],[Evolution du capital par jour en %]]%</f>
        <v>226.71829937225669</v>
      </c>
      <c r="I251" s="46">
        <f>ROUND((((Positions[[#This Row],[Capital]]*Positions[[#This Row],[Evolution du capital par jour en %]]%)/('[2]Simulateur Calculatrice Pos.'!$E$15*'[2]Simulateur Calculatrice Pos.'!$E$24))/'[2]Simulateur Calculatrice Pos.'!$E$21),0)</f>
        <v>19</v>
      </c>
      <c r="J251" s="47">
        <f>IFERROR(IF(D251=5,((Positions[[#This Row],[Capital]]-F247)-K251),0),)</f>
        <v>0</v>
      </c>
      <c r="K251" s="48">
        <f>IFERROR(IF(D251=5,IF($B$6="Aucun retrait",0,IF($B$6=75%,(Positions[[#This Row],[Capital]]-F247)*75%)),0),)</f>
        <v>0</v>
      </c>
    </row>
    <row r="252" spans="4:11" ht="15.75" x14ac:dyDescent="0.25">
      <c r="D252" s="32">
        <f>WEEKDAY(Positions[[#This Row],[Jous / Séances de trading]],2)</f>
        <v>2</v>
      </c>
      <c r="E252" s="49">
        <f t="shared" si="6"/>
        <v>44691</v>
      </c>
      <c r="F252" s="50">
        <f t="shared" si="7"/>
        <v>11562.633267985091</v>
      </c>
      <c r="G252" s="44">
        <f>'[2]Simulateur Calculatrice Pos.'!$E$35</f>
        <v>2</v>
      </c>
      <c r="H252" s="45">
        <f>Positions[[#This Row],[Capital]]*Positions[[#This Row],[Evolution du capital par jour en %]]%</f>
        <v>231.25266535970184</v>
      </c>
      <c r="I252" s="46">
        <f>ROUND((((Positions[[#This Row],[Capital]]*Positions[[#This Row],[Evolution du capital par jour en %]]%)/('[2]Simulateur Calculatrice Pos.'!$E$15*'[2]Simulateur Calculatrice Pos.'!$E$24))/'[2]Simulateur Calculatrice Pos.'!$E$21),0)</f>
        <v>19</v>
      </c>
      <c r="J252" s="47">
        <f>IFERROR(IF(D252=5,((Positions[[#This Row],[Capital]]-F248)-K252),0),)</f>
        <v>0</v>
      </c>
      <c r="K252" s="48">
        <f>IFERROR(IF(D252=5,IF($B$6="Aucun retrait",0,IF($B$6=75%,(Positions[[#This Row],[Capital]]-F248)*75%)),0),)</f>
        <v>0</v>
      </c>
    </row>
    <row r="253" spans="4:11" ht="15.75" x14ac:dyDescent="0.25">
      <c r="D253" s="32">
        <f>WEEKDAY(Positions[[#This Row],[Jous / Séances de trading]],2)</f>
        <v>3</v>
      </c>
      <c r="E253" s="49">
        <f t="shared" si="6"/>
        <v>44692</v>
      </c>
      <c r="F253" s="50">
        <f t="shared" si="7"/>
        <v>11793.885933344793</v>
      </c>
      <c r="G253" s="44">
        <f>'[2]Simulateur Calculatrice Pos.'!$E$35</f>
        <v>2</v>
      </c>
      <c r="H253" s="45">
        <f>Positions[[#This Row],[Capital]]*Positions[[#This Row],[Evolution du capital par jour en %]]%</f>
        <v>235.87771866689584</v>
      </c>
      <c r="I253" s="46">
        <f>ROUND((((Positions[[#This Row],[Capital]]*Positions[[#This Row],[Evolution du capital par jour en %]]%)/('[2]Simulateur Calculatrice Pos.'!$E$15*'[2]Simulateur Calculatrice Pos.'!$E$24))/'[2]Simulateur Calculatrice Pos.'!$E$21),0)</f>
        <v>20</v>
      </c>
      <c r="J253" s="47">
        <f>IFERROR(IF(D253=5,((Positions[[#This Row],[Capital]]-F249)-K253),0),)</f>
        <v>0</v>
      </c>
      <c r="K253" s="48">
        <f>IFERROR(IF(D253=5,IF($B$6="Aucun retrait",0,IF($B$6=75%,(Positions[[#This Row],[Capital]]-F249)*75%)),0),)</f>
        <v>0</v>
      </c>
    </row>
    <row r="254" spans="4:11" ht="15.75" x14ac:dyDescent="0.25">
      <c r="D254" s="32">
        <f>WEEKDAY(Positions[[#This Row],[Jous / Séances de trading]],2)</f>
        <v>4</v>
      </c>
      <c r="E254" s="49">
        <f t="shared" si="6"/>
        <v>44693</v>
      </c>
      <c r="F254" s="50">
        <f t="shared" si="7"/>
        <v>12029.763652011688</v>
      </c>
      <c r="G254" s="44">
        <f>'[2]Simulateur Calculatrice Pos.'!$E$35</f>
        <v>2</v>
      </c>
      <c r="H254" s="45">
        <f>Positions[[#This Row],[Capital]]*Positions[[#This Row],[Evolution du capital par jour en %]]%</f>
        <v>240.59527304023376</v>
      </c>
      <c r="I254" s="46">
        <f>ROUND((((Positions[[#This Row],[Capital]]*Positions[[#This Row],[Evolution du capital par jour en %]]%)/('[2]Simulateur Calculatrice Pos.'!$E$15*'[2]Simulateur Calculatrice Pos.'!$E$24))/'[2]Simulateur Calculatrice Pos.'!$E$21),0)</f>
        <v>20</v>
      </c>
      <c r="J254" s="47">
        <f>IFERROR(IF(D254=5,((Positions[[#This Row],[Capital]]-F250)-K254),0),)</f>
        <v>0</v>
      </c>
      <c r="K254" s="48">
        <f>IFERROR(IF(D254=5,IF($B$6="Aucun retrait",0,IF($B$6=75%,(Positions[[#This Row],[Capital]]-F250)*75%)),0),)</f>
        <v>0</v>
      </c>
    </row>
    <row r="255" spans="4:11" ht="15.75" x14ac:dyDescent="0.25">
      <c r="D255" s="32">
        <f>WEEKDAY(Positions[[#This Row],[Jous / Séances de trading]],2)</f>
        <v>5</v>
      </c>
      <c r="E255" s="49">
        <f t="shared" si="6"/>
        <v>44694</v>
      </c>
      <c r="F255" s="50">
        <f t="shared" si="7"/>
        <v>12270.358925051922</v>
      </c>
      <c r="G255" s="44">
        <f>'[2]Simulateur Calculatrice Pos.'!$E$35</f>
        <v>2</v>
      </c>
      <c r="H255" s="45">
        <f>Positions[[#This Row],[Capital]]*Positions[[#This Row],[Evolution du capital par jour en %]]%</f>
        <v>245.40717850103843</v>
      </c>
      <c r="I255" s="46">
        <f>ROUND((((Positions[[#This Row],[Capital]]*Positions[[#This Row],[Evolution du capital par jour en %]]%)/('[2]Simulateur Calculatrice Pos.'!$E$15*'[2]Simulateur Calculatrice Pos.'!$E$24))/'[2]Simulateur Calculatrice Pos.'!$E$21),0)</f>
        <v>20</v>
      </c>
      <c r="J255" s="47">
        <f>IFERROR(IF(D255=5,((Positions[[#This Row],[Capital]]-F251)-K255),0),)</f>
        <v>233.61098910977171</v>
      </c>
      <c r="K255" s="48">
        <f>IFERROR(IF(D255=5,IF($B$6="Aucun retrait",0,IF($B$6=75%,(Positions[[#This Row],[Capital]]-F251)*75%)),0),)</f>
        <v>700.83296732931512</v>
      </c>
    </row>
    <row r="256" spans="4:11" ht="15.75" x14ac:dyDescent="0.25">
      <c r="D256" s="32">
        <f>WEEKDAY(Positions[[#This Row],[Jous / Séances de trading]],2)</f>
        <v>1</v>
      </c>
      <c r="E256" s="49">
        <f t="shared" si="6"/>
        <v>44697</v>
      </c>
      <c r="F256" s="50">
        <f t="shared" si="7"/>
        <v>11814.933136223644</v>
      </c>
      <c r="G256" s="44">
        <f>'[2]Simulateur Calculatrice Pos.'!$E$35</f>
        <v>2</v>
      </c>
      <c r="H256" s="45">
        <f>Positions[[#This Row],[Capital]]*Positions[[#This Row],[Evolution du capital par jour en %]]%</f>
        <v>236.2986627244729</v>
      </c>
      <c r="I256" s="46">
        <f>ROUND((((Positions[[#This Row],[Capital]]*Positions[[#This Row],[Evolution du capital par jour en %]]%)/('[2]Simulateur Calculatrice Pos.'!$E$15*'[2]Simulateur Calculatrice Pos.'!$E$24))/'[2]Simulateur Calculatrice Pos.'!$E$21),0)</f>
        <v>20</v>
      </c>
      <c r="J256" s="47">
        <f>IFERROR(IF(D256=5,((Positions[[#This Row],[Capital]]-F252)-K256),0),)</f>
        <v>0</v>
      </c>
      <c r="K256" s="48">
        <f>IFERROR(IF(D256=5,IF($B$6="Aucun retrait",0,IF($B$6=75%,(Positions[[#This Row],[Capital]]-F252)*75%)),0),)</f>
        <v>0</v>
      </c>
    </row>
    <row r="257" spans="4:11" ht="15.75" x14ac:dyDescent="0.25">
      <c r="D257" s="32">
        <f>WEEKDAY(Positions[[#This Row],[Jous / Séances de trading]],2)</f>
        <v>2</v>
      </c>
      <c r="E257" s="49">
        <f t="shared" si="6"/>
        <v>44698</v>
      </c>
      <c r="F257" s="50">
        <f t="shared" si="7"/>
        <v>12051.231798948118</v>
      </c>
      <c r="G257" s="44">
        <f>'[2]Simulateur Calculatrice Pos.'!$E$35</f>
        <v>2</v>
      </c>
      <c r="H257" s="45">
        <f>Positions[[#This Row],[Capital]]*Positions[[#This Row],[Evolution du capital par jour en %]]%</f>
        <v>241.02463597896235</v>
      </c>
      <c r="I257" s="46">
        <f>ROUND((((Positions[[#This Row],[Capital]]*Positions[[#This Row],[Evolution du capital par jour en %]]%)/('[2]Simulateur Calculatrice Pos.'!$E$15*'[2]Simulateur Calculatrice Pos.'!$E$24))/'[2]Simulateur Calculatrice Pos.'!$E$21),0)</f>
        <v>20</v>
      </c>
      <c r="J257" s="47">
        <f>IFERROR(IF(D257=5,((Positions[[#This Row],[Capital]]-F253)-K257),0),)</f>
        <v>0</v>
      </c>
      <c r="K257" s="48">
        <f>IFERROR(IF(D257=5,IF($B$6="Aucun retrait",0,IF($B$6=75%,(Positions[[#This Row],[Capital]]-F253)*75%)),0),)</f>
        <v>0</v>
      </c>
    </row>
    <row r="258" spans="4:11" ht="15.75" x14ac:dyDescent="0.25">
      <c r="D258" s="32">
        <f>WEEKDAY(Positions[[#This Row],[Jous / Séances de trading]],2)</f>
        <v>3</v>
      </c>
      <c r="E258" s="49">
        <f t="shared" si="6"/>
        <v>44699</v>
      </c>
      <c r="F258" s="50">
        <f t="shared" si="7"/>
        <v>12292.25643492708</v>
      </c>
      <c r="G258" s="44">
        <f>'[2]Simulateur Calculatrice Pos.'!$E$35</f>
        <v>2</v>
      </c>
      <c r="H258" s="45">
        <f>Positions[[#This Row],[Capital]]*Positions[[#This Row],[Evolution du capital par jour en %]]%</f>
        <v>245.8451286985416</v>
      </c>
      <c r="I258" s="46">
        <f>ROUND((((Positions[[#This Row],[Capital]]*Positions[[#This Row],[Evolution du capital par jour en %]]%)/('[2]Simulateur Calculatrice Pos.'!$E$15*'[2]Simulateur Calculatrice Pos.'!$E$24))/'[2]Simulateur Calculatrice Pos.'!$E$21),0)</f>
        <v>20</v>
      </c>
      <c r="J258" s="47">
        <f>IFERROR(IF(D258=5,((Positions[[#This Row],[Capital]]-F254)-K258),0),)</f>
        <v>0</v>
      </c>
      <c r="K258" s="48">
        <f>IFERROR(IF(D258=5,IF($B$6="Aucun retrait",0,IF($B$6=75%,(Positions[[#This Row],[Capital]]-F254)*75%)),0),)</f>
        <v>0</v>
      </c>
    </row>
    <row r="259" spans="4:11" ht="15.75" x14ac:dyDescent="0.25">
      <c r="D259" s="32">
        <f>WEEKDAY(Positions[[#This Row],[Jous / Séances de trading]],2)</f>
        <v>4</v>
      </c>
      <c r="E259" s="49">
        <f t="shared" si="6"/>
        <v>44700</v>
      </c>
      <c r="F259" s="50">
        <f t="shared" si="7"/>
        <v>12538.101563625622</v>
      </c>
      <c r="G259" s="44">
        <f>'[2]Simulateur Calculatrice Pos.'!$E$35</f>
        <v>2</v>
      </c>
      <c r="H259" s="45">
        <f>Positions[[#This Row],[Capital]]*Positions[[#This Row],[Evolution du capital par jour en %]]%</f>
        <v>250.76203127251244</v>
      </c>
      <c r="I259" s="46">
        <f>ROUND((((Positions[[#This Row],[Capital]]*Positions[[#This Row],[Evolution du capital par jour en %]]%)/('[2]Simulateur Calculatrice Pos.'!$E$15*'[2]Simulateur Calculatrice Pos.'!$E$24))/'[2]Simulateur Calculatrice Pos.'!$E$21),0)</f>
        <v>21</v>
      </c>
      <c r="J259" s="47">
        <f>IFERROR(IF(D259=5,((Positions[[#This Row],[Capital]]-F255)-K259),0),)</f>
        <v>0</v>
      </c>
      <c r="K259" s="48">
        <f>IFERROR(IF(D259=5,IF($B$6="Aucun retrait",0,IF($B$6=75%,(Positions[[#This Row],[Capital]]-F255)*75%)),0),)</f>
        <v>0</v>
      </c>
    </row>
    <row r="260" spans="4:11" ht="15.75" x14ac:dyDescent="0.25">
      <c r="D260" s="32">
        <f>WEEKDAY(Positions[[#This Row],[Jous / Séances de trading]],2)</f>
        <v>5</v>
      </c>
      <c r="E260" s="49">
        <f t="shared" si="6"/>
        <v>44701</v>
      </c>
      <c r="F260" s="50">
        <f t="shared" si="7"/>
        <v>12788.863594898134</v>
      </c>
      <c r="G260" s="44">
        <f>'[2]Simulateur Calculatrice Pos.'!$E$35</f>
        <v>2</v>
      </c>
      <c r="H260" s="45">
        <f>Positions[[#This Row],[Capital]]*Positions[[#This Row],[Evolution du capital par jour en %]]%</f>
        <v>255.77727189796269</v>
      </c>
      <c r="I260" s="46">
        <f>ROUND((((Positions[[#This Row],[Capital]]*Positions[[#This Row],[Evolution du capital par jour en %]]%)/('[2]Simulateur Calculatrice Pos.'!$E$15*'[2]Simulateur Calculatrice Pos.'!$E$24))/'[2]Simulateur Calculatrice Pos.'!$E$21),0)</f>
        <v>21</v>
      </c>
      <c r="J260" s="47">
        <f>IFERROR(IF(D260=5,((Positions[[#This Row],[Capital]]-F256)-K260),0),)</f>
        <v>243.48261466862232</v>
      </c>
      <c r="K260" s="48">
        <f>IFERROR(IF(D260=5,IF($B$6="Aucun retrait",0,IF($B$6=75%,(Positions[[#This Row],[Capital]]-F256)*75%)),0),)</f>
        <v>730.44784400586695</v>
      </c>
    </row>
    <row r="261" spans="4:11" ht="15.75" x14ac:dyDescent="0.25">
      <c r="D261" s="32">
        <f>WEEKDAY(Positions[[#This Row],[Jous / Séances de trading]],2)</f>
        <v>1</v>
      </c>
      <c r="E261" s="49">
        <f t="shared" si="6"/>
        <v>44704</v>
      </c>
      <c r="F261" s="50">
        <f t="shared" si="7"/>
        <v>12314.19302279023</v>
      </c>
      <c r="G261" s="44">
        <f>'[2]Simulateur Calculatrice Pos.'!$E$35</f>
        <v>2</v>
      </c>
      <c r="H261" s="45">
        <f>Positions[[#This Row],[Capital]]*Positions[[#This Row],[Evolution du capital par jour en %]]%</f>
        <v>246.28386045580461</v>
      </c>
      <c r="I261" s="46">
        <f>ROUND((((Positions[[#This Row],[Capital]]*Positions[[#This Row],[Evolution du capital par jour en %]]%)/('[2]Simulateur Calculatrice Pos.'!$E$15*'[2]Simulateur Calculatrice Pos.'!$E$24))/'[2]Simulateur Calculatrice Pos.'!$E$21),0)</f>
        <v>21</v>
      </c>
      <c r="J261" s="47">
        <f>IFERROR(IF(D261=5,((Positions[[#This Row],[Capital]]-F257)-K261),0),)</f>
        <v>0</v>
      </c>
      <c r="K261" s="48">
        <f>IFERROR(IF(D261=5,IF($B$6="Aucun retrait",0,IF($B$6=75%,(Positions[[#This Row],[Capital]]-F257)*75%)),0),)</f>
        <v>0</v>
      </c>
    </row>
    <row r="262" spans="4:11" ht="15.75" x14ac:dyDescent="0.25">
      <c r="D262" s="32">
        <f>WEEKDAY(Positions[[#This Row],[Jous / Séances de trading]],2)</f>
        <v>2</v>
      </c>
      <c r="E262" s="49">
        <f t="shared" si="6"/>
        <v>44705</v>
      </c>
      <c r="F262" s="50">
        <f t="shared" si="7"/>
        <v>12560.476883246034</v>
      </c>
      <c r="G262" s="44">
        <f>'[2]Simulateur Calculatrice Pos.'!$E$35</f>
        <v>2</v>
      </c>
      <c r="H262" s="45">
        <f>Positions[[#This Row],[Capital]]*Positions[[#This Row],[Evolution du capital par jour en %]]%</f>
        <v>251.20953766492067</v>
      </c>
      <c r="I262" s="46">
        <f>ROUND((((Positions[[#This Row],[Capital]]*Positions[[#This Row],[Evolution du capital par jour en %]]%)/('[2]Simulateur Calculatrice Pos.'!$E$15*'[2]Simulateur Calculatrice Pos.'!$E$24))/'[2]Simulateur Calculatrice Pos.'!$E$21),0)</f>
        <v>21</v>
      </c>
      <c r="J262" s="47">
        <f>IFERROR(IF(D262=5,((Positions[[#This Row],[Capital]]-F258)-K262),0),)</f>
        <v>0</v>
      </c>
      <c r="K262" s="48">
        <f>IFERROR(IF(D262=5,IF($B$6="Aucun retrait",0,IF($B$6=75%,(Positions[[#This Row],[Capital]]-F258)*75%)),0),)</f>
        <v>0</v>
      </c>
    </row>
    <row r="263" spans="4:11" ht="15.75" x14ac:dyDescent="0.25">
      <c r="D263" s="32">
        <f>WEEKDAY(Positions[[#This Row],[Jous / Séances de trading]],2)</f>
        <v>3</v>
      </c>
      <c r="E263" s="49">
        <f t="shared" si="6"/>
        <v>44706</v>
      </c>
      <c r="F263" s="50">
        <f t="shared" si="7"/>
        <v>12811.686420910955</v>
      </c>
      <c r="G263" s="44">
        <f>'[2]Simulateur Calculatrice Pos.'!$E$35</f>
        <v>2</v>
      </c>
      <c r="H263" s="45">
        <f>Positions[[#This Row],[Capital]]*Positions[[#This Row],[Evolution du capital par jour en %]]%</f>
        <v>256.23372841821913</v>
      </c>
      <c r="I263" s="46">
        <f>ROUND((((Positions[[#This Row],[Capital]]*Positions[[#This Row],[Evolution du capital par jour en %]]%)/('[2]Simulateur Calculatrice Pos.'!$E$15*'[2]Simulateur Calculatrice Pos.'!$E$24))/'[2]Simulateur Calculatrice Pos.'!$E$21),0)</f>
        <v>21</v>
      </c>
      <c r="J263" s="47">
        <f>IFERROR(IF(D263=5,((Positions[[#This Row],[Capital]]-F259)-K263),0),)</f>
        <v>0</v>
      </c>
      <c r="K263" s="48">
        <f>IFERROR(IF(D263=5,IF($B$6="Aucun retrait",0,IF($B$6=75%,(Positions[[#This Row],[Capital]]-F259)*75%)),0),)</f>
        <v>0</v>
      </c>
    </row>
    <row r="264" spans="4:11" ht="15.75" x14ac:dyDescent="0.25">
      <c r="D264" s="32">
        <f>WEEKDAY(Positions[[#This Row],[Jous / Séances de trading]],2)</f>
        <v>4</v>
      </c>
      <c r="E264" s="49">
        <f t="shared" si="6"/>
        <v>44707</v>
      </c>
      <c r="F264" s="50">
        <f t="shared" si="7"/>
        <v>13067.920149329175</v>
      </c>
      <c r="G264" s="44">
        <f>'[2]Simulateur Calculatrice Pos.'!$E$35</f>
        <v>2</v>
      </c>
      <c r="H264" s="45">
        <f>Positions[[#This Row],[Capital]]*Positions[[#This Row],[Evolution du capital par jour en %]]%</f>
        <v>261.35840298658349</v>
      </c>
      <c r="I264" s="46">
        <f>ROUND((((Positions[[#This Row],[Capital]]*Positions[[#This Row],[Evolution du capital par jour en %]]%)/('[2]Simulateur Calculatrice Pos.'!$E$15*'[2]Simulateur Calculatrice Pos.'!$E$24))/'[2]Simulateur Calculatrice Pos.'!$E$21),0)</f>
        <v>22</v>
      </c>
      <c r="J264" s="47">
        <f>IFERROR(IF(D264=5,((Positions[[#This Row],[Capital]]-F260)-K264),0),)</f>
        <v>0</v>
      </c>
      <c r="K264" s="48">
        <f>IFERROR(IF(D264=5,IF($B$6="Aucun retrait",0,IF($B$6=75%,(Positions[[#This Row],[Capital]]-F260)*75%)),0),)</f>
        <v>0</v>
      </c>
    </row>
    <row r="265" spans="4:11" ht="15.75" x14ac:dyDescent="0.25">
      <c r="D265" s="32">
        <f>WEEKDAY(Positions[[#This Row],[Jous / Séances de trading]],2)</f>
        <v>5</v>
      </c>
      <c r="E265" s="49">
        <f t="shared" ref="E265:E328" si="8">WORKDAY(E264,1)</f>
        <v>44708</v>
      </c>
      <c r="F265" s="50">
        <f t="shared" ref="F265:F328" si="9">IF(D265=1,(F264+H264)-K264,F264+H264)</f>
        <v>13329.278552315758</v>
      </c>
      <c r="G265" s="44">
        <f>'[2]Simulateur Calculatrice Pos.'!$E$35</f>
        <v>2</v>
      </c>
      <c r="H265" s="45">
        <f>Positions[[#This Row],[Capital]]*Positions[[#This Row],[Evolution du capital par jour en %]]%</f>
        <v>266.58557104631518</v>
      </c>
      <c r="I265" s="46">
        <f>ROUND((((Positions[[#This Row],[Capital]]*Positions[[#This Row],[Evolution du capital par jour en %]]%)/('[2]Simulateur Calculatrice Pos.'!$E$15*'[2]Simulateur Calculatrice Pos.'!$E$24))/'[2]Simulateur Calculatrice Pos.'!$E$21),0)</f>
        <v>22</v>
      </c>
      <c r="J265" s="47">
        <f>IFERROR(IF(D265=5,((Positions[[#This Row],[Capital]]-F261)-K265),0),)</f>
        <v>253.77138238138195</v>
      </c>
      <c r="K265" s="48">
        <f>IFERROR(IF(D265=5,IF($B$6="Aucun retrait",0,IF($B$6=75%,(Positions[[#This Row],[Capital]]-F261)*75%)),0),)</f>
        <v>761.31414714414586</v>
      </c>
    </row>
    <row r="266" spans="4:11" ht="15.75" x14ac:dyDescent="0.25">
      <c r="D266" s="32">
        <f>WEEKDAY(Positions[[#This Row],[Jous / Séances de trading]],2)</f>
        <v>1</v>
      </c>
      <c r="E266" s="49">
        <f t="shared" si="8"/>
        <v>44711</v>
      </c>
      <c r="F266" s="50">
        <f t="shared" si="9"/>
        <v>12834.549976217928</v>
      </c>
      <c r="G266" s="44">
        <f>'[2]Simulateur Calculatrice Pos.'!$E$35</f>
        <v>2</v>
      </c>
      <c r="H266" s="45">
        <f>Positions[[#This Row],[Capital]]*Positions[[#This Row],[Evolution du capital par jour en %]]%</f>
        <v>256.69099952435857</v>
      </c>
      <c r="I266" s="46">
        <f>ROUND((((Positions[[#This Row],[Capital]]*Positions[[#This Row],[Evolution du capital par jour en %]]%)/('[2]Simulateur Calculatrice Pos.'!$E$15*'[2]Simulateur Calculatrice Pos.'!$E$24))/'[2]Simulateur Calculatrice Pos.'!$E$21),0)</f>
        <v>21</v>
      </c>
      <c r="J266" s="47">
        <f>IFERROR(IF(D266=5,((Positions[[#This Row],[Capital]]-F262)-K266),0),)</f>
        <v>0</v>
      </c>
      <c r="K266" s="48">
        <f>IFERROR(IF(D266=5,IF($B$6="Aucun retrait",0,IF($B$6=75%,(Positions[[#This Row],[Capital]]-F262)*75%)),0),)</f>
        <v>0</v>
      </c>
    </row>
    <row r="267" spans="4:11" ht="15.75" x14ac:dyDescent="0.25">
      <c r="D267" s="32">
        <f>WEEKDAY(Positions[[#This Row],[Jous / Séances de trading]],2)</f>
        <v>2</v>
      </c>
      <c r="E267" s="49">
        <f t="shared" si="8"/>
        <v>44712</v>
      </c>
      <c r="F267" s="50">
        <f t="shared" si="9"/>
        <v>13091.240975742287</v>
      </c>
      <c r="G267" s="44">
        <f>'[2]Simulateur Calculatrice Pos.'!$E$35</f>
        <v>2</v>
      </c>
      <c r="H267" s="45">
        <f>Positions[[#This Row],[Capital]]*Positions[[#This Row],[Evolution du capital par jour en %]]%</f>
        <v>261.82481951484573</v>
      </c>
      <c r="I267" s="46">
        <f>ROUND((((Positions[[#This Row],[Capital]]*Positions[[#This Row],[Evolution du capital par jour en %]]%)/('[2]Simulateur Calculatrice Pos.'!$E$15*'[2]Simulateur Calculatrice Pos.'!$E$24))/'[2]Simulateur Calculatrice Pos.'!$E$21),0)</f>
        <v>22</v>
      </c>
      <c r="J267" s="47">
        <f>IFERROR(IF(D267=5,((Positions[[#This Row],[Capital]]-F263)-K267),0),)</f>
        <v>0</v>
      </c>
      <c r="K267" s="48">
        <f>IFERROR(IF(D267=5,IF($B$6="Aucun retrait",0,IF($B$6=75%,(Positions[[#This Row],[Capital]]-F263)*75%)),0),)</f>
        <v>0</v>
      </c>
    </row>
    <row r="268" spans="4:11" ht="15.75" x14ac:dyDescent="0.25">
      <c r="D268" s="32">
        <f>WEEKDAY(Positions[[#This Row],[Jous / Séances de trading]],2)</f>
        <v>3</v>
      </c>
      <c r="E268" s="49">
        <f t="shared" si="8"/>
        <v>44713</v>
      </c>
      <c r="F268" s="50">
        <f t="shared" si="9"/>
        <v>13353.065795257133</v>
      </c>
      <c r="G268" s="44">
        <f>'[2]Simulateur Calculatrice Pos.'!$E$35</f>
        <v>2</v>
      </c>
      <c r="H268" s="45">
        <f>Positions[[#This Row],[Capital]]*Positions[[#This Row],[Evolution du capital par jour en %]]%</f>
        <v>267.06131590514264</v>
      </c>
      <c r="I268" s="46">
        <f>ROUND((((Positions[[#This Row],[Capital]]*Positions[[#This Row],[Evolution du capital par jour en %]]%)/('[2]Simulateur Calculatrice Pos.'!$E$15*'[2]Simulateur Calculatrice Pos.'!$E$24))/'[2]Simulateur Calculatrice Pos.'!$E$21),0)</f>
        <v>22</v>
      </c>
      <c r="J268" s="47">
        <f>IFERROR(IF(D268=5,((Positions[[#This Row],[Capital]]-F264)-K268),0),)</f>
        <v>0</v>
      </c>
      <c r="K268" s="48">
        <f>IFERROR(IF(D268=5,IF($B$6="Aucun retrait",0,IF($B$6=75%,(Positions[[#This Row],[Capital]]-F264)*75%)),0),)</f>
        <v>0</v>
      </c>
    </row>
    <row r="269" spans="4:11" ht="15.75" x14ac:dyDescent="0.25">
      <c r="D269" s="32">
        <f>WEEKDAY(Positions[[#This Row],[Jous / Séances de trading]],2)</f>
        <v>4</v>
      </c>
      <c r="E269" s="49">
        <f t="shared" si="8"/>
        <v>44714</v>
      </c>
      <c r="F269" s="50">
        <f t="shared" si="9"/>
        <v>13620.127111162275</v>
      </c>
      <c r="G269" s="44">
        <f>'[2]Simulateur Calculatrice Pos.'!$E$35</f>
        <v>2</v>
      </c>
      <c r="H269" s="45">
        <f>Positions[[#This Row],[Capital]]*Positions[[#This Row],[Evolution du capital par jour en %]]%</f>
        <v>272.40254222324552</v>
      </c>
      <c r="I269" s="46">
        <f>ROUND((((Positions[[#This Row],[Capital]]*Positions[[#This Row],[Evolution du capital par jour en %]]%)/('[2]Simulateur Calculatrice Pos.'!$E$15*'[2]Simulateur Calculatrice Pos.'!$E$24))/'[2]Simulateur Calculatrice Pos.'!$E$21),0)</f>
        <v>23</v>
      </c>
      <c r="J269" s="47">
        <f>IFERROR(IF(D269=5,((Positions[[#This Row],[Capital]]-F265)-K269),0),)</f>
        <v>0</v>
      </c>
      <c r="K269" s="48">
        <f>IFERROR(IF(D269=5,IF($B$6="Aucun retrait",0,IF($B$6=75%,(Positions[[#This Row],[Capital]]-F265)*75%)),0),)</f>
        <v>0</v>
      </c>
    </row>
    <row r="270" spans="4:11" ht="15.75" x14ac:dyDescent="0.25">
      <c r="D270" s="32">
        <f>WEEKDAY(Positions[[#This Row],[Jous / Séances de trading]],2)</f>
        <v>5</v>
      </c>
      <c r="E270" s="49">
        <f t="shared" si="8"/>
        <v>44715</v>
      </c>
      <c r="F270" s="50">
        <f t="shared" si="9"/>
        <v>13892.529653385522</v>
      </c>
      <c r="G270" s="44">
        <f>'[2]Simulateur Calculatrice Pos.'!$E$35</f>
        <v>2</v>
      </c>
      <c r="H270" s="45">
        <f>Positions[[#This Row],[Capital]]*Positions[[#This Row],[Evolution du capital par jour en %]]%</f>
        <v>277.85059306771046</v>
      </c>
      <c r="I270" s="46">
        <f>ROUND((((Positions[[#This Row],[Capital]]*Positions[[#This Row],[Evolution du capital par jour en %]]%)/('[2]Simulateur Calculatrice Pos.'!$E$15*'[2]Simulateur Calculatrice Pos.'!$E$24))/'[2]Simulateur Calculatrice Pos.'!$E$21),0)</f>
        <v>23</v>
      </c>
      <c r="J270" s="47">
        <f>IFERROR(IF(D270=5,((Positions[[#This Row],[Capital]]-F266)-K270),0),)</f>
        <v>264.49491929189844</v>
      </c>
      <c r="K270" s="48">
        <f>IFERROR(IF(D270=5,IF($B$6="Aucun retrait",0,IF($B$6=75%,(Positions[[#This Row],[Capital]]-F266)*75%)),0),)</f>
        <v>793.48475787569532</v>
      </c>
    </row>
    <row r="271" spans="4:11" ht="15.75" x14ac:dyDescent="0.25">
      <c r="D271" s="32">
        <f>WEEKDAY(Positions[[#This Row],[Jous / Séances de trading]],2)</f>
        <v>1</v>
      </c>
      <c r="E271" s="49">
        <f t="shared" si="8"/>
        <v>44718</v>
      </c>
      <c r="F271" s="50">
        <f t="shared" si="9"/>
        <v>13376.895488577538</v>
      </c>
      <c r="G271" s="44">
        <f>'[2]Simulateur Calculatrice Pos.'!$E$35</f>
        <v>2</v>
      </c>
      <c r="H271" s="45">
        <f>Positions[[#This Row],[Capital]]*Positions[[#This Row],[Evolution du capital par jour en %]]%</f>
        <v>267.53790977155074</v>
      </c>
      <c r="I271" s="46">
        <f>ROUND((((Positions[[#This Row],[Capital]]*Positions[[#This Row],[Evolution du capital par jour en %]]%)/('[2]Simulateur Calculatrice Pos.'!$E$15*'[2]Simulateur Calculatrice Pos.'!$E$24))/'[2]Simulateur Calculatrice Pos.'!$E$21),0)</f>
        <v>22</v>
      </c>
      <c r="J271" s="47">
        <f>IFERROR(IF(D271=5,((Positions[[#This Row],[Capital]]-F267)-K271),0),)</f>
        <v>0</v>
      </c>
      <c r="K271" s="48">
        <f>IFERROR(IF(D271=5,IF($B$6="Aucun retrait",0,IF($B$6=75%,(Positions[[#This Row],[Capital]]-F267)*75%)),0),)</f>
        <v>0</v>
      </c>
    </row>
    <row r="272" spans="4:11" ht="15.75" x14ac:dyDescent="0.25">
      <c r="D272" s="32">
        <f>WEEKDAY(Positions[[#This Row],[Jous / Séances de trading]],2)</f>
        <v>2</v>
      </c>
      <c r="E272" s="49">
        <f t="shared" si="8"/>
        <v>44719</v>
      </c>
      <c r="F272" s="50">
        <f t="shared" si="9"/>
        <v>13644.433398349089</v>
      </c>
      <c r="G272" s="44">
        <f>'[2]Simulateur Calculatrice Pos.'!$E$35</f>
        <v>2</v>
      </c>
      <c r="H272" s="45">
        <f>Positions[[#This Row],[Capital]]*Positions[[#This Row],[Evolution du capital par jour en %]]%</f>
        <v>272.88866796698176</v>
      </c>
      <c r="I272" s="46">
        <f>ROUND((((Positions[[#This Row],[Capital]]*Positions[[#This Row],[Evolution du capital par jour en %]]%)/('[2]Simulateur Calculatrice Pos.'!$E$15*'[2]Simulateur Calculatrice Pos.'!$E$24))/'[2]Simulateur Calculatrice Pos.'!$E$21),0)</f>
        <v>23</v>
      </c>
      <c r="J272" s="47">
        <f>IFERROR(IF(D272=5,((Positions[[#This Row],[Capital]]-F268)-K272),0),)</f>
        <v>0</v>
      </c>
      <c r="K272" s="48">
        <f>IFERROR(IF(D272=5,IF($B$6="Aucun retrait",0,IF($B$6=75%,(Positions[[#This Row],[Capital]]-F268)*75%)),0),)</f>
        <v>0</v>
      </c>
    </row>
    <row r="273" spans="4:11" ht="15.75" x14ac:dyDescent="0.25">
      <c r="D273" s="32">
        <f>WEEKDAY(Positions[[#This Row],[Jous / Séances de trading]],2)</f>
        <v>3</v>
      </c>
      <c r="E273" s="49">
        <f t="shared" si="8"/>
        <v>44720</v>
      </c>
      <c r="F273" s="50">
        <f t="shared" si="9"/>
        <v>13917.32206631607</v>
      </c>
      <c r="G273" s="44">
        <f>'[2]Simulateur Calculatrice Pos.'!$E$35</f>
        <v>2</v>
      </c>
      <c r="H273" s="45">
        <f>Positions[[#This Row],[Capital]]*Positions[[#This Row],[Evolution du capital par jour en %]]%</f>
        <v>278.34644132632138</v>
      </c>
      <c r="I273" s="46">
        <f>ROUND((((Positions[[#This Row],[Capital]]*Positions[[#This Row],[Evolution du capital par jour en %]]%)/('[2]Simulateur Calculatrice Pos.'!$E$15*'[2]Simulateur Calculatrice Pos.'!$E$24))/'[2]Simulateur Calculatrice Pos.'!$E$21),0)</f>
        <v>23</v>
      </c>
      <c r="J273" s="47">
        <f>IFERROR(IF(D273=5,((Positions[[#This Row],[Capital]]-F269)-K273),0),)</f>
        <v>0</v>
      </c>
      <c r="K273" s="48">
        <f>IFERROR(IF(D273=5,IF($B$6="Aucun retrait",0,IF($B$6=75%,(Positions[[#This Row],[Capital]]-F269)*75%)),0),)</f>
        <v>0</v>
      </c>
    </row>
    <row r="274" spans="4:11" ht="15.75" x14ac:dyDescent="0.25">
      <c r="D274" s="32">
        <f>WEEKDAY(Positions[[#This Row],[Jous / Séances de trading]],2)</f>
        <v>4</v>
      </c>
      <c r="E274" s="49">
        <f t="shared" si="8"/>
        <v>44721</v>
      </c>
      <c r="F274" s="50">
        <f t="shared" si="9"/>
        <v>14195.668507642391</v>
      </c>
      <c r="G274" s="44">
        <f>'[2]Simulateur Calculatrice Pos.'!$E$35</f>
        <v>2</v>
      </c>
      <c r="H274" s="45">
        <f>Positions[[#This Row],[Capital]]*Positions[[#This Row],[Evolution du capital par jour en %]]%</f>
        <v>283.91337015284785</v>
      </c>
      <c r="I274" s="46">
        <f>ROUND((((Positions[[#This Row],[Capital]]*Positions[[#This Row],[Evolution du capital par jour en %]]%)/('[2]Simulateur Calculatrice Pos.'!$E$15*'[2]Simulateur Calculatrice Pos.'!$E$24))/'[2]Simulateur Calculatrice Pos.'!$E$21),0)</f>
        <v>24</v>
      </c>
      <c r="J274" s="47">
        <f>IFERROR(IF(D274=5,((Positions[[#This Row],[Capital]]-F270)-K274),0),)</f>
        <v>0</v>
      </c>
      <c r="K274" s="48">
        <f>IFERROR(IF(D274=5,IF($B$6="Aucun retrait",0,IF($B$6=75%,(Positions[[#This Row],[Capital]]-F270)*75%)),0),)</f>
        <v>0</v>
      </c>
    </row>
    <row r="275" spans="4:11" ht="15.75" x14ac:dyDescent="0.25">
      <c r="D275" s="32">
        <f>WEEKDAY(Positions[[#This Row],[Jous / Séances de trading]],2)</f>
        <v>5</v>
      </c>
      <c r="E275" s="49">
        <f t="shared" si="8"/>
        <v>44722</v>
      </c>
      <c r="F275" s="50">
        <f t="shared" si="9"/>
        <v>14479.581877795239</v>
      </c>
      <c r="G275" s="44">
        <f>'[2]Simulateur Calculatrice Pos.'!$E$35</f>
        <v>2</v>
      </c>
      <c r="H275" s="45">
        <f>Positions[[#This Row],[Capital]]*Positions[[#This Row],[Evolution du capital par jour en %]]%</f>
        <v>289.59163755590481</v>
      </c>
      <c r="I275" s="46">
        <f>ROUND((((Positions[[#This Row],[Capital]]*Positions[[#This Row],[Evolution du capital par jour en %]]%)/('[2]Simulateur Calculatrice Pos.'!$E$15*'[2]Simulateur Calculatrice Pos.'!$E$24))/'[2]Simulateur Calculatrice Pos.'!$E$21),0)</f>
        <v>24</v>
      </c>
      <c r="J275" s="47">
        <f>IFERROR(IF(D275=5,((Positions[[#This Row],[Capital]]-F271)-K275),0),)</f>
        <v>275.67159730442518</v>
      </c>
      <c r="K275" s="48">
        <f>IFERROR(IF(D275=5,IF($B$6="Aucun retrait",0,IF($B$6=75%,(Positions[[#This Row],[Capital]]-F271)*75%)),0),)</f>
        <v>827.01479191327553</v>
      </c>
    </row>
    <row r="276" spans="4:11" ht="15.75" x14ac:dyDescent="0.25">
      <c r="D276" s="32">
        <f>WEEKDAY(Positions[[#This Row],[Jous / Séances de trading]],2)</f>
        <v>1</v>
      </c>
      <c r="E276" s="49">
        <f t="shared" si="8"/>
        <v>44725</v>
      </c>
      <c r="F276" s="50">
        <f t="shared" si="9"/>
        <v>13942.158723437868</v>
      </c>
      <c r="G276" s="44">
        <f>'[2]Simulateur Calculatrice Pos.'!$E$35</f>
        <v>2</v>
      </c>
      <c r="H276" s="45">
        <f>Positions[[#This Row],[Capital]]*Positions[[#This Row],[Evolution du capital par jour en %]]%</f>
        <v>278.84317446875735</v>
      </c>
      <c r="I276" s="46">
        <f>ROUND((((Positions[[#This Row],[Capital]]*Positions[[#This Row],[Evolution du capital par jour en %]]%)/('[2]Simulateur Calculatrice Pos.'!$E$15*'[2]Simulateur Calculatrice Pos.'!$E$24))/'[2]Simulateur Calculatrice Pos.'!$E$21),0)</f>
        <v>23</v>
      </c>
      <c r="J276" s="47">
        <f>IFERROR(IF(D276=5,((Positions[[#This Row],[Capital]]-F272)-K276),0),)</f>
        <v>0</v>
      </c>
      <c r="K276" s="48">
        <f>IFERROR(IF(D276=5,IF($B$6="Aucun retrait",0,IF($B$6=75%,(Positions[[#This Row],[Capital]]-F272)*75%)),0),)</f>
        <v>0</v>
      </c>
    </row>
    <row r="277" spans="4:11" ht="15.75" x14ac:dyDescent="0.25">
      <c r="D277" s="32">
        <f>WEEKDAY(Positions[[#This Row],[Jous / Séances de trading]],2)</f>
        <v>2</v>
      </c>
      <c r="E277" s="49">
        <f t="shared" si="8"/>
        <v>44726</v>
      </c>
      <c r="F277" s="50">
        <f t="shared" si="9"/>
        <v>14221.001897906624</v>
      </c>
      <c r="G277" s="44">
        <f>'[2]Simulateur Calculatrice Pos.'!$E$35</f>
        <v>2</v>
      </c>
      <c r="H277" s="45">
        <f>Positions[[#This Row],[Capital]]*Positions[[#This Row],[Evolution du capital par jour en %]]%</f>
        <v>284.42003795813247</v>
      </c>
      <c r="I277" s="46">
        <f>ROUND((((Positions[[#This Row],[Capital]]*Positions[[#This Row],[Evolution du capital par jour en %]]%)/('[2]Simulateur Calculatrice Pos.'!$E$15*'[2]Simulateur Calculatrice Pos.'!$E$24))/'[2]Simulateur Calculatrice Pos.'!$E$21),0)</f>
        <v>24</v>
      </c>
      <c r="J277" s="47">
        <f>IFERROR(IF(D277=5,((Positions[[#This Row],[Capital]]-F273)-K277),0),)</f>
        <v>0</v>
      </c>
      <c r="K277" s="48">
        <f>IFERROR(IF(D277=5,IF($B$6="Aucun retrait",0,IF($B$6=75%,(Positions[[#This Row],[Capital]]-F273)*75%)),0),)</f>
        <v>0</v>
      </c>
    </row>
    <row r="278" spans="4:11" ht="15.75" x14ac:dyDescent="0.25">
      <c r="D278" s="32">
        <f>WEEKDAY(Positions[[#This Row],[Jous / Séances de trading]],2)</f>
        <v>3</v>
      </c>
      <c r="E278" s="49">
        <f t="shared" si="8"/>
        <v>44727</v>
      </c>
      <c r="F278" s="50">
        <f t="shared" si="9"/>
        <v>14505.421935864757</v>
      </c>
      <c r="G278" s="44">
        <f>'[2]Simulateur Calculatrice Pos.'!$E$35</f>
        <v>2</v>
      </c>
      <c r="H278" s="45">
        <f>Positions[[#This Row],[Capital]]*Positions[[#This Row],[Evolution du capital par jour en %]]%</f>
        <v>290.10843871729514</v>
      </c>
      <c r="I278" s="46">
        <f>ROUND((((Positions[[#This Row],[Capital]]*Positions[[#This Row],[Evolution du capital par jour en %]]%)/('[2]Simulateur Calculatrice Pos.'!$E$15*'[2]Simulateur Calculatrice Pos.'!$E$24))/'[2]Simulateur Calculatrice Pos.'!$E$21),0)</f>
        <v>24</v>
      </c>
      <c r="J278" s="47">
        <f>IFERROR(IF(D278=5,((Positions[[#This Row],[Capital]]-F274)-K278),0),)</f>
        <v>0</v>
      </c>
      <c r="K278" s="48">
        <f>IFERROR(IF(D278=5,IF($B$6="Aucun retrait",0,IF($B$6=75%,(Positions[[#This Row],[Capital]]-F274)*75%)),0),)</f>
        <v>0</v>
      </c>
    </row>
    <row r="279" spans="4:11" ht="15.75" x14ac:dyDescent="0.25">
      <c r="D279" s="32">
        <f>WEEKDAY(Positions[[#This Row],[Jous / Séances de trading]],2)</f>
        <v>4</v>
      </c>
      <c r="E279" s="49">
        <f t="shared" si="8"/>
        <v>44728</v>
      </c>
      <c r="F279" s="50">
        <f t="shared" si="9"/>
        <v>14795.530374582053</v>
      </c>
      <c r="G279" s="44">
        <f>'[2]Simulateur Calculatrice Pos.'!$E$35</f>
        <v>2</v>
      </c>
      <c r="H279" s="45">
        <f>Positions[[#This Row],[Capital]]*Positions[[#This Row],[Evolution du capital par jour en %]]%</f>
        <v>295.91060749164109</v>
      </c>
      <c r="I279" s="46">
        <f>ROUND((((Positions[[#This Row],[Capital]]*Positions[[#This Row],[Evolution du capital par jour en %]]%)/('[2]Simulateur Calculatrice Pos.'!$E$15*'[2]Simulateur Calculatrice Pos.'!$E$24))/'[2]Simulateur Calculatrice Pos.'!$E$21),0)</f>
        <v>25</v>
      </c>
      <c r="J279" s="47">
        <f>IFERROR(IF(D279=5,((Positions[[#This Row],[Capital]]-F275)-K279),0),)</f>
        <v>0</v>
      </c>
      <c r="K279" s="48">
        <f>IFERROR(IF(D279=5,IF($B$6="Aucun retrait",0,IF($B$6=75%,(Positions[[#This Row],[Capital]]-F275)*75%)),0),)</f>
        <v>0</v>
      </c>
    </row>
    <row r="280" spans="4:11" ht="15.75" x14ac:dyDescent="0.25">
      <c r="D280" s="32">
        <f>WEEKDAY(Positions[[#This Row],[Jous / Séances de trading]],2)</f>
        <v>5</v>
      </c>
      <c r="E280" s="49">
        <f t="shared" si="8"/>
        <v>44729</v>
      </c>
      <c r="F280" s="50">
        <f t="shared" si="9"/>
        <v>15091.440982073695</v>
      </c>
      <c r="G280" s="44">
        <f>'[2]Simulateur Calculatrice Pos.'!$E$35</f>
        <v>2</v>
      </c>
      <c r="H280" s="45">
        <f>Positions[[#This Row],[Capital]]*Positions[[#This Row],[Evolution du capital par jour en %]]%</f>
        <v>301.8288196414739</v>
      </c>
      <c r="I280" s="46">
        <f>ROUND((((Positions[[#This Row],[Capital]]*Positions[[#This Row],[Evolution du capital par jour en %]]%)/('[2]Simulateur Calculatrice Pos.'!$E$15*'[2]Simulateur Calculatrice Pos.'!$E$24))/'[2]Simulateur Calculatrice Pos.'!$E$21),0)</f>
        <v>25</v>
      </c>
      <c r="J280" s="47">
        <f>IFERROR(IF(D280=5,((Positions[[#This Row],[Capital]]-F276)-K280),0),)</f>
        <v>287.32056465895676</v>
      </c>
      <c r="K280" s="48">
        <f>IFERROR(IF(D280=5,IF($B$6="Aucun retrait",0,IF($B$6=75%,(Positions[[#This Row],[Capital]]-F276)*75%)),0),)</f>
        <v>861.96169397687027</v>
      </c>
    </row>
    <row r="281" spans="4:11" ht="15.75" x14ac:dyDescent="0.25">
      <c r="D281" s="32">
        <f>WEEKDAY(Positions[[#This Row],[Jous / Séances de trading]],2)</f>
        <v>1</v>
      </c>
      <c r="E281" s="49">
        <f t="shared" si="8"/>
        <v>44732</v>
      </c>
      <c r="F281" s="50">
        <f t="shared" si="9"/>
        <v>14531.308107738299</v>
      </c>
      <c r="G281" s="44">
        <f>'[2]Simulateur Calculatrice Pos.'!$E$35</f>
        <v>2</v>
      </c>
      <c r="H281" s="45">
        <f>Positions[[#This Row],[Capital]]*Positions[[#This Row],[Evolution du capital par jour en %]]%</f>
        <v>290.62616215476601</v>
      </c>
      <c r="I281" s="46">
        <f>ROUND((((Positions[[#This Row],[Capital]]*Positions[[#This Row],[Evolution du capital par jour en %]]%)/('[2]Simulateur Calculatrice Pos.'!$E$15*'[2]Simulateur Calculatrice Pos.'!$E$24))/'[2]Simulateur Calculatrice Pos.'!$E$21),0)</f>
        <v>24</v>
      </c>
      <c r="J281" s="47">
        <f>IFERROR(IF(D281=5,((Positions[[#This Row],[Capital]]-F277)-K281),0),)</f>
        <v>0</v>
      </c>
      <c r="K281" s="48">
        <f>IFERROR(IF(D281=5,IF($B$6="Aucun retrait",0,IF($B$6=75%,(Positions[[#This Row],[Capital]]-F277)*75%)),0),)</f>
        <v>0</v>
      </c>
    </row>
    <row r="282" spans="4:11" ht="15.75" x14ac:dyDescent="0.25">
      <c r="D282" s="32">
        <f>WEEKDAY(Positions[[#This Row],[Jous / Séances de trading]],2)</f>
        <v>2</v>
      </c>
      <c r="E282" s="49">
        <f t="shared" si="8"/>
        <v>44733</v>
      </c>
      <c r="F282" s="50">
        <f t="shared" si="9"/>
        <v>14821.934269893065</v>
      </c>
      <c r="G282" s="44">
        <f>'[2]Simulateur Calculatrice Pos.'!$E$35</f>
        <v>2</v>
      </c>
      <c r="H282" s="45">
        <f>Positions[[#This Row],[Capital]]*Positions[[#This Row],[Evolution du capital par jour en %]]%</f>
        <v>296.43868539786132</v>
      </c>
      <c r="I282" s="46">
        <f>ROUND((((Positions[[#This Row],[Capital]]*Positions[[#This Row],[Evolution du capital par jour en %]]%)/('[2]Simulateur Calculatrice Pos.'!$E$15*'[2]Simulateur Calculatrice Pos.'!$E$24))/'[2]Simulateur Calculatrice Pos.'!$E$21),0)</f>
        <v>25</v>
      </c>
      <c r="J282" s="47">
        <f>IFERROR(IF(D282=5,((Positions[[#This Row],[Capital]]-F278)-K282),0),)</f>
        <v>0</v>
      </c>
      <c r="K282" s="48">
        <f>IFERROR(IF(D282=5,IF($B$6="Aucun retrait",0,IF($B$6=75%,(Positions[[#This Row],[Capital]]-F278)*75%)),0),)</f>
        <v>0</v>
      </c>
    </row>
    <row r="283" spans="4:11" ht="15.75" x14ac:dyDescent="0.25">
      <c r="D283" s="32">
        <f>WEEKDAY(Positions[[#This Row],[Jous / Séances de trading]],2)</f>
        <v>3</v>
      </c>
      <c r="E283" s="49">
        <f t="shared" si="8"/>
        <v>44734</v>
      </c>
      <c r="F283" s="50">
        <f t="shared" si="9"/>
        <v>15118.372955290926</v>
      </c>
      <c r="G283" s="44">
        <f>'[2]Simulateur Calculatrice Pos.'!$E$35</f>
        <v>2</v>
      </c>
      <c r="H283" s="45">
        <f>Positions[[#This Row],[Capital]]*Positions[[#This Row],[Evolution du capital par jour en %]]%</f>
        <v>302.36745910581851</v>
      </c>
      <c r="I283" s="46">
        <f>ROUND((((Positions[[#This Row],[Capital]]*Positions[[#This Row],[Evolution du capital par jour en %]]%)/('[2]Simulateur Calculatrice Pos.'!$E$15*'[2]Simulateur Calculatrice Pos.'!$E$24))/'[2]Simulateur Calculatrice Pos.'!$E$21),0)</f>
        <v>25</v>
      </c>
      <c r="J283" s="47">
        <f>IFERROR(IF(D283=5,((Positions[[#This Row],[Capital]]-F279)-K283),0),)</f>
        <v>0</v>
      </c>
      <c r="K283" s="48">
        <f>IFERROR(IF(D283=5,IF($B$6="Aucun retrait",0,IF($B$6=75%,(Positions[[#This Row],[Capital]]-F279)*75%)),0),)</f>
        <v>0</v>
      </c>
    </row>
    <row r="284" spans="4:11" ht="15.75" x14ac:dyDescent="0.25">
      <c r="D284" s="32">
        <f>WEEKDAY(Positions[[#This Row],[Jous / Séances de trading]],2)</f>
        <v>4</v>
      </c>
      <c r="E284" s="49">
        <f t="shared" si="8"/>
        <v>44735</v>
      </c>
      <c r="F284" s="50">
        <f t="shared" si="9"/>
        <v>15420.740414396745</v>
      </c>
      <c r="G284" s="44">
        <f>'[2]Simulateur Calculatrice Pos.'!$E$35</f>
        <v>2</v>
      </c>
      <c r="H284" s="45">
        <f>Positions[[#This Row],[Capital]]*Positions[[#This Row],[Evolution du capital par jour en %]]%</f>
        <v>308.41480828793493</v>
      </c>
      <c r="I284" s="46">
        <f>ROUND((((Positions[[#This Row],[Capital]]*Positions[[#This Row],[Evolution du capital par jour en %]]%)/('[2]Simulateur Calculatrice Pos.'!$E$15*'[2]Simulateur Calculatrice Pos.'!$E$24))/'[2]Simulateur Calculatrice Pos.'!$E$21),0)</f>
        <v>26</v>
      </c>
      <c r="J284" s="47">
        <f>IFERROR(IF(D284=5,((Positions[[#This Row],[Capital]]-F280)-K284),0),)</f>
        <v>0</v>
      </c>
      <c r="K284" s="48">
        <f>IFERROR(IF(D284=5,IF($B$6="Aucun retrait",0,IF($B$6=75%,(Positions[[#This Row],[Capital]]-F280)*75%)),0),)</f>
        <v>0</v>
      </c>
    </row>
    <row r="285" spans="4:11" ht="15.75" x14ac:dyDescent="0.25">
      <c r="D285" s="32">
        <f>WEEKDAY(Positions[[#This Row],[Jous / Séances de trading]],2)</f>
        <v>5</v>
      </c>
      <c r="E285" s="49">
        <f t="shared" si="8"/>
        <v>44736</v>
      </c>
      <c r="F285" s="50">
        <f t="shared" si="9"/>
        <v>15729.15522268468</v>
      </c>
      <c r="G285" s="44">
        <f>'[2]Simulateur Calculatrice Pos.'!$E$35</f>
        <v>2</v>
      </c>
      <c r="H285" s="45">
        <f>Positions[[#This Row],[Capital]]*Positions[[#This Row],[Evolution du capital par jour en %]]%</f>
        <v>314.58310445369358</v>
      </c>
      <c r="I285" s="46">
        <f>ROUND((((Positions[[#This Row],[Capital]]*Positions[[#This Row],[Evolution du capital par jour en %]]%)/('[2]Simulateur Calculatrice Pos.'!$E$15*'[2]Simulateur Calculatrice Pos.'!$E$24))/'[2]Simulateur Calculatrice Pos.'!$E$21),0)</f>
        <v>26</v>
      </c>
      <c r="J285" s="47">
        <f>IFERROR(IF(D285=5,((Positions[[#This Row],[Capital]]-F281)-K285),0),)</f>
        <v>299.46177873659508</v>
      </c>
      <c r="K285" s="48">
        <f>IFERROR(IF(D285=5,IF($B$6="Aucun retrait",0,IF($B$6=75%,(Positions[[#This Row],[Capital]]-F281)*75%)),0),)</f>
        <v>898.38533620978524</v>
      </c>
    </row>
    <row r="286" spans="4:11" ht="15.75" x14ac:dyDescent="0.25">
      <c r="D286" s="32">
        <f>WEEKDAY(Positions[[#This Row],[Jous / Séances de trading]],2)</f>
        <v>1</v>
      </c>
      <c r="E286" s="49">
        <f t="shared" si="8"/>
        <v>44739</v>
      </c>
      <c r="F286" s="50">
        <f t="shared" si="9"/>
        <v>15145.352990928588</v>
      </c>
      <c r="G286" s="44">
        <f>'[2]Simulateur Calculatrice Pos.'!$E$35</f>
        <v>2</v>
      </c>
      <c r="H286" s="45">
        <f>Positions[[#This Row],[Capital]]*Positions[[#This Row],[Evolution du capital par jour en %]]%</f>
        <v>302.90705981857178</v>
      </c>
      <c r="I286" s="46">
        <f>ROUND((((Positions[[#This Row],[Capital]]*Positions[[#This Row],[Evolution du capital par jour en %]]%)/('[2]Simulateur Calculatrice Pos.'!$E$15*'[2]Simulateur Calculatrice Pos.'!$E$24))/'[2]Simulateur Calculatrice Pos.'!$E$21),0)</f>
        <v>25</v>
      </c>
      <c r="J286" s="47">
        <f>IFERROR(IF(D286=5,((Positions[[#This Row],[Capital]]-F282)-K286),0),)</f>
        <v>0</v>
      </c>
      <c r="K286" s="48">
        <f>IFERROR(IF(D286=5,IF($B$6="Aucun retrait",0,IF($B$6=75%,(Positions[[#This Row],[Capital]]-F282)*75%)),0),)</f>
        <v>0</v>
      </c>
    </row>
    <row r="287" spans="4:11" ht="15.75" x14ac:dyDescent="0.25">
      <c r="D287" s="32">
        <f>WEEKDAY(Positions[[#This Row],[Jous / Séances de trading]],2)</f>
        <v>2</v>
      </c>
      <c r="E287" s="49">
        <f t="shared" si="8"/>
        <v>44740</v>
      </c>
      <c r="F287" s="50">
        <f t="shared" si="9"/>
        <v>15448.26005074716</v>
      </c>
      <c r="G287" s="44">
        <f>'[2]Simulateur Calculatrice Pos.'!$E$35</f>
        <v>2</v>
      </c>
      <c r="H287" s="45">
        <f>Positions[[#This Row],[Capital]]*Positions[[#This Row],[Evolution du capital par jour en %]]%</f>
        <v>308.9652010149432</v>
      </c>
      <c r="I287" s="46">
        <f>ROUND((((Positions[[#This Row],[Capital]]*Positions[[#This Row],[Evolution du capital par jour en %]]%)/('[2]Simulateur Calculatrice Pos.'!$E$15*'[2]Simulateur Calculatrice Pos.'!$E$24))/'[2]Simulateur Calculatrice Pos.'!$E$21),0)</f>
        <v>26</v>
      </c>
      <c r="J287" s="47">
        <f>IFERROR(IF(D287=5,((Positions[[#This Row],[Capital]]-F283)-K287),0),)</f>
        <v>0</v>
      </c>
      <c r="K287" s="48">
        <f>IFERROR(IF(D287=5,IF($B$6="Aucun retrait",0,IF($B$6=75%,(Positions[[#This Row],[Capital]]-F283)*75%)),0),)</f>
        <v>0</v>
      </c>
    </row>
    <row r="288" spans="4:11" ht="15.75" x14ac:dyDescent="0.25">
      <c r="D288" s="32">
        <f>WEEKDAY(Positions[[#This Row],[Jous / Séances de trading]],2)</f>
        <v>3</v>
      </c>
      <c r="E288" s="49">
        <f t="shared" si="8"/>
        <v>44741</v>
      </c>
      <c r="F288" s="50">
        <f t="shared" si="9"/>
        <v>15757.225251762104</v>
      </c>
      <c r="G288" s="44">
        <f>'[2]Simulateur Calculatrice Pos.'!$E$35</f>
        <v>2</v>
      </c>
      <c r="H288" s="45">
        <f>Positions[[#This Row],[Capital]]*Positions[[#This Row],[Evolution du capital par jour en %]]%</f>
        <v>315.1445050352421</v>
      </c>
      <c r="I288" s="46">
        <f>ROUND((((Positions[[#This Row],[Capital]]*Positions[[#This Row],[Evolution du capital par jour en %]]%)/('[2]Simulateur Calculatrice Pos.'!$E$15*'[2]Simulateur Calculatrice Pos.'!$E$24))/'[2]Simulateur Calculatrice Pos.'!$E$21),0)</f>
        <v>26</v>
      </c>
      <c r="J288" s="47">
        <f>IFERROR(IF(D288=5,((Positions[[#This Row],[Capital]]-F284)-K288),0),)</f>
        <v>0</v>
      </c>
      <c r="K288" s="48">
        <f>IFERROR(IF(D288=5,IF($B$6="Aucun retrait",0,IF($B$6=75%,(Positions[[#This Row],[Capital]]-F284)*75%)),0),)</f>
        <v>0</v>
      </c>
    </row>
    <row r="289" spans="4:11" ht="15.75" x14ac:dyDescent="0.25">
      <c r="D289" s="32">
        <f>WEEKDAY(Positions[[#This Row],[Jous / Séances de trading]],2)</f>
        <v>4</v>
      </c>
      <c r="E289" s="49">
        <f t="shared" si="8"/>
        <v>44742</v>
      </c>
      <c r="F289" s="50">
        <f t="shared" si="9"/>
        <v>16072.369756797345</v>
      </c>
      <c r="G289" s="44">
        <f>'[2]Simulateur Calculatrice Pos.'!$E$35</f>
        <v>2</v>
      </c>
      <c r="H289" s="45">
        <f>Positions[[#This Row],[Capital]]*Positions[[#This Row],[Evolution du capital par jour en %]]%</f>
        <v>321.44739513594692</v>
      </c>
      <c r="I289" s="46">
        <f>ROUND((((Positions[[#This Row],[Capital]]*Positions[[#This Row],[Evolution du capital par jour en %]]%)/('[2]Simulateur Calculatrice Pos.'!$E$15*'[2]Simulateur Calculatrice Pos.'!$E$24))/'[2]Simulateur Calculatrice Pos.'!$E$21),0)</f>
        <v>27</v>
      </c>
      <c r="J289" s="47">
        <f>IFERROR(IF(D289=5,((Positions[[#This Row],[Capital]]-F285)-K289),0),)</f>
        <v>0</v>
      </c>
      <c r="K289" s="48">
        <f>IFERROR(IF(D289=5,IF($B$6="Aucun retrait",0,IF($B$6=75%,(Positions[[#This Row],[Capital]]-F285)*75%)),0),)</f>
        <v>0</v>
      </c>
    </row>
    <row r="290" spans="4:11" ht="15.75" x14ac:dyDescent="0.25">
      <c r="D290" s="32">
        <f>WEEKDAY(Positions[[#This Row],[Jous / Séances de trading]],2)</f>
        <v>5</v>
      </c>
      <c r="E290" s="49">
        <f t="shared" si="8"/>
        <v>44743</v>
      </c>
      <c r="F290" s="50">
        <f t="shared" si="9"/>
        <v>16393.817151933294</v>
      </c>
      <c r="G290" s="44">
        <f>'[2]Simulateur Calculatrice Pos.'!$E$35</f>
        <v>2</v>
      </c>
      <c r="H290" s="45">
        <f>Positions[[#This Row],[Capital]]*Positions[[#This Row],[Evolution du capital par jour en %]]%</f>
        <v>327.87634303866588</v>
      </c>
      <c r="I290" s="46">
        <f>ROUND((((Positions[[#This Row],[Capital]]*Positions[[#This Row],[Evolution du capital par jour en %]]%)/('[2]Simulateur Calculatrice Pos.'!$E$15*'[2]Simulateur Calculatrice Pos.'!$E$24))/'[2]Simulateur Calculatrice Pos.'!$E$21),0)</f>
        <v>27</v>
      </c>
      <c r="J290" s="47">
        <f>IFERROR(IF(D290=5,((Positions[[#This Row],[Capital]]-F286)-K290),0),)</f>
        <v>312.1160402511764</v>
      </c>
      <c r="K290" s="48">
        <f>IFERROR(IF(D290=5,IF($B$6="Aucun retrait",0,IF($B$6=75%,(Positions[[#This Row],[Capital]]-F286)*75%)),0),)</f>
        <v>936.3481207535292</v>
      </c>
    </row>
    <row r="291" spans="4:11" ht="15.75" x14ac:dyDescent="0.25">
      <c r="D291" s="32">
        <f>WEEKDAY(Positions[[#This Row],[Jous / Séances de trading]],2)</f>
        <v>1</v>
      </c>
      <c r="E291" s="49">
        <f t="shared" si="8"/>
        <v>44746</v>
      </c>
      <c r="F291" s="50">
        <f t="shared" si="9"/>
        <v>15785.345374218428</v>
      </c>
      <c r="G291" s="44">
        <f>'[2]Simulateur Calculatrice Pos.'!$E$35</f>
        <v>2</v>
      </c>
      <c r="H291" s="45">
        <f>Positions[[#This Row],[Capital]]*Positions[[#This Row],[Evolution du capital par jour en %]]%</f>
        <v>315.70690748436857</v>
      </c>
      <c r="I291" s="46">
        <f>ROUND((((Positions[[#This Row],[Capital]]*Positions[[#This Row],[Evolution du capital par jour en %]]%)/('[2]Simulateur Calculatrice Pos.'!$E$15*'[2]Simulateur Calculatrice Pos.'!$E$24))/'[2]Simulateur Calculatrice Pos.'!$E$21),0)</f>
        <v>26</v>
      </c>
      <c r="J291" s="47">
        <f>IFERROR(IF(D291=5,((Positions[[#This Row],[Capital]]-F287)-K291),0),)</f>
        <v>0</v>
      </c>
      <c r="K291" s="48">
        <f>IFERROR(IF(D291=5,IF($B$6="Aucun retrait",0,IF($B$6=75%,(Positions[[#This Row],[Capital]]-F287)*75%)),0),)</f>
        <v>0</v>
      </c>
    </row>
    <row r="292" spans="4:11" ht="15.75" hidden="1" x14ac:dyDescent="0.25">
      <c r="D292" s="32">
        <f>WEEKDAY(Positions[[#This Row],[Jous / Séances de trading]],2)</f>
        <v>2</v>
      </c>
      <c r="E292" s="49">
        <f t="shared" si="8"/>
        <v>44747</v>
      </c>
      <c r="F292" s="50">
        <f t="shared" si="9"/>
        <v>16101.052281702798</v>
      </c>
      <c r="G292" s="44">
        <f>'[2]Simulateur Calculatrice Pos.'!$E$35</f>
        <v>2</v>
      </c>
      <c r="H292" s="45">
        <f>Positions[[#This Row],[Capital]]*Positions[[#This Row],[Evolution du capital par jour en %]]%</f>
        <v>322.02104563405595</v>
      </c>
      <c r="I292" s="46">
        <f>ROUND((((Positions[[#This Row],[Capital]]*Positions[[#This Row],[Evolution du capital par jour en %]]%)/('[2]Simulateur Calculatrice Pos.'!$E$15*'[2]Simulateur Calculatrice Pos.'!$E$24))/'[2]Simulateur Calculatrice Pos.'!$E$21),0)</f>
        <v>27</v>
      </c>
      <c r="J292" s="47">
        <f>IFERROR(IF(D292=5,((Positions[[#This Row],[Capital]]-F288)-K292),0),)</f>
        <v>0</v>
      </c>
      <c r="K292" s="48">
        <f>IFERROR(IF(D292=5,IF($B$6="Aucun retrait",0,IF($B$6=75%,(Positions[[#This Row],[Capital]]-F288)*75%)),0),)</f>
        <v>0</v>
      </c>
    </row>
    <row r="293" spans="4:11" ht="15.75" hidden="1" x14ac:dyDescent="0.25">
      <c r="D293" s="32">
        <f>WEEKDAY(Positions[[#This Row],[Jous / Séances de trading]],2)</f>
        <v>3</v>
      </c>
      <c r="E293" s="49">
        <f t="shared" si="8"/>
        <v>44748</v>
      </c>
      <c r="F293" s="50">
        <f t="shared" si="9"/>
        <v>16423.073327336853</v>
      </c>
      <c r="G293" s="44">
        <f>'[2]Simulateur Calculatrice Pos.'!$E$35</f>
        <v>2</v>
      </c>
      <c r="H293" s="45">
        <f>Positions[[#This Row],[Capital]]*Positions[[#This Row],[Evolution du capital par jour en %]]%</f>
        <v>328.46146654673709</v>
      </c>
      <c r="I293" s="46">
        <f>ROUND((((Positions[[#This Row],[Capital]]*Positions[[#This Row],[Evolution du capital par jour en %]]%)/('[2]Simulateur Calculatrice Pos.'!$E$15*'[2]Simulateur Calculatrice Pos.'!$E$24))/'[2]Simulateur Calculatrice Pos.'!$E$21),0)</f>
        <v>27</v>
      </c>
      <c r="J293" s="47">
        <f>IFERROR(IF(D293=5,((Positions[[#This Row],[Capital]]-F289)-K293),0),)</f>
        <v>0</v>
      </c>
      <c r="K293" s="48">
        <f>IFERROR(IF(D293=5,IF($B$6="Aucun retrait",0,IF($B$6=75%,(Positions[[#This Row],[Capital]]-F289)*75%)),0),)</f>
        <v>0</v>
      </c>
    </row>
    <row r="294" spans="4:11" ht="15.75" hidden="1" x14ac:dyDescent="0.25">
      <c r="D294" s="32">
        <f>WEEKDAY(Positions[[#This Row],[Jous / Séances de trading]],2)</f>
        <v>4</v>
      </c>
      <c r="E294" s="49">
        <f t="shared" si="8"/>
        <v>44749</v>
      </c>
      <c r="F294" s="50">
        <f t="shared" si="9"/>
        <v>16751.534793883591</v>
      </c>
      <c r="G294" s="44">
        <f>'[2]Simulateur Calculatrice Pos.'!$E$35</f>
        <v>2</v>
      </c>
      <c r="H294" s="45">
        <f>Positions[[#This Row],[Capital]]*Positions[[#This Row],[Evolution du capital par jour en %]]%</f>
        <v>335.0306958776718</v>
      </c>
      <c r="I294" s="46">
        <f>ROUND((((Positions[[#This Row],[Capital]]*Positions[[#This Row],[Evolution du capital par jour en %]]%)/('[2]Simulateur Calculatrice Pos.'!$E$15*'[2]Simulateur Calculatrice Pos.'!$E$24))/'[2]Simulateur Calculatrice Pos.'!$E$21),0)</f>
        <v>28</v>
      </c>
      <c r="J294" s="47">
        <f>IFERROR(IF(D294=5,((Positions[[#This Row],[Capital]]-F290)-K294),0),)</f>
        <v>0</v>
      </c>
      <c r="K294" s="48">
        <f>IFERROR(IF(D294=5,IF($B$6="Aucun retrait",0,IF($B$6=75%,(Positions[[#This Row],[Capital]]-F290)*75%)),0),)</f>
        <v>0</v>
      </c>
    </row>
    <row r="295" spans="4:11" ht="15.75" hidden="1" x14ac:dyDescent="0.25">
      <c r="D295" s="32">
        <f>WEEKDAY(Positions[[#This Row],[Jous / Séances de trading]],2)</f>
        <v>5</v>
      </c>
      <c r="E295" s="49">
        <f t="shared" si="8"/>
        <v>44750</v>
      </c>
      <c r="F295" s="50">
        <f t="shared" si="9"/>
        <v>17086.565489761262</v>
      </c>
      <c r="G295" s="44">
        <f>'[2]Simulateur Calculatrice Pos.'!$E$35</f>
        <v>2</v>
      </c>
      <c r="H295" s="45">
        <f>Positions[[#This Row],[Capital]]*Positions[[#This Row],[Evolution du capital par jour en %]]%</f>
        <v>341.73130979522523</v>
      </c>
      <c r="I295" s="46">
        <f>ROUND((((Positions[[#This Row],[Capital]]*Positions[[#This Row],[Evolution du capital par jour en %]]%)/('[2]Simulateur Calculatrice Pos.'!$E$15*'[2]Simulateur Calculatrice Pos.'!$E$24))/'[2]Simulateur Calculatrice Pos.'!$E$21),0)</f>
        <v>28</v>
      </c>
      <c r="J295" s="47">
        <f>IFERROR(IF(D295=5,((Positions[[#This Row],[Capital]]-F291)-K295),0),)</f>
        <v>325.30502888570845</v>
      </c>
      <c r="K295" s="48">
        <f>IFERROR(IF(D295=5,IF($B$6="Aucun retrait",0,IF($B$6=75%,(Positions[[#This Row],[Capital]]-F291)*75%)),0),)</f>
        <v>975.91508665712536</v>
      </c>
    </row>
    <row r="296" spans="4:11" ht="15.75" hidden="1" x14ac:dyDescent="0.25">
      <c r="D296" s="32">
        <f>WEEKDAY(Positions[[#This Row],[Jous / Séances de trading]],2)</f>
        <v>1</v>
      </c>
      <c r="E296" s="49">
        <f t="shared" si="8"/>
        <v>44753</v>
      </c>
      <c r="F296" s="50">
        <f t="shared" si="9"/>
        <v>16452.381712899361</v>
      </c>
      <c r="G296" s="44">
        <f>'[2]Simulateur Calculatrice Pos.'!$E$35</f>
        <v>2</v>
      </c>
      <c r="H296" s="45">
        <f>Positions[[#This Row],[Capital]]*Positions[[#This Row],[Evolution du capital par jour en %]]%</f>
        <v>329.04763425798723</v>
      </c>
      <c r="I296" s="46">
        <f>ROUND((((Positions[[#This Row],[Capital]]*Positions[[#This Row],[Evolution du capital par jour en %]]%)/('[2]Simulateur Calculatrice Pos.'!$E$15*'[2]Simulateur Calculatrice Pos.'!$E$24))/'[2]Simulateur Calculatrice Pos.'!$E$21),0)</f>
        <v>27</v>
      </c>
      <c r="J296" s="47">
        <f>IFERROR(IF(D296=5,((Positions[[#This Row],[Capital]]-F292)-K296),0),)</f>
        <v>0</v>
      </c>
      <c r="K296" s="48">
        <f>IFERROR(IF(D296=5,IF($B$6="Aucun retrait",0,IF($B$6=75%,(Positions[[#This Row],[Capital]]-F292)*75%)),0),)</f>
        <v>0</v>
      </c>
    </row>
    <row r="297" spans="4:11" ht="15.75" hidden="1" x14ac:dyDescent="0.25">
      <c r="D297" s="32">
        <f>WEEKDAY(Positions[[#This Row],[Jous / Séances de trading]],2)</f>
        <v>2</v>
      </c>
      <c r="E297" s="49">
        <f t="shared" si="8"/>
        <v>44754</v>
      </c>
      <c r="F297" s="50">
        <f t="shared" si="9"/>
        <v>16781.429347157347</v>
      </c>
      <c r="G297" s="44">
        <f>'[2]Simulateur Calculatrice Pos.'!$E$35</f>
        <v>2</v>
      </c>
      <c r="H297" s="45">
        <f>Positions[[#This Row],[Capital]]*Positions[[#This Row],[Evolution du capital par jour en %]]%</f>
        <v>335.62858694314696</v>
      </c>
      <c r="I297" s="46">
        <f>ROUND((((Positions[[#This Row],[Capital]]*Positions[[#This Row],[Evolution du capital par jour en %]]%)/('[2]Simulateur Calculatrice Pos.'!$E$15*'[2]Simulateur Calculatrice Pos.'!$E$24))/'[2]Simulateur Calculatrice Pos.'!$E$21),0)</f>
        <v>28</v>
      </c>
      <c r="J297" s="47">
        <f>IFERROR(IF(D297=5,((Positions[[#This Row],[Capital]]-F293)-K297),0),)</f>
        <v>0</v>
      </c>
      <c r="K297" s="48">
        <f>IFERROR(IF(D297=5,IF($B$6="Aucun retrait",0,IF($B$6=75%,(Positions[[#This Row],[Capital]]-F293)*75%)),0),)</f>
        <v>0</v>
      </c>
    </row>
    <row r="298" spans="4:11" ht="15.75" hidden="1" x14ac:dyDescent="0.25">
      <c r="D298" s="32">
        <f>WEEKDAY(Positions[[#This Row],[Jous / Séances de trading]],2)</f>
        <v>3</v>
      </c>
      <c r="E298" s="49">
        <f t="shared" si="8"/>
        <v>44755</v>
      </c>
      <c r="F298" s="50">
        <f t="shared" si="9"/>
        <v>17117.057934100496</v>
      </c>
      <c r="G298" s="44">
        <f>'[2]Simulateur Calculatrice Pos.'!$E$35</f>
        <v>2</v>
      </c>
      <c r="H298" s="45">
        <f>Positions[[#This Row],[Capital]]*Positions[[#This Row],[Evolution du capital par jour en %]]%</f>
        <v>342.3411586820099</v>
      </c>
      <c r="I298" s="46">
        <f>ROUND((((Positions[[#This Row],[Capital]]*Positions[[#This Row],[Evolution du capital par jour en %]]%)/('[2]Simulateur Calculatrice Pos.'!$E$15*'[2]Simulateur Calculatrice Pos.'!$E$24))/'[2]Simulateur Calculatrice Pos.'!$E$21),0)</f>
        <v>29</v>
      </c>
      <c r="J298" s="47">
        <f>IFERROR(IF(D298=5,((Positions[[#This Row],[Capital]]-F294)-K298),0),)</f>
        <v>0</v>
      </c>
      <c r="K298" s="48">
        <f>IFERROR(IF(D298=5,IF($B$6="Aucun retrait",0,IF($B$6=75%,(Positions[[#This Row],[Capital]]-F294)*75%)),0),)</f>
        <v>0</v>
      </c>
    </row>
    <row r="299" spans="4:11" ht="15.75" hidden="1" x14ac:dyDescent="0.25">
      <c r="D299" s="32">
        <f>WEEKDAY(Positions[[#This Row],[Jous / Séances de trading]],2)</f>
        <v>4</v>
      </c>
      <c r="E299" s="49">
        <f t="shared" si="8"/>
        <v>44756</v>
      </c>
      <c r="F299" s="50">
        <f t="shared" si="9"/>
        <v>17459.399092782507</v>
      </c>
      <c r="G299" s="44">
        <f>'[2]Simulateur Calculatrice Pos.'!$E$35</f>
        <v>2</v>
      </c>
      <c r="H299" s="45">
        <f>Positions[[#This Row],[Capital]]*Positions[[#This Row],[Evolution du capital par jour en %]]%</f>
        <v>349.18798185565015</v>
      </c>
      <c r="I299" s="46">
        <f>ROUND((((Positions[[#This Row],[Capital]]*Positions[[#This Row],[Evolution du capital par jour en %]]%)/('[2]Simulateur Calculatrice Pos.'!$E$15*'[2]Simulateur Calculatrice Pos.'!$E$24))/'[2]Simulateur Calculatrice Pos.'!$E$21),0)</f>
        <v>29</v>
      </c>
      <c r="J299" s="47">
        <f>IFERROR(IF(D299=5,((Positions[[#This Row],[Capital]]-F295)-K299),0),)</f>
        <v>0</v>
      </c>
      <c r="K299" s="48">
        <f>IFERROR(IF(D299=5,IF($B$6="Aucun retrait",0,IF($B$6=75%,(Positions[[#This Row],[Capital]]-F295)*75%)),0),)</f>
        <v>0</v>
      </c>
    </row>
    <row r="300" spans="4:11" ht="15.75" hidden="1" x14ac:dyDescent="0.25">
      <c r="D300" s="32">
        <f>WEEKDAY(Positions[[#This Row],[Jous / Séances de trading]],2)</f>
        <v>5</v>
      </c>
      <c r="E300" s="49">
        <f t="shared" si="8"/>
        <v>44757</v>
      </c>
      <c r="F300" s="50">
        <f t="shared" si="9"/>
        <v>17808.587074638159</v>
      </c>
      <c r="G300" s="44">
        <f>'[2]Simulateur Calculatrice Pos.'!$E$35</f>
        <v>2</v>
      </c>
      <c r="H300" s="45">
        <f>Positions[[#This Row],[Capital]]*Positions[[#This Row],[Evolution du capital par jour en %]]%</f>
        <v>356.1717414927632</v>
      </c>
      <c r="I300" s="46">
        <f>ROUND((((Positions[[#This Row],[Capital]]*Positions[[#This Row],[Evolution du capital par jour en %]]%)/('[2]Simulateur Calculatrice Pos.'!$E$15*'[2]Simulateur Calculatrice Pos.'!$E$24))/'[2]Simulateur Calculatrice Pos.'!$E$21),0)</f>
        <v>30</v>
      </c>
      <c r="J300" s="47">
        <f>IFERROR(IF(D300=5,((Positions[[#This Row],[Capital]]-F296)-K300),0),)</f>
        <v>339.05134043469934</v>
      </c>
      <c r="K300" s="48">
        <f>IFERROR(IF(D300=5,IF($B$6="Aucun retrait",0,IF($B$6=75%,(Positions[[#This Row],[Capital]]-F296)*75%)),0),)</f>
        <v>1017.154021304098</v>
      </c>
    </row>
    <row r="301" spans="4:11" ht="15.75" hidden="1" x14ac:dyDescent="0.25">
      <c r="D301" s="32">
        <f>WEEKDAY(Positions[[#This Row],[Jous / Séances de trading]],2)</f>
        <v>1</v>
      </c>
      <c r="E301" s="49">
        <f t="shared" si="8"/>
        <v>44760</v>
      </c>
      <c r="F301" s="50">
        <f t="shared" si="9"/>
        <v>17147.604794826824</v>
      </c>
      <c r="G301" s="44">
        <f>'[2]Simulateur Calculatrice Pos.'!$E$35</f>
        <v>2</v>
      </c>
      <c r="H301" s="45">
        <f>Positions[[#This Row],[Capital]]*Positions[[#This Row],[Evolution du capital par jour en %]]%</f>
        <v>342.95209589653649</v>
      </c>
      <c r="I301" s="46">
        <f>ROUND((((Positions[[#This Row],[Capital]]*Positions[[#This Row],[Evolution du capital par jour en %]]%)/('[2]Simulateur Calculatrice Pos.'!$E$15*'[2]Simulateur Calculatrice Pos.'!$E$24))/'[2]Simulateur Calculatrice Pos.'!$E$21),0)</f>
        <v>29</v>
      </c>
      <c r="J301" s="47">
        <f>IFERROR(IF(D301=5,((Positions[[#This Row],[Capital]]-F297)-K301),0),)</f>
        <v>0</v>
      </c>
      <c r="K301" s="48">
        <f>IFERROR(IF(D301=5,IF($B$6="Aucun retrait",0,IF($B$6=75%,(Positions[[#This Row],[Capital]]-F297)*75%)),0),)</f>
        <v>0</v>
      </c>
    </row>
    <row r="302" spans="4:11" ht="15.75" hidden="1" x14ac:dyDescent="0.25">
      <c r="D302" s="32">
        <f>WEEKDAY(Positions[[#This Row],[Jous / Séances de trading]],2)</f>
        <v>2</v>
      </c>
      <c r="E302" s="49">
        <f t="shared" si="8"/>
        <v>44761</v>
      </c>
      <c r="F302" s="50">
        <f t="shared" si="9"/>
        <v>17490.556890723361</v>
      </c>
      <c r="G302" s="44">
        <f>'[2]Simulateur Calculatrice Pos.'!$E$35</f>
        <v>2</v>
      </c>
      <c r="H302" s="45">
        <f>Positions[[#This Row],[Capital]]*Positions[[#This Row],[Evolution du capital par jour en %]]%</f>
        <v>349.8111378144672</v>
      </c>
      <c r="I302" s="46">
        <f>ROUND((((Positions[[#This Row],[Capital]]*Positions[[#This Row],[Evolution du capital par jour en %]]%)/('[2]Simulateur Calculatrice Pos.'!$E$15*'[2]Simulateur Calculatrice Pos.'!$E$24))/'[2]Simulateur Calculatrice Pos.'!$E$21),0)</f>
        <v>29</v>
      </c>
      <c r="J302" s="47">
        <f>IFERROR(IF(D302=5,((Positions[[#This Row],[Capital]]-F298)-K302),0),)</f>
        <v>0</v>
      </c>
      <c r="K302" s="48">
        <f>IFERROR(IF(D302=5,IF($B$6="Aucun retrait",0,IF($B$6=75%,(Positions[[#This Row],[Capital]]-F298)*75%)),0),)</f>
        <v>0</v>
      </c>
    </row>
    <row r="303" spans="4:11" ht="15.75" hidden="1" x14ac:dyDescent="0.25">
      <c r="D303" s="32">
        <f>WEEKDAY(Positions[[#This Row],[Jous / Séances de trading]],2)</f>
        <v>3</v>
      </c>
      <c r="E303" s="49">
        <f t="shared" si="8"/>
        <v>44762</v>
      </c>
      <c r="F303" s="50">
        <f t="shared" si="9"/>
        <v>17840.368028537829</v>
      </c>
      <c r="G303" s="44">
        <f>'[2]Simulateur Calculatrice Pos.'!$E$35</f>
        <v>2</v>
      </c>
      <c r="H303" s="45">
        <f>Positions[[#This Row],[Capital]]*Positions[[#This Row],[Evolution du capital par jour en %]]%</f>
        <v>356.8073605707566</v>
      </c>
      <c r="I303" s="46">
        <f>ROUND((((Positions[[#This Row],[Capital]]*Positions[[#This Row],[Evolution du capital par jour en %]]%)/('[2]Simulateur Calculatrice Pos.'!$E$15*'[2]Simulateur Calculatrice Pos.'!$E$24))/'[2]Simulateur Calculatrice Pos.'!$E$21),0)</f>
        <v>30</v>
      </c>
      <c r="J303" s="47">
        <f>IFERROR(IF(D303=5,((Positions[[#This Row],[Capital]]-F299)-K303),0),)</f>
        <v>0</v>
      </c>
      <c r="K303" s="48">
        <f>IFERROR(IF(D303=5,IF($B$6="Aucun retrait",0,IF($B$6=75%,(Positions[[#This Row],[Capital]]-F299)*75%)),0),)</f>
        <v>0</v>
      </c>
    </row>
    <row r="304" spans="4:11" ht="15.75" hidden="1" x14ac:dyDescent="0.25">
      <c r="D304" s="32">
        <f>WEEKDAY(Positions[[#This Row],[Jous / Séances de trading]],2)</f>
        <v>4</v>
      </c>
      <c r="E304" s="49">
        <f t="shared" si="8"/>
        <v>44763</v>
      </c>
      <c r="F304" s="50">
        <f t="shared" si="9"/>
        <v>18197.175389108586</v>
      </c>
      <c r="G304" s="44">
        <f>'[2]Simulateur Calculatrice Pos.'!$E$35</f>
        <v>2</v>
      </c>
      <c r="H304" s="45">
        <f>Positions[[#This Row],[Capital]]*Positions[[#This Row],[Evolution du capital par jour en %]]%</f>
        <v>363.94350778217171</v>
      </c>
      <c r="I304" s="46">
        <f>ROUND((((Positions[[#This Row],[Capital]]*Positions[[#This Row],[Evolution du capital par jour en %]]%)/('[2]Simulateur Calculatrice Pos.'!$E$15*'[2]Simulateur Calculatrice Pos.'!$E$24))/'[2]Simulateur Calculatrice Pos.'!$E$21),0)</f>
        <v>30</v>
      </c>
      <c r="J304" s="47">
        <f>IFERROR(IF(D304=5,((Positions[[#This Row],[Capital]]-F300)-K304),0),)</f>
        <v>0</v>
      </c>
      <c r="K304" s="48">
        <f>IFERROR(IF(D304=5,IF($B$6="Aucun retrait",0,IF($B$6=75%,(Positions[[#This Row],[Capital]]-F300)*75%)),0),)</f>
        <v>0</v>
      </c>
    </row>
    <row r="305" spans="4:11" ht="15.75" hidden="1" x14ac:dyDescent="0.25">
      <c r="D305" s="32">
        <f>WEEKDAY(Positions[[#This Row],[Jous / Séances de trading]],2)</f>
        <v>5</v>
      </c>
      <c r="E305" s="49">
        <f t="shared" si="8"/>
        <v>44764</v>
      </c>
      <c r="F305" s="50">
        <f t="shared" si="9"/>
        <v>18561.118896890759</v>
      </c>
      <c r="G305" s="44">
        <f>'[2]Simulateur Calculatrice Pos.'!$E$35</f>
        <v>2</v>
      </c>
      <c r="H305" s="45">
        <f>Positions[[#This Row],[Capital]]*Positions[[#This Row],[Evolution du capital par jour en %]]%</f>
        <v>371.22237793781517</v>
      </c>
      <c r="I305" s="46">
        <f>ROUND((((Positions[[#This Row],[Capital]]*Positions[[#This Row],[Evolution du capital par jour en %]]%)/('[2]Simulateur Calculatrice Pos.'!$E$15*'[2]Simulateur Calculatrice Pos.'!$E$24))/'[2]Simulateur Calculatrice Pos.'!$E$21),0)</f>
        <v>31</v>
      </c>
      <c r="J305" s="47">
        <f>IFERROR(IF(D305=5,((Positions[[#This Row],[Capital]]-F301)-K305),0),)</f>
        <v>353.37852551598371</v>
      </c>
      <c r="K305" s="48">
        <f>IFERROR(IF(D305=5,IF($B$6="Aucun retrait",0,IF($B$6=75%,(Positions[[#This Row],[Capital]]-F301)*75%)),0),)</f>
        <v>1060.1355765479511</v>
      </c>
    </row>
    <row r="306" spans="4:11" ht="15.75" hidden="1" x14ac:dyDescent="0.25">
      <c r="D306" s="32">
        <f>WEEKDAY(Positions[[#This Row],[Jous / Séances de trading]],2)</f>
        <v>1</v>
      </c>
      <c r="E306" s="49">
        <f t="shared" si="8"/>
        <v>44767</v>
      </c>
      <c r="F306" s="50">
        <f t="shared" si="9"/>
        <v>17872.205698280624</v>
      </c>
      <c r="G306" s="44">
        <f>'[2]Simulateur Calculatrice Pos.'!$E$35</f>
        <v>2</v>
      </c>
      <c r="H306" s="45">
        <f>Positions[[#This Row],[Capital]]*Positions[[#This Row],[Evolution du capital par jour en %]]%</f>
        <v>357.44411396561247</v>
      </c>
      <c r="I306" s="46">
        <f>ROUND((((Positions[[#This Row],[Capital]]*Positions[[#This Row],[Evolution du capital par jour en %]]%)/('[2]Simulateur Calculatrice Pos.'!$E$15*'[2]Simulateur Calculatrice Pos.'!$E$24))/'[2]Simulateur Calculatrice Pos.'!$E$21),0)</f>
        <v>30</v>
      </c>
      <c r="J306" s="47">
        <f>IFERROR(IF(D306=5,((Positions[[#This Row],[Capital]]-F302)-K306),0),)</f>
        <v>0</v>
      </c>
      <c r="K306" s="48">
        <f>IFERROR(IF(D306=5,IF($B$6="Aucun retrait",0,IF($B$6=75%,(Positions[[#This Row],[Capital]]-F302)*75%)),0),)</f>
        <v>0</v>
      </c>
    </row>
    <row r="307" spans="4:11" ht="15.75" hidden="1" x14ac:dyDescent="0.25">
      <c r="D307" s="32">
        <f>WEEKDAY(Positions[[#This Row],[Jous / Séances de trading]],2)</f>
        <v>2</v>
      </c>
      <c r="E307" s="49">
        <f t="shared" si="8"/>
        <v>44768</v>
      </c>
      <c r="F307" s="50">
        <f t="shared" si="9"/>
        <v>18229.649812246236</v>
      </c>
      <c r="G307" s="44">
        <f>'[2]Simulateur Calculatrice Pos.'!$E$35</f>
        <v>2</v>
      </c>
      <c r="H307" s="45">
        <f>Positions[[#This Row],[Capital]]*Positions[[#This Row],[Evolution du capital par jour en %]]%</f>
        <v>364.59299624492473</v>
      </c>
      <c r="I307" s="46">
        <f>ROUND((((Positions[[#This Row],[Capital]]*Positions[[#This Row],[Evolution du capital par jour en %]]%)/('[2]Simulateur Calculatrice Pos.'!$E$15*'[2]Simulateur Calculatrice Pos.'!$E$24))/'[2]Simulateur Calculatrice Pos.'!$E$21),0)</f>
        <v>30</v>
      </c>
      <c r="J307" s="47">
        <f>IFERROR(IF(D307=5,((Positions[[#This Row],[Capital]]-F303)-K307),0),)</f>
        <v>0</v>
      </c>
      <c r="K307" s="48">
        <f>IFERROR(IF(D307=5,IF($B$6="Aucun retrait",0,IF($B$6=75%,(Positions[[#This Row],[Capital]]-F303)*75%)),0),)</f>
        <v>0</v>
      </c>
    </row>
    <row r="308" spans="4:11" ht="15.75" hidden="1" x14ac:dyDescent="0.25">
      <c r="D308" s="32">
        <f>WEEKDAY(Positions[[#This Row],[Jous / Séances de trading]],2)</f>
        <v>3</v>
      </c>
      <c r="E308" s="49">
        <f t="shared" si="8"/>
        <v>44769</v>
      </c>
      <c r="F308" s="50">
        <f t="shared" si="9"/>
        <v>18594.242808491163</v>
      </c>
      <c r="G308" s="44">
        <f>'[2]Simulateur Calculatrice Pos.'!$E$35</f>
        <v>2</v>
      </c>
      <c r="H308" s="45">
        <f>Positions[[#This Row],[Capital]]*Positions[[#This Row],[Evolution du capital par jour en %]]%</f>
        <v>371.88485616982325</v>
      </c>
      <c r="I308" s="46">
        <f>ROUND((((Positions[[#This Row],[Capital]]*Positions[[#This Row],[Evolution du capital par jour en %]]%)/('[2]Simulateur Calculatrice Pos.'!$E$15*'[2]Simulateur Calculatrice Pos.'!$E$24))/'[2]Simulateur Calculatrice Pos.'!$E$21),0)</f>
        <v>31</v>
      </c>
      <c r="J308" s="47">
        <f>IFERROR(IF(D308=5,((Positions[[#This Row],[Capital]]-F304)-K308),0),)</f>
        <v>0</v>
      </c>
      <c r="K308" s="48">
        <f>IFERROR(IF(D308=5,IF($B$6="Aucun retrait",0,IF($B$6=75%,(Positions[[#This Row],[Capital]]-F304)*75%)),0),)</f>
        <v>0</v>
      </c>
    </row>
    <row r="309" spans="4:11" ht="15.75" hidden="1" x14ac:dyDescent="0.25">
      <c r="D309" s="32">
        <f>WEEKDAY(Positions[[#This Row],[Jous / Séances de trading]],2)</f>
        <v>4</v>
      </c>
      <c r="E309" s="49">
        <f t="shared" si="8"/>
        <v>44770</v>
      </c>
      <c r="F309" s="50">
        <f t="shared" si="9"/>
        <v>18966.127664660984</v>
      </c>
      <c r="G309" s="44">
        <f>'[2]Simulateur Calculatrice Pos.'!$E$35</f>
        <v>2</v>
      </c>
      <c r="H309" s="45">
        <f>Positions[[#This Row],[Capital]]*Positions[[#This Row],[Evolution du capital par jour en %]]%</f>
        <v>379.3225532932197</v>
      </c>
      <c r="I309" s="46">
        <f>ROUND((((Positions[[#This Row],[Capital]]*Positions[[#This Row],[Evolution du capital par jour en %]]%)/('[2]Simulateur Calculatrice Pos.'!$E$15*'[2]Simulateur Calculatrice Pos.'!$E$24))/'[2]Simulateur Calculatrice Pos.'!$E$21),0)</f>
        <v>32</v>
      </c>
      <c r="J309" s="47">
        <f>IFERROR(IF(D309=5,((Positions[[#This Row],[Capital]]-F305)-K309),0),)</f>
        <v>0</v>
      </c>
      <c r="K309" s="48">
        <f>IFERROR(IF(D309=5,IF($B$6="Aucun retrait",0,IF($B$6=75%,(Positions[[#This Row],[Capital]]-F305)*75%)),0),)</f>
        <v>0</v>
      </c>
    </row>
    <row r="310" spans="4:11" ht="15.75" hidden="1" x14ac:dyDescent="0.25">
      <c r="D310" s="32">
        <f>WEEKDAY(Positions[[#This Row],[Jous / Séances de trading]],2)</f>
        <v>5</v>
      </c>
      <c r="E310" s="49">
        <f t="shared" si="8"/>
        <v>44771</v>
      </c>
      <c r="F310" s="50">
        <f t="shared" si="9"/>
        <v>19345.450217954203</v>
      </c>
      <c r="G310" s="44">
        <f>'[2]Simulateur Calculatrice Pos.'!$E$35</f>
        <v>2</v>
      </c>
      <c r="H310" s="45">
        <f>Positions[[#This Row],[Capital]]*Positions[[#This Row],[Evolution du capital par jour en %]]%</f>
        <v>386.90900435908407</v>
      </c>
      <c r="I310" s="46">
        <f>ROUND((((Positions[[#This Row],[Capital]]*Positions[[#This Row],[Evolution du capital par jour en %]]%)/('[2]Simulateur Calculatrice Pos.'!$E$15*'[2]Simulateur Calculatrice Pos.'!$E$24))/'[2]Simulateur Calculatrice Pos.'!$E$21),0)</f>
        <v>32</v>
      </c>
      <c r="J310" s="47">
        <f>IFERROR(IF(D310=5,((Positions[[#This Row],[Capital]]-F306)-K310),0),)</f>
        <v>368.31112991839473</v>
      </c>
      <c r="K310" s="48">
        <f>IFERROR(IF(D310=5,IF($B$6="Aucun retrait",0,IF($B$6=75%,(Positions[[#This Row],[Capital]]-F306)*75%)),0),)</f>
        <v>1104.9333897551842</v>
      </c>
    </row>
    <row r="311" spans="4:11" ht="15.75" hidden="1" x14ac:dyDescent="0.25">
      <c r="D311" s="32">
        <f>WEEKDAY(Positions[[#This Row],[Jous / Séances de trading]],2)</f>
        <v>1</v>
      </c>
      <c r="E311" s="49">
        <f t="shared" si="8"/>
        <v>44774</v>
      </c>
      <c r="F311" s="50">
        <f t="shared" si="9"/>
        <v>18627.425832558103</v>
      </c>
      <c r="G311" s="44">
        <f>'[2]Simulateur Calculatrice Pos.'!$E$35</f>
        <v>2</v>
      </c>
      <c r="H311" s="45">
        <f>Positions[[#This Row],[Capital]]*Positions[[#This Row],[Evolution du capital par jour en %]]%</f>
        <v>372.54851665116206</v>
      </c>
      <c r="I311" s="46">
        <f>ROUND((((Positions[[#This Row],[Capital]]*Positions[[#This Row],[Evolution du capital par jour en %]]%)/('[2]Simulateur Calculatrice Pos.'!$E$15*'[2]Simulateur Calculatrice Pos.'!$E$24))/'[2]Simulateur Calculatrice Pos.'!$E$21),0)</f>
        <v>31</v>
      </c>
      <c r="J311" s="47">
        <f>IFERROR(IF(D311=5,((Positions[[#This Row],[Capital]]-F307)-K311),0),)</f>
        <v>0</v>
      </c>
      <c r="K311" s="48">
        <f>IFERROR(IF(D311=5,IF($B$6="Aucun retrait",0,IF($B$6=75%,(Positions[[#This Row],[Capital]]-F307)*75%)),0),)</f>
        <v>0</v>
      </c>
    </row>
    <row r="312" spans="4:11" ht="15.75" hidden="1" x14ac:dyDescent="0.25">
      <c r="D312" s="32">
        <f>WEEKDAY(Positions[[#This Row],[Jous / Séances de trading]],2)</f>
        <v>2</v>
      </c>
      <c r="E312" s="49">
        <f t="shared" si="8"/>
        <v>44775</v>
      </c>
      <c r="F312" s="50">
        <f t="shared" si="9"/>
        <v>18999.974349209264</v>
      </c>
      <c r="G312" s="44">
        <f>'[2]Simulateur Calculatrice Pos.'!$E$35</f>
        <v>2</v>
      </c>
      <c r="H312" s="45">
        <f>Positions[[#This Row],[Capital]]*Positions[[#This Row],[Evolution du capital par jour en %]]%</f>
        <v>379.9994869841853</v>
      </c>
      <c r="I312" s="46">
        <f>ROUND((((Positions[[#This Row],[Capital]]*Positions[[#This Row],[Evolution du capital par jour en %]]%)/('[2]Simulateur Calculatrice Pos.'!$E$15*'[2]Simulateur Calculatrice Pos.'!$E$24))/'[2]Simulateur Calculatrice Pos.'!$E$21),0)</f>
        <v>32</v>
      </c>
      <c r="J312" s="47">
        <f>IFERROR(IF(D312=5,((Positions[[#This Row],[Capital]]-F308)-K312),0),)</f>
        <v>0</v>
      </c>
      <c r="K312" s="48">
        <f>IFERROR(IF(D312=5,IF($B$6="Aucun retrait",0,IF($B$6=75%,(Positions[[#This Row],[Capital]]-F308)*75%)),0),)</f>
        <v>0</v>
      </c>
    </row>
    <row r="313" spans="4:11" ht="15.75" hidden="1" x14ac:dyDescent="0.25">
      <c r="D313" s="32">
        <f>WEEKDAY(Positions[[#This Row],[Jous / Séances de trading]],2)</f>
        <v>3</v>
      </c>
      <c r="E313" s="49">
        <f t="shared" si="8"/>
        <v>44776</v>
      </c>
      <c r="F313" s="50">
        <f t="shared" si="9"/>
        <v>19379.973836193451</v>
      </c>
      <c r="G313" s="44">
        <f>'[2]Simulateur Calculatrice Pos.'!$E$35</f>
        <v>2</v>
      </c>
      <c r="H313" s="45">
        <f>Positions[[#This Row],[Capital]]*Positions[[#This Row],[Evolution du capital par jour en %]]%</f>
        <v>387.59947672386903</v>
      </c>
      <c r="I313" s="46">
        <f>ROUND((((Positions[[#This Row],[Capital]]*Positions[[#This Row],[Evolution du capital par jour en %]]%)/('[2]Simulateur Calculatrice Pos.'!$E$15*'[2]Simulateur Calculatrice Pos.'!$E$24))/'[2]Simulateur Calculatrice Pos.'!$E$21),0)</f>
        <v>32</v>
      </c>
      <c r="J313" s="47">
        <f>IFERROR(IF(D313=5,((Positions[[#This Row],[Capital]]-F309)-K313),0),)</f>
        <v>0</v>
      </c>
      <c r="K313" s="48">
        <f>IFERROR(IF(D313=5,IF($B$6="Aucun retrait",0,IF($B$6=75%,(Positions[[#This Row],[Capital]]-F309)*75%)),0),)</f>
        <v>0</v>
      </c>
    </row>
    <row r="314" spans="4:11" ht="15.75" hidden="1" x14ac:dyDescent="0.25">
      <c r="D314" s="32">
        <f>WEEKDAY(Positions[[#This Row],[Jous / Séances de trading]],2)</f>
        <v>4</v>
      </c>
      <c r="E314" s="49">
        <f t="shared" si="8"/>
        <v>44777</v>
      </c>
      <c r="F314" s="50">
        <f t="shared" si="9"/>
        <v>19767.57331291732</v>
      </c>
      <c r="G314" s="44">
        <f>'[2]Simulateur Calculatrice Pos.'!$E$35</f>
        <v>2</v>
      </c>
      <c r="H314" s="45">
        <f>Positions[[#This Row],[Capital]]*Positions[[#This Row],[Evolution du capital par jour en %]]%</f>
        <v>395.35146625834642</v>
      </c>
      <c r="I314" s="46">
        <f>ROUND((((Positions[[#This Row],[Capital]]*Positions[[#This Row],[Evolution du capital par jour en %]]%)/('[2]Simulateur Calculatrice Pos.'!$E$15*'[2]Simulateur Calculatrice Pos.'!$E$24))/'[2]Simulateur Calculatrice Pos.'!$E$21),0)</f>
        <v>33</v>
      </c>
      <c r="J314" s="47">
        <f>IFERROR(IF(D314=5,((Positions[[#This Row],[Capital]]-F310)-K314),0),)</f>
        <v>0</v>
      </c>
      <c r="K314" s="48">
        <f>IFERROR(IF(D314=5,IF($B$6="Aucun retrait",0,IF($B$6=75%,(Positions[[#This Row],[Capital]]-F310)*75%)),0),)</f>
        <v>0</v>
      </c>
    </row>
    <row r="315" spans="4:11" ht="15.75" hidden="1" x14ac:dyDescent="0.25">
      <c r="D315" s="32">
        <f>WEEKDAY(Positions[[#This Row],[Jous / Séances de trading]],2)</f>
        <v>5</v>
      </c>
      <c r="E315" s="49">
        <f t="shared" si="8"/>
        <v>44778</v>
      </c>
      <c r="F315" s="50">
        <f t="shared" si="9"/>
        <v>20162.924779175668</v>
      </c>
      <c r="G315" s="44">
        <f>'[2]Simulateur Calculatrice Pos.'!$E$35</f>
        <v>2</v>
      </c>
      <c r="H315" s="45">
        <f>Positions[[#This Row],[Capital]]*Positions[[#This Row],[Evolution du capital par jour en %]]%</f>
        <v>403.25849558351337</v>
      </c>
      <c r="I315" s="46">
        <f>ROUND((((Positions[[#This Row],[Capital]]*Positions[[#This Row],[Evolution du capital par jour en %]]%)/('[2]Simulateur Calculatrice Pos.'!$E$15*'[2]Simulateur Calculatrice Pos.'!$E$24))/'[2]Simulateur Calculatrice Pos.'!$E$21),0)</f>
        <v>34</v>
      </c>
      <c r="J315" s="47">
        <f>IFERROR(IF(D315=5,((Positions[[#This Row],[Capital]]-F311)-K315),0),)</f>
        <v>383.8747366543912</v>
      </c>
      <c r="K315" s="48">
        <f>IFERROR(IF(D315=5,IF($B$6="Aucun retrait",0,IF($B$6=75%,(Positions[[#This Row],[Capital]]-F311)*75%)),0),)</f>
        <v>1151.6242099631736</v>
      </c>
    </row>
    <row r="316" spans="4:11" ht="15.75" hidden="1" x14ac:dyDescent="0.25">
      <c r="D316" s="32">
        <f>WEEKDAY(Positions[[#This Row],[Jous / Séances de trading]],2)</f>
        <v>1</v>
      </c>
      <c r="E316" s="49">
        <f t="shared" si="8"/>
        <v>44781</v>
      </c>
      <c r="F316" s="50">
        <f t="shared" si="9"/>
        <v>19414.559064796005</v>
      </c>
      <c r="G316" s="44">
        <f>'[2]Simulateur Calculatrice Pos.'!$E$35</f>
        <v>2</v>
      </c>
      <c r="H316" s="45">
        <f>Positions[[#This Row],[Capital]]*Positions[[#This Row],[Evolution du capital par jour en %]]%</f>
        <v>388.29118129592013</v>
      </c>
      <c r="I316" s="46">
        <f>ROUND((((Positions[[#This Row],[Capital]]*Positions[[#This Row],[Evolution du capital par jour en %]]%)/('[2]Simulateur Calculatrice Pos.'!$E$15*'[2]Simulateur Calculatrice Pos.'!$E$24))/'[2]Simulateur Calculatrice Pos.'!$E$21),0)</f>
        <v>32</v>
      </c>
      <c r="J316" s="47">
        <f>IFERROR(IF(D316=5,((Positions[[#This Row],[Capital]]-F312)-K316),0),)</f>
        <v>0</v>
      </c>
      <c r="K316" s="48">
        <f>IFERROR(IF(D316=5,IF($B$6="Aucun retrait",0,IF($B$6=75%,(Positions[[#This Row],[Capital]]-F312)*75%)),0),)</f>
        <v>0</v>
      </c>
    </row>
    <row r="317" spans="4:11" ht="15.75" hidden="1" x14ac:dyDescent="0.25">
      <c r="D317" s="32">
        <f>WEEKDAY(Positions[[#This Row],[Jous / Séances de trading]],2)</f>
        <v>2</v>
      </c>
      <c r="E317" s="49">
        <f t="shared" si="8"/>
        <v>44782</v>
      </c>
      <c r="F317" s="50">
        <f t="shared" si="9"/>
        <v>19802.850246091926</v>
      </c>
      <c r="G317" s="44">
        <f>'[2]Simulateur Calculatrice Pos.'!$E$35</f>
        <v>2</v>
      </c>
      <c r="H317" s="45">
        <f>Positions[[#This Row],[Capital]]*Positions[[#This Row],[Evolution du capital par jour en %]]%</f>
        <v>396.05700492183854</v>
      </c>
      <c r="I317" s="46">
        <f>ROUND((((Positions[[#This Row],[Capital]]*Positions[[#This Row],[Evolution du capital par jour en %]]%)/('[2]Simulateur Calculatrice Pos.'!$E$15*'[2]Simulateur Calculatrice Pos.'!$E$24))/'[2]Simulateur Calculatrice Pos.'!$E$21),0)</f>
        <v>33</v>
      </c>
      <c r="J317" s="47">
        <f>IFERROR(IF(D317=5,((Positions[[#This Row],[Capital]]-F313)-K317),0),)</f>
        <v>0</v>
      </c>
      <c r="K317" s="48">
        <f>IFERROR(IF(D317=5,IF($B$6="Aucun retrait",0,IF($B$6=75%,(Positions[[#This Row],[Capital]]-F313)*75%)),0),)</f>
        <v>0</v>
      </c>
    </row>
    <row r="318" spans="4:11" ht="15.75" hidden="1" x14ac:dyDescent="0.25">
      <c r="D318" s="32">
        <f>WEEKDAY(Positions[[#This Row],[Jous / Séances de trading]],2)</f>
        <v>3</v>
      </c>
      <c r="E318" s="49">
        <f t="shared" si="8"/>
        <v>44783</v>
      </c>
      <c r="F318" s="50">
        <f t="shared" si="9"/>
        <v>20198.907251013763</v>
      </c>
      <c r="G318" s="44">
        <f>'[2]Simulateur Calculatrice Pos.'!$E$35</f>
        <v>2</v>
      </c>
      <c r="H318" s="45">
        <f>Positions[[#This Row],[Capital]]*Positions[[#This Row],[Evolution du capital par jour en %]]%</f>
        <v>403.97814502027529</v>
      </c>
      <c r="I318" s="46">
        <f>ROUND((((Positions[[#This Row],[Capital]]*Positions[[#This Row],[Evolution du capital par jour en %]]%)/('[2]Simulateur Calculatrice Pos.'!$E$15*'[2]Simulateur Calculatrice Pos.'!$E$24))/'[2]Simulateur Calculatrice Pos.'!$E$21),0)</f>
        <v>34</v>
      </c>
      <c r="J318" s="47">
        <f>IFERROR(IF(D318=5,((Positions[[#This Row],[Capital]]-F314)-K318),0),)</f>
        <v>0</v>
      </c>
      <c r="K318" s="48">
        <f>IFERROR(IF(D318=5,IF($B$6="Aucun retrait",0,IF($B$6=75%,(Positions[[#This Row],[Capital]]-F314)*75%)),0),)</f>
        <v>0</v>
      </c>
    </row>
    <row r="319" spans="4:11" ht="15.75" hidden="1" x14ac:dyDescent="0.25">
      <c r="D319" s="32">
        <f>WEEKDAY(Positions[[#This Row],[Jous / Séances de trading]],2)</f>
        <v>4</v>
      </c>
      <c r="E319" s="49">
        <f t="shared" si="8"/>
        <v>44784</v>
      </c>
      <c r="F319" s="50">
        <f t="shared" si="9"/>
        <v>20602.885396034038</v>
      </c>
      <c r="G319" s="44">
        <f>'[2]Simulateur Calculatrice Pos.'!$E$35</f>
        <v>2</v>
      </c>
      <c r="H319" s="45">
        <f>Positions[[#This Row],[Capital]]*Positions[[#This Row],[Evolution du capital par jour en %]]%</f>
        <v>412.0577079206808</v>
      </c>
      <c r="I319" s="46">
        <f>ROUND((((Positions[[#This Row],[Capital]]*Positions[[#This Row],[Evolution du capital par jour en %]]%)/('[2]Simulateur Calculatrice Pos.'!$E$15*'[2]Simulateur Calculatrice Pos.'!$E$24))/'[2]Simulateur Calculatrice Pos.'!$E$21),0)</f>
        <v>34</v>
      </c>
      <c r="J319" s="47">
        <f>IFERROR(IF(D319=5,((Positions[[#This Row],[Capital]]-F315)-K319),0),)</f>
        <v>0</v>
      </c>
      <c r="K319" s="48">
        <f>IFERROR(IF(D319=5,IF($B$6="Aucun retrait",0,IF($B$6=75%,(Positions[[#This Row],[Capital]]-F315)*75%)),0),)</f>
        <v>0</v>
      </c>
    </row>
    <row r="320" spans="4:11" ht="15.75" hidden="1" x14ac:dyDescent="0.25">
      <c r="D320" s="32">
        <f>WEEKDAY(Positions[[#This Row],[Jous / Séances de trading]],2)</f>
        <v>5</v>
      </c>
      <c r="E320" s="49">
        <f t="shared" si="8"/>
        <v>44785</v>
      </c>
      <c r="F320" s="50">
        <f t="shared" si="9"/>
        <v>21014.94310395472</v>
      </c>
      <c r="G320" s="44">
        <f>'[2]Simulateur Calculatrice Pos.'!$E$35</f>
        <v>2</v>
      </c>
      <c r="H320" s="45">
        <f>Positions[[#This Row],[Capital]]*Positions[[#This Row],[Evolution du capital par jour en %]]%</f>
        <v>420.29886207909442</v>
      </c>
      <c r="I320" s="46">
        <f>ROUND((((Positions[[#This Row],[Capital]]*Positions[[#This Row],[Evolution du capital par jour en %]]%)/('[2]Simulateur Calculatrice Pos.'!$E$15*'[2]Simulateur Calculatrice Pos.'!$E$24))/'[2]Simulateur Calculatrice Pos.'!$E$21),0)</f>
        <v>35</v>
      </c>
      <c r="J320" s="47">
        <f>IFERROR(IF(D320=5,((Positions[[#This Row],[Capital]]-F316)-K320),0),)</f>
        <v>400.09600978967865</v>
      </c>
      <c r="K320" s="48">
        <f>IFERROR(IF(D320=5,IF($B$6="Aucun retrait",0,IF($B$6=75%,(Positions[[#This Row],[Capital]]-F316)*75%)),0),)</f>
        <v>1200.2880293690359</v>
      </c>
    </row>
    <row r="321" spans="4:11" ht="15.75" hidden="1" x14ac:dyDescent="0.25">
      <c r="D321" s="32">
        <f>WEEKDAY(Positions[[#This Row],[Jous / Séances de trading]],2)</f>
        <v>1</v>
      </c>
      <c r="E321" s="49">
        <f t="shared" si="8"/>
        <v>44788</v>
      </c>
      <c r="F321" s="50">
        <f t="shared" si="9"/>
        <v>20234.953936664777</v>
      </c>
      <c r="G321" s="44">
        <f>'[2]Simulateur Calculatrice Pos.'!$E$35</f>
        <v>2</v>
      </c>
      <c r="H321" s="45">
        <f>Positions[[#This Row],[Capital]]*Positions[[#This Row],[Evolution du capital par jour en %]]%</f>
        <v>404.69907873329555</v>
      </c>
      <c r="I321" s="46">
        <f>ROUND((((Positions[[#This Row],[Capital]]*Positions[[#This Row],[Evolution du capital par jour en %]]%)/('[2]Simulateur Calculatrice Pos.'!$E$15*'[2]Simulateur Calculatrice Pos.'!$E$24))/'[2]Simulateur Calculatrice Pos.'!$E$21),0)</f>
        <v>34</v>
      </c>
      <c r="J321" s="47">
        <f>IFERROR(IF(D321=5,((Positions[[#This Row],[Capital]]-F317)-K321),0),)</f>
        <v>0</v>
      </c>
      <c r="K321" s="48">
        <f>IFERROR(IF(D321=5,IF($B$6="Aucun retrait",0,IF($B$6=75%,(Positions[[#This Row],[Capital]]-F317)*75%)),0),)</f>
        <v>0</v>
      </c>
    </row>
    <row r="322" spans="4:11" ht="15.75" hidden="1" x14ac:dyDescent="0.25">
      <c r="D322" s="32">
        <f>WEEKDAY(Positions[[#This Row],[Jous / Séances de trading]],2)</f>
        <v>2</v>
      </c>
      <c r="E322" s="49">
        <f t="shared" si="8"/>
        <v>44789</v>
      </c>
      <c r="F322" s="50">
        <f t="shared" si="9"/>
        <v>20639.653015398071</v>
      </c>
      <c r="G322" s="44">
        <f>'[2]Simulateur Calculatrice Pos.'!$E$35</f>
        <v>2</v>
      </c>
      <c r="H322" s="45">
        <f>Positions[[#This Row],[Capital]]*Positions[[#This Row],[Evolution du capital par jour en %]]%</f>
        <v>412.79306030796141</v>
      </c>
      <c r="I322" s="46">
        <f>ROUND((((Positions[[#This Row],[Capital]]*Positions[[#This Row],[Evolution du capital par jour en %]]%)/('[2]Simulateur Calculatrice Pos.'!$E$15*'[2]Simulateur Calculatrice Pos.'!$E$24))/'[2]Simulateur Calculatrice Pos.'!$E$21),0)</f>
        <v>34</v>
      </c>
      <c r="J322" s="47">
        <f>IFERROR(IF(D322=5,((Positions[[#This Row],[Capital]]-F318)-K322),0),)</f>
        <v>0</v>
      </c>
      <c r="K322" s="48">
        <f>IFERROR(IF(D322=5,IF($B$6="Aucun retrait",0,IF($B$6=75%,(Positions[[#This Row],[Capital]]-F318)*75%)),0),)</f>
        <v>0</v>
      </c>
    </row>
    <row r="323" spans="4:11" ht="15.75" hidden="1" x14ac:dyDescent="0.25">
      <c r="D323" s="32">
        <f>WEEKDAY(Positions[[#This Row],[Jous / Séances de trading]],2)</f>
        <v>3</v>
      </c>
      <c r="E323" s="49">
        <f t="shared" si="8"/>
        <v>44790</v>
      </c>
      <c r="F323" s="50">
        <f t="shared" si="9"/>
        <v>21052.446075706033</v>
      </c>
      <c r="G323" s="44">
        <f>'[2]Simulateur Calculatrice Pos.'!$E$35</f>
        <v>2</v>
      </c>
      <c r="H323" s="45">
        <f>Positions[[#This Row],[Capital]]*Positions[[#This Row],[Evolution du capital par jour en %]]%</f>
        <v>421.04892151412065</v>
      </c>
      <c r="I323" s="46">
        <f>ROUND((((Positions[[#This Row],[Capital]]*Positions[[#This Row],[Evolution du capital par jour en %]]%)/('[2]Simulateur Calculatrice Pos.'!$E$15*'[2]Simulateur Calculatrice Pos.'!$E$24))/'[2]Simulateur Calculatrice Pos.'!$E$21),0)</f>
        <v>35</v>
      </c>
      <c r="J323" s="47">
        <f>IFERROR(IF(D323=5,((Positions[[#This Row],[Capital]]-F319)-K323),0),)</f>
        <v>0</v>
      </c>
      <c r="K323" s="48">
        <f>IFERROR(IF(D323=5,IF($B$6="Aucun retrait",0,IF($B$6=75%,(Positions[[#This Row],[Capital]]-F319)*75%)),0),)</f>
        <v>0</v>
      </c>
    </row>
    <row r="324" spans="4:11" ht="15.75" hidden="1" x14ac:dyDescent="0.25">
      <c r="D324" s="32">
        <f>WEEKDAY(Positions[[#This Row],[Jous / Séances de trading]],2)</f>
        <v>4</v>
      </c>
      <c r="E324" s="49">
        <f t="shared" si="8"/>
        <v>44791</v>
      </c>
      <c r="F324" s="50">
        <f t="shared" si="9"/>
        <v>21473.494997220154</v>
      </c>
      <c r="G324" s="44">
        <f>'[2]Simulateur Calculatrice Pos.'!$E$35</f>
        <v>2</v>
      </c>
      <c r="H324" s="45">
        <f>Positions[[#This Row],[Capital]]*Positions[[#This Row],[Evolution du capital par jour en %]]%</f>
        <v>429.4698999444031</v>
      </c>
      <c r="I324" s="46">
        <f>ROUND((((Positions[[#This Row],[Capital]]*Positions[[#This Row],[Evolution du capital par jour en %]]%)/('[2]Simulateur Calculatrice Pos.'!$E$15*'[2]Simulateur Calculatrice Pos.'!$E$24))/'[2]Simulateur Calculatrice Pos.'!$E$21),0)</f>
        <v>36</v>
      </c>
      <c r="J324" s="47">
        <f>IFERROR(IF(D324=5,((Positions[[#This Row],[Capital]]-F320)-K324),0),)</f>
        <v>0</v>
      </c>
      <c r="K324" s="48">
        <f>IFERROR(IF(D324=5,IF($B$6="Aucun retrait",0,IF($B$6=75%,(Positions[[#This Row],[Capital]]-F320)*75%)),0),)</f>
        <v>0</v>
      </c>
    </row>
    <row r="325" spans="4:11" ht="15.75" hidden="1" x14ac:dyDescent="0.25">
      <c r="D325" s="32">
        <f>WEEKDAY(Positions[[#This Row],[Jous / Séances de trading]],2)</f>
        <v>5</v>
      </c>
      <c r="E325" s="49">
        <f t="shared" si="8"/>
        <v>44792</v>
      </c>
      <c r="F325" s="50">
        <f t="shared" si="9"/>
        <v>21902.964897164558</v>
      </c>
      <c r="G325" s="44">
        <f>'[2]Simulateur Calculatrice Pos.'!$E$35</f>
        <v>2</v>
      </c>
      <c r="H325" s="45">
        <f>Positions[[#This Row],[Capital]]*Positions[[#This Row],[Evolution du capital par jour en %]]%</f>
        <v>438.0592979432912</v>
      </c>
      <c r="I325" s="46">
        <f>ROUND((((Positions[[#This Row],[Capital]]*Positions[[#This Row],[Evolution du capital par jour en %]]%)/('[2]Simulateur Calculatrice Pos.'!$E$15*'[2]Simulateur Calculatrice Pos.'!$E$24))/'[2]Simulateur Calculatrice Pos.'!$E$21),0)</f>
        <v>37</v>
      </c>
      <c r="J325" s="47">
        <f>IFERROR(IF(D325=5,((Positions[[#This Row],[Capital]]-F321)-K325),0),)</f>
        <v>417.00274012494538</v>
      </c>
      <c r="K325" s="48">
        <f>IFERROR(IF(D325=5,IF($B$6="Aucun retrait",0,IF($B$6=75%,(Positions[[#This Row],[Capital]]-F321)*75%)),0),)</f>
        <v>1251.0082203748361</v>
      </c>
    </row>
    <row r="326" spans="4:11" ht="15.75" hidden="1" x14ac:dyDescent="0.25">
      <c r="D326" s="32">
        <f>WEEKDAY(Positions[[#This Row],[Jous / Séances de trading]],2)</f>
        <v>1</v>
      </c>
      <c r="E326" s="49">
        <f t="shared" si="8"/>
        <v>44795</v>
      </c>
      <c r="F326" s="50">
        <f t="shared" si="9"/>
        <v>21090.015974733014</v>
      </c>
      <c r="G326" s="44">
        <f>'[2]Simulateur Calculatrice Pos.'!$E$35</f>
        <v>2</v>
      </c>
      <c r="H326" s="45">
        <f>Positions[[#This Row],[Capital]]*Positions[[#This Row],[Evolution du capital par jour en %]]%</f>
        <v>421.8003194946603</v>
      </c>
      <c r="I326" s="46">
        <f>ROUND((((Positions[[#This Row],[Capital]]*Positions[[#This Row],[Evolution du capital par jour en %]]%)/('[2]Simulateur Calculatrice Pos.'!$E$15*'[2]Simulateur Calculatrice Pos.'!$E$24))/'[2]Simulateur Calculatrice Pos.'!$E$21),0)</f>
        <v>35</v>
      </c>
      <c r="J326" s="47">
        <f>IFERROR(IF(D326=5,((Positions[[#This Row],[Capital]]-F322)-K326),0),)</f>
        <v>0</v>
      </c>
      <c r="K326" s="48">
        <f>IFERROR(IF(D326=5,IF($B$6="Aucun retrait",0,IF($B$6=75%,(Positions[[#This Row],[Capital]]-F322)*75%)),0),)</f>
        <v>0</v>
      </c>
    </row>
    <row r="327" spans="4:11" ht="15.75" hidden="1" x14ac:dyDescent="0.25">
      <c r="D327" s="32">
        <f>WEEKDAY(Positions[[#This Row],[Jous / Séances de trading]],2)</f>
        <v>2</v>
      </c>
      <c r="E327" s="49">
        <f t="shared" si="8"/>
        <v>44796</v>
      </c>
      <c r="F327" s="50">
        <f t="shared" si="9"/>
        <v>21511.816294227676</v>
      </c>
      <c r="G327" s="44">
        <f>'[2]Simulateur Calculatrice Pos.'!$E$35</f>
        <v>2</v>
      </c>
      <c r="H327" s="45">
        <f>Positions[[#This Row],[Capital]]*Positions[[#This Row],[Evolution du capital par jour en %]]%</f>
        <v>430.23632588455354</v>
      </c>
      <c r="I327" s="46">
        <f>ROUND((((Positions[[#This Row],[Capital]]*Positions[[#This Row],[Evolution du capital par jour en %]]%)/('[2]Simulateur Calculatrice Pos.'!$E$15*'[2]Simulateur Calculatrice Pos.'!$E$24))/'[2]Simulateur Calculatrice Pos.'!$E$21),0)</f>
        <v>36</v>
      </c>
      <c r="J327" s="47">
        <f>IFERROR(IF(D327=5,((Positions[[#This Row],[Capital]]-F323)-K327),0),)</f>
        <v>0</v>
      </c>
      <c r="K327" s="48">
        <f>IFERROR(IF(D327=5,IF($B$6="Aucun retrait",0,IF($B$6=75%,(Positions[[#This Row],[Capital]]-F323)*75%)),0),)</f>
        <v>0</v>
      </c>
    </row>
    <row r="328" spans="4:11" ht="15.75" hidden="1" x14ac:dyDescent="0.25">
      <c r="D328" s="32">
        <f>WEEKDAY(Positions[[#This Row],[Jous / Séances de trading]],2)</f>
        <v>3</v>
      </c>
      <c r="E328" s="49">
        <f t="shared" si="8"/>
        <v>44797</v>
      </c>
      <c r="F328" s="50">
        <f t="shared" si="9"/>
        <v>21942.05262011223</v>
      </c>
      <c r="G328" s="44">
        <f>'[2]Simulateur Calculatrice Pos.'!$E$35</f>
        <v>2</v>
      </c>
      <c r="H328" s="45">
        <f>Positions[[#This Row],[Capital]]*Positions[[#This Row],[Evolution du capital par jour en %]]%</f>
        <v>438.8410524022446</v>
      </c>
      <c r="I328" s="46">
        <f>ROUND((((Positions[[#This Row],[Capital]]*Positions[[#This Row],[Evolution du capital par jour en %]]%)/('[2]Simulateur Calculatrice Pos.'!$E$15*'[2]Simulateur Calculatrice Pos.'!$E$24))/'[2]Simulateur Calculatrice Pos.'!$E$21),0)</f>
        <v>37</v>
      </c>
      <c r="J328" s="47">
        <f>IFERROR(IF(D328=5,((Positions[[#This Row],[Capital]]-F324)-K328),0),)</f>
        <v>0</v>
      </c>
      <c r="K328" s="48">
        <f>IFERROR(IF(D328=5,IF($B$6="Aucun retrait",0,IF($B$6=75%,(Positions[[#This Row],[Capital]]-F324)*75%)),0),)</f>
        <v>0</v>
      </c>
    </row>
    <row r="329" spans="4:11" ht="15.75" hidden="1" x14ac:dyDescent="0.25">
      <c r="D329" s="32">
        <f>WEEKDAY(Positions[[#This Row],[Jous / Séances de trading]],2)</f>
        <v>4</v>
      </c>
      <c r="E329" s="49">
        <f t="shared" ref="E329:E392" si="10">WORKDAY(E328,1)</f>
        <v>44798</v>
      </c>
      <c r="F329" s="50">
        <f t="shared" ref="F329:F392" si="11">IF(D329=1,(F328+H328)-K328,F328+H328)</f>
        <v>22380.893672514474</v>
      </c>
      <c r="G329" s="44">
        <f>'[2]Simulateur Calculatrice Pos.'!$E$35</f>
        <v>2</v>
      </c>
      <c r="H329" s="45">
        <f>Positions[[#This Row],[Capital]]*Positions[[#This Row],[Evolution du capital par jour en %]]%</f>
        <v>447.61787345028949</v>
      </c>
      <c r="I329" s="46">
        <f>ROUND((((Positions[[#This Row],[Capital]]*Positions[[#This Row],[Evolution du capital par jour en %]]%)/('[2]Simulateur Calculatrice Pos.'!$E$15*'[2]Simulateur Calculatrice Pos.'!$E$24))/'[2]Simulateur Calculatrice Pos.'!$E$21),0)</f>
        <v>37</v>
      </c>
      <c r="J329" s="47">
        <f>IFERROR(IF(D329=5,((Positions[[#This Row],[Capital]]-F325)-K329),0),)</f>
        <v>0</v>
      </c>
      <c r="K329" s="48">
        <f>IFERROR(IF(D329=5,IF($B$6="Aucun retrait",0,IF($B$6=75%,(Positions[[#This Row],[Capital]]-F325)*75%)),0),)</f>
        <v>0</v>
      </c>
    </row>
    <row r="330" spans="4:11" ht="15.75" hidden="1" x14ac:dyDescent="0.25">
      <c r="D330" s="32">
        <f>WEEKDAY(Positions[[#This Row],[Jous / Séances de trading]],2)</f>
        <v>5</v>
      </c>
      <c r="E330" s="49">
        <f t="shared" si="10"/>
        <v>44799</v>
      </c>
      <c r="F330" s="50">
        <f t="shared" si="11"/>
        <v>22828.511545964764</v>
      </c>
      <c r="G330" s="44">
        <f>'[2]Simulateur Calculatrice Pos.'!$E$35</f>
        <v>2</v>
      </c>
      <c r="H330" s="45">
        <f>Positions[[#This Row],[Capital]]*Positions[[#This Row],[Evolution du capital par jour en %]]%</f>
        <v>456.57023091929528</v>
      </c>
      <c r="I330" s="46">
        <f>ROUND((((Positions[[#This Row],[Capital]]*Positions[[#This Row],[Evolution du capital par jour en %]]%)/('[2]Simulateur Calculatrice Pos.'!$E$15*'[2]Simulateur Calculatrice Pos.'!$E$24))/'[2]Simulateur Calculatrice Pos.'!$E$21),0)</f>
        <v>38</v>
      </c>
      <c r="J330" s="47">
        <f>IFERROR(IF(D330=5,((Positions[[#This Row],[Capital]]-F326)-K330),0),)</f>
        <v>434.62389280793741</v>
      </c>
      <c r="K330" s="48">
        <f>IFERROR(IF(D330=5,IF($B$6="Aucun retrait",0,IF($B$6=75%,(Positions[[#This Row],[Capital]]-F326)*75%)),0),)</f>
        <v>1303.8716784238122</v>
      </c>
    </row>
    <row r="331" spans="4:11" ht="15.75" hidden="1" x14ac:dyDescent="0.25">
      <c r="D331" s="32">
        <f>WEEKDAY(Positions[[#This Row],[Jous / Séances de trading]],2)</f>
        <v>1</v>
      </c>
      <c r="E331" s="49">
        <f t="shared" si="10"/>
        <v>44802</v>
      </c>
      <c r="F331" s="50">
        <f t="shared" si="11"/>
        <v>21981.210098460248</v>
      </c>
      <c r="G331" s="44">
        <f>'[2]Simulateur Calculatrice Pos.'!$E$35</f>
        <v>2</v>
      </c>
      <c r="H331" s="45">
        <f>Positions[[#This Row],[Capital]]*Positions[[#This Row],[Evolution du capital par jour en %]]%</f>
        <v>439.62420196920493</v>
      </c>
      <c r="I331" s="46">
        <f>ROUND((((Positions[[#This Row],[Capital]]*Positions[[#This Row],[Evolution du capital par jour en %]]%)/('[2]Simulateur Calculatrice Pos.'!$E$15*'[2]Simulateur Calculatrice Pos.'!$E$24))/'[2]Simulateur Calculatrice Pos.'!$E$21),0)</f>
        <v>37</v>
      </c>
      <c r="J331" s="47">
        <f>IFERROR(IF(D331=5,((Positions[[#This Row],[Capital]]-F327)-K331),0),)</f>
        <v>0</v>
      </c>
      <c r="K331" s="48">
        <f>IFERROR(IF(D331=5,IF($B$6="Aucun retrait",0,IF($B$6=75%,(Positions[[#This Row],[Capital]]-F327)*75%)),0),)</f>
        <v>0</v>
      </c>
    </row>
    <row r="332" spans="4:11" ht="15.75" hidden="1" x14ac:dyDescent="0.25">
      <c r="D332" s="32">
        <f>WEEKDAY(Positions[[#This Row],[Jous / Séances de trading]],2)</f>
        <v>2</v>
      </c>
      <c r="E332" s="49">
        <f t="shared" si="10"/>
        <v>44803</v>
      </c>
      <c r="F332" s="50">
        <f t="shared" si="11"/>
        <v>22420.834300429451</v>
      </c>
      <c r="G332" s="44">
        <f>'[2]Simulateur Calculatrice Pos.'!$E$35</f>
        <v>2</v>
      </c>
      <c r="H332" s="45">
        <f>Positions[[#This Row],[Capital]]*Positions[[#This Row],[Evolution du capital par jour en %]]%</f>
        <v>448.41668600858901</v>
      </c>
      <c r="I332" s="46">
        <f>ROUND((((Positions[[#This Row],[Capital]]*Positions[[#This Row],[Evolution du capital par jour en %]]%)/('[2]Simulateur Calculatrice Pos.'!$E$15*'[2]Simulateur Calculatrice Pos.'!$E$24))/'[2]Simulateur Calculatrice Pos.'!$E$21),0)</f>
        <v>37</v>
      </c>
      <c r="J332" s="47">
        <f>IFERROR(IF(D332=5,((Positions[[#This Row],[Capital]]-F328)-K332),0),)</f>
        <v>0</v>
      </c>
      <c r="K332" s="48">
        <f>IFERROR(IF(D332=5,IF($B$6="Aucun retrait",0,IF($B$6=75%,(Positions[[#This Row],[Capital]]-F328)*75%)),0),)</f>
        <v>0</v>
      </c>
    </row>
    <row r="333" spans="4:11" ht="15.75" hidden="1" x14ac:dyDescent="0.25">
      <c r="D333" s="32">
        <f>WEEKDAY(Positions[[#This Row],[Jous / Séances de trading]],2)</f>
        <v>3</v>
      </c>
      <c r="E333" s="49">
        <f t="shared" si="10"/>
        <v>44804</v>
      </c>
      <c r="F333" s="50">
        <f t="shared" si="11"/>
        <v>22869.250986438041</v>
      </c>
      <c r="G333" s="44">
        <f>'[2]Simulateur Calculatrice Pos.'!$E$35</f>
        <v>2</v>
      </c>
      <c r="H333" s="45">
        <f>Positions[[#This Row],[Capital]]*Positions[[#This Row],[Evolution du capital par jour en %]]%</f>
        <v>457.38501972876082</v>
      </c>
      <c r="I333" s="46">
        <f>ROUND((((Positions[[#This Row],[Capital]]*Positions[[#This Row],[Evolution du capital par jour en %]]%)/('[2]Simulateur Calculatrice Pos.'!$E$15*'[2]Simulateur Calculatrice Pos.'!$E$24))/'[2]Simulateur Calculatrice Pos.'!$E$21),0)</f>
        <v>38</v>
      </c>
      <c r="J333" s="47">
        <f>IFERROR(IF(D333=5,((Positions[[#This Row],[Capital]]-F329)-K333),0),)</f>
        <v>0</v>
      </c>
      <c r="K333" s="48">
        <f>IFERROR(IF(D333=5,IF($B$6="Aucun retrait",0,IF($B$6=75%,(Positions[[#This Row],[Capital]]-F329)*75%)),0),)</f>
        <v>0</v>
      </c>
    </row>
    <row r="334" spans="4:11" ht="15.75" hidden="1" x14ac:dyDescent="0.25">
      <c r="D334" s="32">
        <f>WEEKDAY(Positions[[#This Row],[Jous / Séances de trading]],2)</f>
        <v>4</v>
      </c>
      <c r="E334" s="49">
        <f t="shared" si="10"/>
        <v>44805</v>
      </c>
      <c r="F334" s="50">
        <f t="shared" si="11"/>
        <v>23326.636006166802</v>
      </c>
      <c r="G334" s="44">
        <f>'[2]Simulateur Calculatrice Pos.'!$E$35</f>
        <v>2</v>
      </c>
      <c r="H334" s="45">
        <f>Positions[[#This Row],[Capital]]*Positions[[#This Row],[Evolution du capital par jour en %]]%</f>
        <v>466.53272012333605</v>
      </c>
      <c r="I334" s="46">
        <f>ROUND((((Positions[[#This Row],[Capital]]*Positions[[#This Row],[Evolution du capital par jour en %]]%)/('[2]Simulateur Calculatrice Pos.'!$E$15*'[2]Simulateur Calculatrice Pos.'!$E$24))/'[2]Simulateur Calculatrice Pos.'!$E$21),0)</f>
        <v>39</v>
      </c>
      <c r="J334" s="47">
        <f>IFERROR(IF(D334=5,((Positions[[#This Row],[Capital]]-F330)-K334),0),)</f>
        <v>0</v>
      </c>
      <c r="K334" s="48">
        <f>IFERROR(IF(D334=5,IF($B$6="Aucun retrait",0,IF($B$6=75%,(Positions[[#This Row],[Capital]]-F330)*75%)),0),)</f>
        <v>0</v>
      </c>
    </row>
    <row r="335" spans="4:11" ht="15.75" hidden="1" x14ac:dyDescent="0.25">
      <c r="D335" s="32">
        <f>WEEKDAY(Positions[[#This Row],[Jous / Séances de trading]],2)</f>
        <v>5</v>
      </c>
      <c r="E335" s="49">
        <f t="shared" si="10"/>
        <v>44806</v>
      </c>
      <c r="F335" s="50">
        <f t="shared" si="11"/>
        <v>23793.16872629014</v>
      </c>
      <c r="G335" s="44">
        <f>'[2]Simulateur Calculatrice Pos.'!$E$35</f>
        <v>2</v>
      </c>
      <c r="H335" s="45">
        <f>Positions[[#This Row],[Capital]]*Positions[[#This Row],[Evolution du capital par jour en %]]%</f>
        <v>475.86337452580278</v>
      </c>
      <c r="I335" s="46">
        <f>ROUND((((Positions[[#This Row],[Capital]]*Positions[[#This Row],[Evolution du capital par jour en %]]%)/('[2]Simulateur Calculatrice Pos.'!$E$15*'[2]Simulateur Calculatrice Pos.'!$E$24))/'[2]Simulateur Calculatrice Pos.'!$E$21),0)</f>
        <v>40</v>
      </c>
      <c r="J335" s="47">
        <f>IFERROR(IF(D335=5,((Positions[[#This Row],[Capital]]-F331)-K335),0),)</f>
        <v>452.98965695747302</v>
      </c>
      <c r="K335" s="48">
        <f>IFERROR(IF(D335=5,IF($B$6="Aucun retrait",0,IF($B$6=75%,(Positions[[#This Row],[Capital]]-F331)*75%)),0),)</f>
        <v>1358.968970872419</v>
      </c>
    </row>
    <row r="336" spans="4:11" ht="15.75" hidden="1" x14ac:dyDescent="0.25">
      <c r="D336" s="32">
        <f>WEEKDAY(Positions[[#This Row],[Jous / Séances de trading]],2)</f>
        <v>1</v>
      </c>
      <c r="E336" s="49">
        <f t="shared" si="10"/>
        <v>44809</v>
      </c>
      <c r="F336" s="50">
        <f t="shared" si="11"/>
        <v>22910.063129943523</v>
      </c>
      <c r="G336" s="44">
        <f>'[2]Simulateur Calculatrice Pos.'!$E$35</f>
        <v>2</v>
      </c>
      <c r="H336" s="45">
        <f>Positions[[#This Row],[Capital]]*Positions[[#This Row],[Evolution du capital par jour en %]]%</f>
        <v>458.20126259887047</v>
      </c>
      <c r="I336" s="46">
        <f>ROUND((((Positions[[#This Row],[Capital]]*Positions[[#This Row],[Evolution du capital par jour en %]]%)/('[2]Simulateur Calculatrice Pos.'!$E$15*'[2]Simulateur Calculatrice Pos.'!$E$24))/'[2]Simulateur Calculatrice Pos.'!$E$21),0)</f>
        <v>38</v>
      </c>
      <c r="J336" s="47">
        <f>IFERROR(IF(D336=5,((Positions[[#This Row],[Capital]]-F332)-K336),0),)</f>
        <v>0</v>
      </c>
      <c r="K336" s="48">
        <f>IFERROR(IF(D336=5,IF($B$6="Aucun retrait",0,IF($B$6=75%,(Positions[[#This Row],[Capital]]-F332)*75%)),0),)</f>
        <v>0</v>
      </c>
    </row>
    <row r="337" spans="4:11" ht="15.75" hidden="1" x14ac:dyDescent="0.25">
      <c r="D337" s="32">
        <f>WEEKDAY(Positions[[#This Row],[Jous / Séances de trading]],2)</f>
        <v>2</v>
      </c>
      <c r="E337" s="49">
        <f t="shared" si="10"/>
        <v>44810</v>
      </c>
      <c r="F337" s="50">
        <f t="shared" si="11"/>
        <v>23368.264392542394</v>
      </c>
      <c r="G337" s="44">
        <f>'[2]Simulateur Calculatrice Pos.'!$E$35</f>
        <v>2</v>
      </c>
      <c r="H337" s="45">
        <f>Positions[[#This Row],[Capital]]*Positions[[#This Row],[Evolution du capital par jour en %]]%</f>
        <v>467.36528785084789</v>
      </c>
      <c r="I337" s="46">
        <f>ROUND((((Positions[[#This Row],[Capital]]*Positions[[#This Row],[Evolution du capital par jour en %]]%)/('[2]Simulateur Calculatrice Pos.'!$E$15*'[2]Simulateur Calculatrice Pos.'!$E$24))/'[2]Simulateur Calculatrice Pos.'!$E$21),0)</f>
        <v>39</v>
      </c>
      <c r="J337" s="47">
        <f>IFERROR(IF(D337=5,((Positions[[#This Row],[Capital]]-F333)-K337),0),)</f>
        <v>0</v>
      </c>
      <c r="K337" s="48">
        <f>IFERROR(IF(D337=5,IF($B$6="Aucun retrait",0,IF($B$6=75%,(Positions[[#This Row],[Capital]]-F333)*75%)),0),)</f>
        <v>0</v>
      </c>
    </row>
    <row r="338" spans="4:11" ht="15.75" hidden="1" x14ac:dyDescent="0.25">
      <c r="D338" s="32">
        <f>WEEKDAY(Positions[[#This Row],[Jous / Séances de trading]],2)</f>
        <v>3</v>
      </c>
      <c r="E338" s="49">
        <f t="shared" si="10"/>
        <v>44811</v>
      </c>
      <c r="F338" s="50">
        <f t="shared" si="11"/>
        <v>23835.629680393242</v>
      </c>
      <c r="G338" s="44">
        <f>'[2]Simulateur Calculatrice Pos.'!$E$35</f>
        <v>2</v>
      </c>
      <c r="H338" s="45">
        <f>Positions[[#This Row],[Capital]]*Positions[[#This Row],[Evolution du capital par jour en %]]%</f>
        <v>476.71259360786485</v>
      </c>
      <c r="I338" s="46">
        <f>ROUND((((Positions[[#This Row],[Capital]]*Positions[[#This Row],[Evolution du capital par jour en %]]%)/('[2]Simulateur Calculatrice Pos.'!$E$15*'[2]Simulateur Calculatrice Pos.'!$E$24))/'[2]Simulateur Calculatrice Pos.'!$E$21),0)</f>
        <v>40</v>
      </c>
      <c r="J338" s="47">
        <f>IFERROR(IF(D338=5,((Positions[[#This Row],[Capital]]-F334)-K338),0),)</f>
        <v>0</v>
      </c>
      <c r="K338" s="48">
        <f>IFERROR(IF(D338=5,IF($B$6="Aucun retrait",0,IF($B$6=75%,(Positions[[#This Row],[Capital]]-F334)*75%)),0),)</f>
        <v>0</v>
      </c>
    </row>
    <row r="339" spans="4:11" ht="15.75" hidden="1" x14ac:dyDescent="0.25">
      <c r="D339" s="32">
        <f>WEEKDAY(Positions[[#This Row],[Jous / Séances de trading]],2)</f>
        <v>4</v>
      </c>
      <c r="E339" s="49">
        <f t="shared" si="10"/>
        <v>44812</v>
      </c>
      <c r="F339" s="50">
        <f t="shared" si="11"/>
        <v>24312.342274001108</v>
      </c>
      <c r="G339" s="44">
        <f>'[2]Simulateur Calculatrice Pos.'!$E$35</f>
        <v>2</v>
      </c>
      <c r="H339" s="45">
        <f>Positions[[#This Row],[Capital]]*Positions[[#This Row],[Evolution du capital par jour en %]]%</f>
        <v>486.24684548002216</v>
      </c>
      <c r="I339" s="46">
        <f>ROUND((((Positions[[#This Row],[Capital]]*Positions[[#This Row],[Evolution du capital par jour en %]]%)/('[2]Simulateur Calculatrice Pos.'!$E$15*'[2]Simulateur Calculatrice Pos.'!$E$24))/'[2]Simulateur Calculatrice Pos.'!$E$21),0)</f>
        <v>41</v>
      </c>
      <c r="J339" s="47">
        <f>IFERROR(IF(D339=5,((Positions[[#This Row],[Capital]]-F335)-K339),0),)</f>
        <v>0</v>
      </c>
      <c r="K339" s="48">
        <f>IFERROR(IF(D339=5,IF($B$6="Aucun retrait",0,IF($B$6=75%,(Positions[[#This Row],[Capital]]-F335)*75%)),0),)</f>
        <v>0</v>
      </c>
    </row>
    <row r="340" spans="4:11" ht="15.75" hidden="1" x14ac:dyDescent="0.25">
      <c r="D340" s="32">
        <f>WEEKDAY(Positions[[#This Row],[Jous / Séances de trading]],2)</f>
        <v>5</v>
      </c>
      <c r="E340" s="49">
        <f t="shared" si="10"/>
        <v>44813</v>
      </c>
      <c r="F340" s="50">
        <f t="shared" si="11"/>
        <v>24798.58911948113</v>
      </c>
      <c r="G340" s="44">
        <f>'[2]Simulateur Calculatrice Pos.'!$E$35</f>
        <v>2</v>
      </c>
      <c r="H340" s="45">
        <f>Positions[[#This Row],[Capital]]*Positions[[#This Row],[Evolution du capital par jour en %]]%</f>
        <v>495.9717823896226</v>
      </c>
      <c r="I340" s="46">
        <f>ROUND((((Positions[[#This Row],[Capital]]*Positions[[#This Row],[Evolution du capital par jour en %]]%)/('[2]Simulateur Calculatrice Pos.'!$E$15*'[2]Simulateur Calculatrice Pos.'!$E$24))/'[2]Simulateur Calculatrice Pos.'!$E$21),0)</f>
        <v>41</v>
      </c>
      <c r="J340" s="47">
        <f>IFERROR(IF(D340=5,((Positions[[#This Row],[Capital]]-F336)-K340),0),)</f>
        <v>472.13149738440188</v>
      </c>
      <c r="K340" s="48">
        <f>IFERROR(IF(D340=5,IF($B$6="Aucun retrait",0,IF($B$6=75%,(Positions[[#This Row],[Capital]]-F336)*75%)),0),)</f>
        <v>1416.3944921532056</v>
      </c>
    </row>
    <row r="341" spans="4:11" ht="15.75" hidden="1" x14ac:dyDescent="0.25">
      <c r="D341" s="32">
        <f>WEEKDAY(Positions[[#This Row],[Jous / Séances de trading]],2)</f>
        <v>1</v>
      </c>
      <c r="E341" s="49">
        <f t="shared" si="10"/>
        <v>44816</v>
      </c>
      <c r="F341" s="50">
        <f t="shared" si="11"/>
        <v>23878.166409717549</v>
      </c>
      <c r="G341" s="44">
        <f>'[2]Simulateur Calculatrice Pos.'!$E$35</f>
        <v>2</v>
      </c>
      <c r="H341" s="45">
        <f>Positions[[#This Row],[Capital]]*Positions[[#This Row],[Evolution du capital par jour en %]]%</f>
        <v>477.56332819435102</v>
      </c>
      <c r="I341" s="46">
        <f>ROUND((((Positions[[#This Row],[Capital]]*Positions[[#This Row],[Evolution du capital par jour en %]]%)/('[2]Simulateur Calculatrice Pos.'!$E$15*'[2]Simulateur Calculatrice Pos.'!$E$24))/'[2]Simulateur Calculatrice Pos.'!$E$21),0)</f>
        <v>40</v>
      </c>
      <c r="J341" s="47">
        <f>IFERROR(IF(D341=5,((Positions[[#This Row],[Capital]]-F337)-K341),0),)</f>
        <v>0</v>
      </c>
      <c r="K341" s="48">
        <f>IFERROR(IF(D341=5,IF($B$6="Aucun retrait",0,IF($B$6=75%,(Positions[[#This Row],[Capital]]-F337)*75%)),0),)</f>
        <v>0</v>
      </c>
    </row>
    <row r="342" spans="4:11" ht="15.75" hidden="1" x14ac:dyDescent="0.25">
      <c r="D342" s="32">
        <f>WEEKDAY(Positions[[#This Row],[Jous / Séances de trading]],2)</f>
        <v>2</v>
      </c>
      <c r="E342" s="49">
        <f t="shared" si="10"/>
        <v>44817</v>
      </c>
      <c r="F342" s="50">
        <f t="shared" si="11"/>
        <v>24355.729737911901</v>
      </c>
      <c r="G342" s="44">
        <f>'[2]Simulateur Calculatrice Pos.'!$E$35</f>
        <v>2</v>
      </c>
      <c r="H342" s="45">
        <f>Positions[[#This Row],[Capital]]*Positions[[#This Row],[Evolution du capital par jour en %]]%</f>
        <v>487.11459475823801</v>
      </c>
      <c r="I342" s="46">
        <f>ROUND((((Positions[[#This Row],[Capital]]*Positions[[#This Row],[Evolution du capital par jour en %]]%)/('[2]Simulateur Calculatrice Pos.'!$E$15*'[2]Simulateur Calculatrice Pos.'!$E$24))/'[2]Simulateur Calculatrice Pos.'!$E$21),0)</f>
        <v>41</v>
      </c>
      <c r="J342" s="47">
        <f>IFERROR(IF(D342=5,((Positions[[#This Row],[Capital]]-F338)-K342),0),)</f>
        <v>0</v>
      </c>
      <c r="K342" s="48">
        <f>IFERROR(IF(D342=5,IF($B$6="Aucun retrait",0,IF($B$6=75%,(Positions[[#This Row],[Capital]]-F338)*75%)),0),)</f>
        <v>0</v>
      </c>
    </row>
    <row r="343" spans="4:11" ht="15.75" hidden="1" x14ac:dyDescent="0.25">
      <c r="D343" s="32">
        <f>WEEKDAY(Positions[[#This Row],[Jous / Séances de trading]],2)</f>
        <v>3</v>
      </c>
      <c r="E343" s="49">
        <f t="shared" si="10"/>
        <v>44818</v>
      </c>
      <c r="F343" s="50">
        <f t="shared" si="11"/>
        <v>24842.844332670138</v>
      </c>
      <c r="G343" s="44">
        <f>'[2]Simulateur Calculatrice Pos.'!$E$35</f>
        <v>2</v>
      </c>
      <c r="H343" s="45">
        <f>Positions[[#This Row],[Capital]]*Positions[[#This Row],[Evolution du capital par jour en %]]%</f>
        <v>496.8568866534028</v>
      </c>
      <c r="I343" s="46">
        <f>ROUND((((Positions[[#This Row],[Capital]]*Positions[[#This Row],[Evolution du capital par jour en %]]%)/('[2]Simulateur Calculatrice Pos.'!$E$15*'[2]Simulateur Calculatrice Pos.'!$E$24))/'[2]Simulateur Calculatrice Pos.'!$E$21),0)</f>
        <v>41</v>
      </c>
      <c r="J343" s="47">
        <f>IFERROR(IF(D343=5,((Positions[[#This Row],[Capital]]-F339)-K343),0),)</f>
        <v>0</v>
      </c>
      <c r="K343" s="48">
        <f>IFERROR(IF(D343=5,IF($B$6="Aucun retrait",0,IF($B$6=75%,(Positions[[#This Row],[Capital]]-F339)*75%)),0),)</f>
        <v>0</v>
      </c>
    </row>
    <row r="344" spans="4:11" ht="15.75" hidden="1" x14ac:dyDescent="0.25">
      <c r="D344" s="32">
        <f>WEEKDAY(Positions[[#This Row],[Jous / Séances de trading]],2)</f>
        <v>4</v>
      </c>
      <c r="E344" s="49">
        <f t="shared" si="10"/>
        <v>44819</v>
      </c>
      <c r="F344" s="50">
        <f t="shared" si="11"/>
        <v>25339.701219323542</v>
      </c>
      <c r="G344" s="44">
        <f>'[2]Simulateur Calculatrice Pos.'!$E$35</f>
        <v>2</v>
      </c>
      <c r="H344" s="45">
        <f>Positions[[#This Row],[Capital]]*Positions[[#This Row],[Evolution du capital par jour en %]]%</f>
        <v>506.79402438647088</v>
      </c>
      <c r="I344" s="46">
        <f>ROUND((((Positions[[#This Row],[Capital]]*Positions[[#This Row],[Evolution du capital par jour en %]]%)/('[2]Simulateur Calculatrice Pos.'!$E$15*'[2]Simulateur Calculatrice Pos.'!$E$24))/'[2]Simulateur Calculatrice Pos.'!$E$21),0)</f>
        <v>42</v>
      </c>
      <c r="J344" s="47">
        <f>IFERROR(IF(D344=5,((Positions[[#This Row],[Capital]]-F340)-K344),0),)</f>
        <v>0</v>
      </c>
      <c r="K344" s="48">
        <f>IFERROR(IF(D344=5,IF($B$6="Aucun retrait",0,IF($B$6=75%,(Positions[[#This Row],[Capital]]-F340)*75%)),0),)</f>
        <v>0</v>
      </c>
    </row>
    <row r="345" spans="4:11" ht="15.75" hidden="1" x14ac:dyDescent="0.25">
      <c r="D345" s="32">
        <f>WEEKDAY(Positions[[#This Row],[Jous / Séances de trading]],2)</f>
        <v>5</v>
      </c>
      <c r="E345" s="49">
        <f t="shared" si="10"/>
        <v>44820</v>
      </c>
      <c r="F345" s="50">
        <f t="shared" si="11"/>
        <v>25846.495243710015</v>
      </c>
      <c r="G345" s="44">
        <f>'[2]Simulateur Calculatrice Pos.'!$E$35</f>
        <v>2</v>
      </c>
      <c r="H345" s="45">
        <f>Positions[[#This Row],[Capital]]*Positions[[#This Row],[Evolution du capital par jour en %]]%</f>
        <v>516.92990487420025</v>
      </c>
      <c r="I345" s="46">
        <f>ROUND((((Positions[[#This Row],[Capital]]*Positions[[#This Row],[Evolution du capital par jour en %]]%)/('[2]Simulateur Calculatrice Pos.'!$E$15*'[2]Simulateur Calculatrice Pos.'!$E$24))/'[2]Simulateur Calculatrice Pos.'!$E$21),0)</f>
        <v>43</v>
      </c>
      <c r="J345" s="47">
        <f>IFERROR(IF(D345=5,((Positions[[#This Row],[Capital]]-F341)-K345),0),)</f>
        <v>492.08220849811642</v>
      </c>
      <c r="K345" s="48">
        <f>IFERROR(IF(D345=5,IF($B$6="Aucun retrait",0,IF($B$6=75%,(Positions[[#This Row],[Capital]]-F341)*75%)),0),)</f>
        <v>1476.2466254943492</v>
      </c>
    </row>
    <row r="346" spans="4:11" ht="15.75" hidden="1" x14ac:dyDescent="0.25">
      <c r="D346" s="32">
        <f>WEEKDAY(Positions[[#This Row],[Jous / Séances de trading]],2)</f>
        <v>1</v>
      </c>
      <c r="E346" s="49">
        <f t="shared" si="10"/>
        <v>44823</v>
      </c>
      <c r="F346" s="50">
        <f t="shared" si="11"/>
        <v>24887.178523089864</v>
      </c>
      <c r="G346" s="44">
        <f>'[2]Simulateur Calculatrice Pos.'!$E$35</f>
        <v>2</v>
      </c>
      <c r="H346" s="45">
        <f>Positions[[#This Row],[Capital]]*Positions[[#This Row],[Evolution du capital par jour en %]]%</f>
        <v>497.74357046179728</v>
      </c>
      <c r="I346" s="46">
        <f>ROUND((((Positions[[#This Row],[Capital]]*Positions[[#This Row],[Evolution du capital par jour en %]]%)/('[2]Simulateur Calculatrice Pos.'!$E$15*'[2]Simulateur Calculatrice Pos.'!$E$24))/'[2]Simulateur Calculatrice Pos.'!$E$21),0)</f>
        <v>41</v>
      </c>
      <c r="J346" s="47">
        <f>IFERROR(IF(D346=5,((Positions[[#This Row],[Capital]]-F342)-K346),0),)</f>
        <v>0</v>
      </c>
      <c r="K346" s="48">
        <f>IFERROR(IF(D346=5,IF($B$6="Aucun retrait",0,IF($B$6=75%,(Positions[[#This Row],[Capital]]-F342)*75%)),0),)</f>
        <v>0</v>
      </c>
    </row>
    <row r="347" spans="4:11" ht="15.75" hidden="1" x14ac:dyDescent="0.25">
      <c r="D347" s="32">
        <f>WEEKDAY(Positions[[#This Row],[Jous / Séances de trading]],2)</f>
        <v>2</v>
      </c>
      <c r="E347" s="49">
        <f t="shared" si="10"/>
        <v>44824</v>
      </c>
      <c r="F347" s="50">
        <f t="shared" si="11"/>
        <v>25384.922093551661</v>
      </c>
      <c r="G347" s="44">
        <f>'[2]Simulateur Calculatrice Pos.'!$E$35</f>
        <v>2</v>
      </c>
      <c r="H347" s="45">
        <f>Positions[[#This Row],[Capital]]*Positions[[#This Row],[Evolution du capital par jour en %]]%</f>
        <v>507.6984418710332</v>
      </c>
      <c r="I347" s="46">
        <f>ROUND((((Positions[[#This Row],[Capital]]*Positions[[#This Row],[Evolution du capital par jour en %]]%)/('[2]Simulateur Calculatrice Pos.'!$E$15*'[2]Simulateur Calculatrice Pos.'!$E$24))/'[2]Simulateur Calculatrice Pos.'!$E$21),0)</f>
        <v>42</v>
      </c>
      <c r="J347" s="47">
        <f>IFERROR(IF(D347=5,((Positions[[#This Row],[Capital]]-F343)-K347),0),)</f>
        <v>0</v>
      </c>
      <c r="K347" s="48">
        <f>IFERROR(IF(D347=5,IF($B$6="Aucun retrait",0,IF($B$6=75%,(Positions[[#This Row],[Capital]]-F343)*75%)),0),)</f>
        <v>0</v>
      </c>
    </row>
    <row r="348" spans="4:11" ht="15.75" hidden="1" x14ac:dyDescent="0.25">
      <c r="D348" s="32">
        <f>WEEKDAY(Positions[[#This Row],[Jous / Séances de trading]],2)</f>
        <v>3</v>
      </c>
      <c r="E348" s="49">
        <f t="shared" si="10"/>
        <v>44825</v>
      </c>
      <c r="F348" s="50">
        <f t="shared" si="11"/>
        <v>25892.620535422695</v>
      </c>
      <c r="G348" s="44">
        <f>'[2]Simulateur Calculatrice Pos.'!$E$35</f>
        <v>2</v>
      </c>
      <c r="H348" s="45">
        <f>Positions[[#This Row],[Capital]]*Positions[[#This Row],[Evolution du capital par jour en %]]%</f>
        <v>517.85241070845393</v>
      </c>
      <c r="I348" s="46">
        <f>ROUND((((Positions[[#This Row],[Capital]]*Positions[[#This Row],[Evolution du capital par jour en %]]%)/('[2]Simulateur Calculatrice Pos.'!$E$15*'[2]Simulateur Calculatrice Pos.'!$E$24))/'[2]Simulateur Calculatrice Pos.'!$E$21),0)</f>
        <v>43</v>
      </c>
      <c r="J348" s="47">
        <f>IFERROR(IF(D348=5,((Positions[[#This Row],[Capital]]-F344)-K348),0),)</f>
        <v>0</v>
      </c>
      <c r="K348" s="48">
        <f>IFERROR(IF(D348=5,IF($B$6="Aucun retrait",0,IF($B$6=75%,(Positions[[#This Row],[Capital]]-F344)*75%)),0),)</f>
        <v>0</v>
      </c>
    </row>
    <row r="349" spans="4:11" ht="15.75" hidden="1" x14ac:dyDescent="0.25">
      <c r="D349" s="32">
        <f>WEEKDAY(Positions[[#This Row],[Jous / Séances de trading]],2)</f>
        <v>4</v>
      </c>
      <c r="E349" s="49">
        <f t="shared" si="10"/>
        <v>44826</v>
      </c>
      <c r="F349" s="50">
        <f t="shared" si="11"/>
        <v>26410.472946131147</v>
      </c>
      <c r="G349" s="44">
        <f>'[2]Simulateur Calculatrice Pos.'!$E$35</f>
        <v>2</v>
      </c>
      <c r="H349" s="45">
        <f>Positions[[#This Row],[Capital]]*Positions[[#This Row],[Evolution du capital par jour en %]]%</f>
        <v>528.20945892262296</v>
      </c>
      <c r="I349" s="46">
        <f>ROUND((((Positions[[#This Row],[Capital]]*Positions[[#This Row],[Evolution du capital par jour en %]]%)/('[2]Simulateur Calculatrice Pos.'!$E$15*'[2]Simulateur Calculatrice Pos.'!$E$24))/'[2]Simulateur Calculatrice Pos.'!$E$21),0)</f>
        <v>44</v>
      </c>
      <c r="J349" s="47">
        <f>IFERROR(IF(D349=5,((Positions[[#This Row],[Capital]]-F345)-K349),0),)</f>
        <v>0</v>
      </c>
      <c r="K349" s="48">
        <f>IFERROR(IF(D349=5,IF($B$6="Aucun retrait",0,IF($B$6=75%,(Positions[[#This Row],[Capital]]-F345)*75%)),0),)</f>
        <v>0</v>
      </c>
    </row>
    <row r="350" spans="4:11" ht="15.75" hidden="1" x14ac:dyDescent="0.25">
      <c r="D350" s="32">
        <f>WEEKDAY(Positions[[#This Row],[Jous / Séances de trading]],2)</f>
        <v>5</v>
      </c>
      <c r="E350" s="49">
        <f t="shared" si="10"/>
        <v>44827</v>
      </c>
      <c r="F350" s="50">
        <f t="shared" si="11"/>
        <v>26938.682405053769</v>
      </c>
      <c r="G350" s="44">
        <f>'[2]Simulateur Calculatrice Pos.'!$E$35</f>
        <v>2</v>
      </c>
      <c r="H350" s="45">
        <f>Positions[[#This Row],[Capital]]*Positions[[#This Row],[Evolution du capital par jour en %]]%</f>
        <v>538.77364810107542</v>
      </c>
      <c r="I350" s="46">
        <f>ROUND((((Positions[[#This Row],[Capital]]*Positions[[#This Row],[Evolution du capital par jour en %]]%)/('[2]Simulateur Calculatrice Pos.'!$E$15*'[2]Simulateur Calculatrice Pos.'!$E$24))/'[2]Simulateur Calculatrice Pos.'!$E$21),0)</f>
        <v>45</v>
      </c>
      <c r="J350" s="47">
        <f>IFERROR(IF(D350=5,((Positions[[#This Row],[Capital]]-F346)-K350),0),)</f>
        <v>512.87597049097621</v>
      </c>
      <c r="K350" s="48">
        <f>IFERROR(IF(D350=5,IF($B$6="Aucun retrait",0,IF($B$6=75%,(Positions[[#This Row],[Capital]]-F346)*75%)),0),)</f>
        <v>1538.6279114729286</v>
      </c>
    </row>
    <row r="351" spans="4:11" ht="15.75" hidden="1" x14ac:dyDescent="0.25">
      <c r="D351" s="32">
        <f>WEEKDAY(Positions[[#This Row],[Jous / Séances de trading]],2)</f>
        <v>1</v>
      </c>
      <c r="E351" s="49">
        <f t="shared" si="10"/>
        <v>44830</v>
      </c>
      <c r="F351" s="50">
        <f t="shared" si="11"/>
        <v>25938.828141681915</v>
      </c>
      <c r="G351" s="44">
        <f>'[2]Simulateur Calculatrice Pos.'!$E$35</f>
        <v>2</v>
      </c>
      <c r="H351" s="45">
        <f>Positions[[#This Row],[Capital]]*Positions[[#This Row],[Evolution du capital par jour en %]]%</f>
        <v>518.77656283363831</v>
      </c>
      <c r="I351" s="46">
        <f>ROUND((((Positions[[#This Row],[Capital]]*Positions[[#This Row],[Evolution du capital par jour en %]]%)/('[2]Simulateur Calculatrice Pos.'!$E$15*'[2]Simulateur Calculatrice Pos.'!$E$24))/'[2]Simulateur Calculatrice Pos.'!$E$21),0)</f>
        <v>43</v>
      </c>
      <c r="J351" s="47">
        <f>IFERROR(IF(D351=5,((Positions[[#This Row],[Capital]]-F347)-K351),0),)</f>
        <v>0</v>
      </c>
      <c r="K351" s="48">
        <f>IFERROR(IF(D351=5,IF($B$6="Aucun retrait",0,IF($B$6=75%,(Positions[[#This Row],[Capital]]-F347)*75%)),0),)</f>
        <v>0</v>
      </c>
    </row>
    <row r="352" spans="4:11" ht="15.75" hidden="1" x14ac:dyDescent="0.25">
      <c r="D352" s="32">
        <f>WEEKDAY(Positions[[#This Row],[Jous / Séances de trading]],2)</f>
        <v>2</v>
      </c>
      <c r="E352" s="49">
        <f t="shared" si="10"/>
        <v>44831</v>
      </c>
      <c r="F352" s="50">
        <f t="shared" si="11"/>
        <v>26457.604704515554</v>
      </c>
      <c r="G352" s="44">
        <f>'[2]Simulateur Calculatrice Pos.'!$E$35</f>
        <v>2</v>
      </c>
      <c r="H352" s="45">
        <f>Positions[[#This Row],[Capital]]*Positions[[#This Row],[Evolution du capital par jour en %]]%</f>
        <v>529.15209409031104</v>
      </c>
      <c r="I352" s="46">
        <f>ROUND((((Positions[[#This Row],[Capital]]*Positions[[#This Row],[Evolution du capital par jour en %]]%)/('[2]Simulateur Calculatrice Pos.'!$E$15*'[2]Simulateur Calculatrice Pos.'!$E$24))/'[2]Simulateur Calculatrice Pos.'!$E$21),0)</f>
        <v>44</v>
      </c>
      <c r="J352" s="47">
        <f>IFERROR(IF(D352=5,((Positions[[#This Row],[Capital]]-F348)-K352),0),)</f>
        <v>0</v>
      </c>
      <c r="K352" s="48">
        <f>IFERROR(IF(D352=5,IF($B$6="Aucun retrait",0,IF($B$6=75%,(Positions[[#This Row],[Capital]]-F348)*75%)),0),)</f>
        <v>0</v>
      </c>
    </row>
    <row r="353" spans="4:11" ht="15.75" hidden="1" x14ac:dyDescent="0.25">
      <c r="D353" s="32">
        <f>WEEKDAY(Positions[[#This Row],[Jous / Séances de trading]],2)</f>
        <v>3</v>
      </c>
      <c r="E353" s="49">
        <f t="shared" si="10"/>
        <v>44832</v>
      </c>
      <c r="F353" s="50">
        <f t="shared" si="11"/>
        <v>26986.756798605864</v>
      </c>
      <c r="G353" s="44">
        <f>'[2]Simulateur Calculatrice Pos.'!$E$35</f>
        <v>2</v>
      </c>
      <c r="H353" s="45">
        <f>Positions[[#This Row],[Capital]]*Positions[[#This Row],[Evolution du capital par jour en %]]%</f>
        <v>539.73513597211729</v>
      </c>
      <c r="I353" s="46">
        <f>ROUND((((Positions[[#This Row],[Capital]]*Positions[[#This Row],[Evolution du capital par jour en %]]%)/('[2]Simulateur Calculatrice Pos.'!$E$15*'[2]Simulateur Calculatrice Pos.'!$E$24))/'[2]Simulateur Calculatrice Pos.'!$E$21),0)</f>
        <v>45</v>
      </c>
      <c r="J353" s="47">
        <f>IFERROR(IF(D353=5,((Positions[[#This Row],[Capital]]-F349)-K353),0),)</f>
        <v>0</v>
      </c>
      <c r="K353" s="48">
        <f>IFERROR(IF(D353=5,IF($B$6="Aucun retrait",0,IF($B$6=75%,(Positions[[#This Row],[Capital]]-F349)*75%)),0),)</f>
        <v>0</v>
      </c>
    </row>
    <row r="354" spans="4:11" ht="15.75" hidden="1" x14ac:dyDescent="0.25">
      <c r="D354" s="32">
        <f>WEEKDAY(Positions[[#This Row],[Jous / Séances de trading]],2)</f>
        <v>4</v>
      </c>
      <c r="E354" s="49">
        <f t="shared" si="10"/>
        <v>44833</v>
      </c>
      <c r="F354" s="50">
        <f t="shared" si="11"/>
        <v>27526.491934577982</v>
      </c>
      <c r="G354" s="44">
        <f>'[2]Simulateur Calculatrice Pos.'!$E$35</f>
        <v>2</v>
      </c>
      <c r="H354" s="45">
        <f>Positions[[#This Row],[Capital]]*Positions[[#This Row],[Evolution du capital par jour en %]]%</f>
        <v>550.52983869155969</v>
      </c>
      <c r="I354" s="46">
        <f>ROUND((((Positions[[#This Row],[Capital]]*Positions[[#This Row],[Evolution du capital par jour en %]]%)/('[2]Simulateur Calculatrice Pos.'!$E$15*'[2]Simulateur Calculatrice Pos.'!$E$24))/'[2]Simulateur Calculatrice Pos.'!$E$21),0)</f>
        <v>46</v>
      </c>
      <c r="J354" s="47">
        <f>IFERROR(IF(D354=5,((Positions[[#This Row],[Capital]]-F350)-K354),0),)</f>
        <v>0</v>
      </c>
      <c r="K354" s="48">
        <f>IFERROR(IF(D354=5,IF($B$6="Aucun retrait",0,IF($B$6=75%,(Positions[[#This Row],[Capital]]-F350)*75%)),0),)</f>
        <v>0</v>
      </c>
    </row>
    <row r="355" spans="4:11" ht="15.75" hidden="1" x14ac:dyDescent="0.25">
      <c r="D355" s="32">
        <f>WEEKDAY(Positions[[#This Row],[Jous / Séances de trading]],2)</f>
        <v>5</v>
      </c>
      <c r="E355" s="49">
        <f t="shared" si="10"/>
        <v>44834</v>
      </c>
      <c r="F355" s="50">
        <f t="shared" si="11"/>
        <v>28077.021773269542</v>
      </c>
      <c r="G355" s="44">
        <f>'[2]Simulateur Calculatrice Pos.'!$E$35</f>
        <v>2</v>
      </c>
      <c r="H355" s="45">
        <f>Positions[[#This Row],[Capital]]*Positions[[#This Row],[Evolution du capital par jour en %]]%</f>
        <v>561.54043546539083</v>
      </c>
      <c r="I355" s="46">
        <f>ROUND((((Positions[[#This Row],[Capital]]*Positions[[#This Row],[Evolution du capital par jour en %]]%)/('[2]Simulateur Calculatrice Pos.'!$E$15*'[2]Simulateur Calculatrice Pos.'!$E$24))/'[2]Simulateur Calculatrice Pos.'!$E$21),0)</f>
        <v>47</v>
      </c>
      <c r="J355" s="47">
        <f>IFERROR(IF(D355=5,((Positions[[#This Row],[Capital]]-F351)-K355),0),)</f>
        <v>534.54840789690661</v>
      </c>
      <c r="K355" s="48">
        <f>IFERROR(IF(D355=5,IF($B$6="Aucun retrait",0,IF($B$6=75%,(Positions[[#This Row],[Capital]]-F351)*75%)),0),)</f>
        <v>1603.6452236907198</v>
      </c>
    </row>
    <row r="356" spans="4:11" ht="15.75" hidden="1" x14ac:dyDescent="0.25">
      <c r="D356" s="32">
        <f>WEEKDAY(Positions[[#This Row],[Jous / Séances de trading]],2)</f>
        <v>1</v>
      </c>
      <c r="E356" s="49">
        <f t="shared" si="10"/>
        <v>44837</v>
      </c>
      <c r="F356" s="50">
        <f t="shared" si="11"/>
        <v>27034.916985044212</v>
      </c>
      <c r="G356" s="44">
        <f>'[2]Simulateur Calculatrice Pos.'!$E$35</f>
        <v>2</v>
      </c>
      <c r="H356" s="45">
        <f>Positions[[#This Row],[Capital]]*Positions[[#This Row],[Evolution du capital par jour en %]]%</f>
        <v>540.69833970088428</v>
      </c>
      <c r="I356" s="46">
        <f>ROUND((((Positions[[#This Row],[Capital]]*Positions[[#This Row],[Evolution du capital par jour en %]]%)/('[2]Simulateur Calculatrice Pos.'!$E$15*'[2]Simulateur Calculatrice Pos.'!$E$24))/'[2]Simulateur Calculatrice Pos.'!$E$21),0)</f>
        <v>45</v>
      </c>
      <c r="J356" s="47">
        <f>IFERROR(IF(D356=5,((Positions[[#This Row],[Capital]]-F352)-K356),0),)</f>
        <v>0</v>
      </c>
      <c r="K356" s="48">
        <f>IFERROR(IF(D356=5,IF($B$6="Aucun retrait",0,IF($B$6=75%,(Positions[[#This Row],[Capital]]-F352)*75%)),0),)</f>
        <v>0</v>
      </c>
    </row>
    <row r="357" spans="4:11" ht="15.75" hidden="1" x14ac:dyDescent="0.25">
      <c r="D357" s="32">
        <f>WEEKDAY(Positions[[#This Row],[Jous / Séances de trading]],2)</f>
        <v>2</v>
      </c>
      <c r="E357" s="49">
        <f t="shared" si="10"/>
        <v>44838</v>
      </c>
      <c r="F357" s="50">
        <f t="shared" si="11"/>
        <v>27575.615324745097</v>
      </c>
      <c r="G357" s="44">
        <f>'[2]Simulateur Calculatrice Pos.'!$E$35</f>
        <v>2</v>
      </c>
      <c r="H357" s="45">
        <f>Positions[[#This Row],[Capital]]*Positions[[#This Row],[Evolution du capital par jour en %]]%</f>
        <v>551.51230649490196</v>
      </c>
      <c r="I357" s="46">
        <f>ROUND((((Positions[[#This Row],[Capital]]*Positions[[#This Row],[Evolution du capital par jour en %]]%)/('[2]Simulateur Calculatrice Pos.'!$E$15*'[2]Simulateur Calculatrice Pos.'!$E$24))/'[2]Simulateur Calculatrice Pos.'!$E$21),0)</f>
        <v>46</v>
      </c>
      <c r="J357" s="47">
        <f>IFERROR(IF(D357=5,((Positions[[#This Row],[Capital]]-F353)-K357),0),)</f>
        <v>0</v>
      </c>
      <c r="K357" s="48">
        <f>IFERROR(IF(D357=5,IF($B$6="Aucun retrait",0,IF($B$6=75%,(Positions[[#This Row],[Capital]]-F353)*75%)),0),)</f>
        <v>0</v>
      </c>
    </row>
    <row r="358" spans="4:11" ht="15.75" hidden="1" x14ac:dyDescent="0.25">
      <c r="D358" s="32">
        <f>WEEKDAY(Positions[[#This Row],[Jous / Séances de trading]],2)</f>
        <v>3</v>
      </c>
      <c r="E358" s="49">
        <f t="shared" si="10"/>
        <v>44839</v>
      </c>
      <c r="F358" s="50">
        <f t="shared" si="11"/>
        <v>28127.127631239997</v>
      </c>
      <c r="G358" s="44">
        <f>'[2]Simulateur Calculatrice Pos.'!$E$35</f>
        <v>2</v>
      </c>
      <c r="H358" s="45">
        <f>Positions[[#This Row],[Capital]]*Positions[[#This Row],[Evolution du capital par jour en %]]%</f>
        <v>562.5425526247999</v>
      </c>
      <c r="I358" s="46">
        <f>ROUND((((Positions[[#This Row],[Capital]]*Positions[[#This Row],[Evolution du capital par jour en %]]%)/('[2]Simulateur Calculatrice Pos.'!$E$15*'[2]Simulateur Calculatrice Pos.'!$E$24))/'[2]Simulateur Calculatrice Pos.'!$E$21),0)</f>
        <v>47</v>
      </c>
      <c r="J358" s="47">
        <f>IFERROR(IF(D358=5,((Positions[[#This Row],[Capital]]-F354)-K358),0),)</f>
        <v>0</v>
      </c>
      <c r="K358" s="48">
        <f>IFERROR(IF(D358=5,IF($B$6="Aucun retrait",0,IF($B$6=75%,(Positions[[#This Row],[Capital]]-F354)*75%)),0),)</f>
        <v>0</v>
      </c>
    </row>
    <row r="359" spans="4:11" ht="15.75" hidden="1" x14ac:dyDescent="0.25">
      <c r="D359" s="32">
        <f>WEEKDAY(Positions[[#This Row],[Jous / Séances de trading]],2)</f>
        <v>4</v>
      </c>
      <c r="E359" s="49">
        <f t="shared" si="10"/>
        <v>44840</v>
      </c>
      <c r="F359" s="50">
        <f t="shared" si="11"/>
        <v>28689.670183864797</v>
      </c>
      <c r="G359" s="44">
        <f>'[2]Simulateur Calculatrice Pos.'!$E$35</f>
        <v>2</v>
      </c>
      <c r="H359" s="45">
        <f>Positions[[#This Row],[Capital]]*Positions[[#This Row],[Evolution du capital par jour en %]]%</f>
        <v>573.79340367729594</v>
      </c>
      <c r="I359" s="46">
        <f>ROUND((((Positions[[#This Row],[Capital]]*Positions[[#This Row],[Evolution du capital par jour en %]]%)/('[2]Simulateur Calculatrice Pos.'!$E$15*'[2]Simulateur Calculatrice Pos.'!$E$24))/'[2]Simulateur Calculatrice Pos.'!$E$21),0)</f>
        <v>48</v>
      </c>
      <c r="J359" s="47">
        <f>IFERROR(IF(D359=5,((Positions[[#This Row],[Capital]]-F355)-K359),0),)</f>
        <v>0</v>
      </c>
      <c r="K359" s="48">
        <f>IFERROR(IF(D359=5,IF($B$6="Aucun retrait",0,IF($B$6=75%,(Positions[[#This Row],[Capital]]-F355)*75%)),0),)</f>
        <v>0</v>
      </c>
    </row>
    <row r="360" spans="4:11" ht="15.75" hidden="1" x14ac:dyDescent="0.25">
      <c r="D360" s="32">
        <f>WEEKDAY(Positions[[#This Row],[Jous / Séances de trading]],2)</f>
        <v>5</v>
      </c>
      <c r="E360" s="49">
        <f t="shared" si="10"/>
        <v>44841</v>
      </c>
      <c r="F360" s="50">
        <f t="shared" si="11"/>
        <v>29263.463587542094</v>
      </c>
      <c r="G360" s="44">
        <f>'[2]Simulateur Calculatrice Pos.'!$E$35</f>
        <v>2</v>
      </c>
      <c r="H360" s="45">
        <f>Positions[[#This Row],[Capital]]*Positions[[#This Row],[Evolution du capital par jour en %]]%</f>
        <v>585.26927175084188</v>
      </c>
      <c r="I360" s="46">
        <f>ROUND((((Positions[[#This Row],[Capital]]*Positions[[#This Row],[Evolution du capital par jour en %]]%)/('[2]Simulateur Calculatrice Pos.'!$E$15*'[2]Simulateur Calculatrice Pos.'!$E$24))/'[2]Simulateur Calculatrice Pos.'!$E$21),0)</f>
        <v>49</v>
      </c>
      <c r="J360" s="47">
        <f>IFERROR(IF(D360=5,((Positions[[#This Row],[Capital]]-F356)-K360),0),)</f>
        <v>557.13665062447035</v>
      </c>
      <c r="K360" s="48">
        <f>IFERROR(IF(D360=5,IF($B$6="Aucun retrait",0,IF($B$6=75%,(Positions[[#This Row],[Capital]]-F356)*75%)),0),)</f>
        <v>1671.409951873411</v>
      </c>
    </row>
    <row r="361" spans="4:11" ht="15.75" hidden="1" x14ac:dyDescent="0.25">
      <c r="D361" s="32">
        <f>WEEKDAY(Positions[[#This Row],[Jous / Séances de trading]],2)</f>
        <v>1</v>
      </c>
      <c r="E361" s="49">
        <f t="shared" si="10"/>
        <v>44844</v>
      </c>
      <c r="F361" s="50">
        <f t="shared" si="11"/>
        <v>28177.322907419526</v>
      </c>
      <c r="G361" s="44">
        <f>'[2]Simulateur Calculatrice Pos.'!$E$35</f>
        <v>2</v>
      </c>
      <c r="H361" s="45">
        <f>Positions[[#This Row],[Capital]]*Positions[[#This Row],[Evolution du capital par jour en %]]%</f>
        <v>563.54645814839057</v>
      </c>
      <c r="I361" s="46">
        <f>ROUND((((Positions[[#This Row],[Capital]]*Positions[[#This Row],[Evolution du capital par jour en %]]%)/('[2]Simulateur Calculatrice Pos.'!$E$15*'[2]Simulateur Calculatrice Pos.'!$E$24))/'[2]Simulateur Calculatrice Pos.'!$E$21),0)</f>
        <v>47</v>
      </c>
      <c r="J361" s="47">
        <f>IFERROR(IF(D361=5,((Positions[[#This Row],[Capital]]-F357)-K361),0),)</f>
        <v>0</v>
      </c>
      <c r="K361" s="48">
        <f>IFERROR(IF(D361=5,IF($B$6="Aucun retrait",0,IF($B$6=75%,(Positions[[#This Row],[Capital]]-F357)*75%)),0),)</f>
        <v>0</v>
      </c>
    </row>
    <row r="362" spans="4:11" ht="15.75" hidden="1" x14ac:dyDescent="0.25">
      <c r="D362" s="32">
        <f>WEEKDAY(Positions[[#This Row],[Jous / Séances de trading]],2)</f>
        <v>2</v>
      </c>
      <c r="E362" s="49">
        <f t="shared" si="10"/>
        <v>44845</v>
      </c>
      <c r="F362" s="50">
        <f t="shared" si="11"/>
        <v>28740.869365567916</v>
      </c>
      <c r="G362" s="44">
        <f>'[2]Simulateur Calculatrice Pos.'!$E$35</f>
        <v>2</v>
      </c>
      <c r="H362" s="45">
        <f>Positions[[#This Row],[Capital]]*Positions[[#This Row],[Evolution du capital par jour en %]]%</f>
        <v>574.81738731135829</v>
      </c>
      <c r="I362" s="46">
        <f>ROUND((((Positions[[#This Row],[Capital]]*Positions[[#This Row],[Evolution du capital par jour en %]]%)/('[2]Simulateur Calculatrice Pos.'!$E$15*'[2]Simulateur Calculatrice Pos.'!$E$24))/'[2]Simulateur Calculatrice Pos.'!$E$21),0)</f>
        <v>48</v>
      </c>
      <c r="J362" s="47">
        <f>IFERROR(IF(D362=5,((Positions[[#This Row],[Capital]]-F358)-K362),0),)</f>
        <v>0</v>
      </c>
      <c r="K362" s="48">
        <f>IFERROR(IF(D362=5,IF($B$6="Aucun retrait",0,IF($B$6=75%,(Positions[[#This Row],[Capital]]-F358)*75%)),0),)</f>
        <v>0</v>
      </c>
    </row>
    <row r="363" spans="4:11" ht="15.75" hidden="1" x14ac:dyDescent="0.25">
      <c r="D363" s="32">
        <f>WEEKDAY(Positions[[#This Row],[Jous / Séances de trading]],2)</f>
        <v>3</v>
      </c>
      <c r="E363" s="49">
        <f t="shared" si="10"/>
        <v>44846</v>
      </c>
      <c r="F363" s="50">
        <f t="shared" si="11"/>
        <v>29315.686752879275</v>
      </c>
      <c r="G363" s="44">
        <f>'[2]Simulateur Calculatrice Pos.'!$E$35</f>
        <v>2</v>
      </c>
      <c r="H363" s="45">
        <f>Positions[[#This Row],[Capital]]*Positions[[#This Row],[Evolution du capital par jour en %]]%</f>
        <v>586.31373505758552</v>
      </c>
      <c r="I363" s="46">
        <f>ROUND((((Positions[[#This Row],[Capital]]*Positions[[#This Row],[Evolution du capital par jour en %]]%)/('[2]Simulateur Calculatrice Pos.'!$E$15*'[2]Simulateur Calculatrice Pos.'!$E$24))/'[2]Simulateur Calculatrice Pos.'!$E$21),0)</f>
        <v>49</v>
      </c>
      <c r="J363" s="47">
        <f>IFERROR(IF(D363=5,((Positions[[#This Row],[Capital]]-F359)-K363),0),)</f>
        <v>0</v>
      </c>
      <c r="K363" s="48">
        <f>IFERROR(IF(D363=5,IF($B$6="Aucun retrait",0,IF($B$6=75%,(Positions[[#This Row],[Capital]]-F359)*75%)),0),)</f>
        <v>0</v>
      </c>
    </row>
    <row r="364" spans="4:11" ht="15.75" hidden="1" x14ac:dyDescent="0.25">
      <c r="D364" s="32">
        <f>WEEKDAY(Positions[[#This Row],[Jous / Séances de trading]],2)</f>
        <v>4</v>
      </c>
      <c r="E364" s="49">
        <f t="shared" si="10"/>
        <v>44847</v>
      </c>
      <c r="F364" s="50">
        <f t="shared" si="11"/>
        <v>29902.000487936861</v>
      </c>
      <c r="G364" s="44">
        <f>'[2]Simulateur Calculatrice Pos.'!$E$35</f>
        <v>2</v>
      </c>
      <c r="H364" s="45">
        <f>Positions[[#This Row],[Capital]]*Positions[[#This Row],[Evolution du capital par jour en %]]%</f>
        <v>598.04000975873726</v>
      </c>
      <c r="I364" s="46">
        <f>ROUND((((Positions[[#This Row],[Capital]]*Positions[[#This Row],[Evolution du capital par jour en %]]%)/('[2]Simulateur Calculatrice Pos.'!$E$15*'[2]Simulateur Calculatrice Pos.'!$E$24))/'[2]Simulateur Calculatrice Pos.'!$E$21),0)</f>
        <v>50</v>
      </c>
      <c r="J364" s="47">
        <f>IFERROR(IF(D364=5,((Positions[[#This Row],[Capital]]-F360)-K364),0),)</f>
        <v>0</v>
      </c>
      <c r="K364" s="48">
        <f>IFERROR(IF(D364=5,IF($B$6="Aucun retrait",0,IF($B$6=75%,(Positions[[#This Row],[Capital]]-F360)*75%)),0),)</f>
        <v>0</v>
      </c>
    </row>
    <row r="365" spans="4:11" ht="15.75" hidden="1" x14ac:dyDescent="0.25">
      <c r="D365" s="32">
        <f>WEEKDAY(Positions[[#This Row],[Jous / Séances de trading]],2)</f>
        <v>5</v>
      </c>
      <c r="E365" s="49">
        <f t="shared" si="10"/>
        <v>44848</v>
      </c>
      <c r="F365" s="50">
        <f t="shared" si="11"/>
        <v>30500.040497695598</v>
      </c>
      <c r="G365" s="44">
        <f>'[2]Simulateur Calculatrice Pos.'!$E$35</f>
        <v>2</v>
      </c>
      <c r="H365" s="45">
        <f>Positions[[#This Row],[Capital]]*Positions[[#This Row],[Evolution du capital par jour en %]]%</f>
        <v>610.00080995391193</v>
      </c>
      <c r="I365" s="46">
        <f>ROUND((((Positions[[#This Row],[Capital]]*Positions[[#This Row],[Evolution du capital par jour en %]]%)/('[2]Simulateur Calculatrice Pos.'!$E$15*'[2]Simulateur Calculatrice Pos.'!$E$24))/'[2]Simulateur Calculatrice Pos.'!$E$21),0)</f>
        <v>51</v>
      </c>
      <c r="J365" s="47">
        <f>IFERROR(IF(D365=5,((Positions[[#This Row],[Capital]]-F361)-K365),0),)</f>
        <v>580.67939756901796</v>
      </c>
      <c r="K365" s="48">
        <f>IFERROR(IF(D365=5,IF($B$6="Aucun retrait",0,IF($B$6=75%,(Positions[[#This Row],[Capital]]-F361)*75%)),0),)</f>
        <v>1742.0381927070539</v>
      </c>
    </row>
    <row r="366" spans="4:11" ht="15.75" hidden="1" x14ac:dyDescent="0.25">
      <c r="D366" s="32">
        <f>WEEKDAY(Positions[[#This Row],[Jous / Séances de trading]],2)</f>
        <v>1</v>
      </c>
      <c r="E366" s="49">
        <f t="shared" si="10"/>
        <v>44851</v>
      </c>
      <c r="F366" s="50">
        <f t="shared" si="11"/>
        <v>29368.003114942454</v>
      </c>
      <c r="G366" s="44">
        <f>'[2]Simulateur Calculatrice Pos.'!$E$35</f>
        <v>2</v>
      </c>
      <c r="H366" s="45">
        <f>Positions[[#This Row],[Capital]]*Positions[[#This Row],[Evolution du capital par jour en %]]%</f>
        <v>587.36006229884913</v>
      </c>
      <c r="I366" s="46">
        <f>ROUND((((Positions[[#This Row],[Capital]]*Positions[[#This Row],[Evolution du capital par jour en %]]%)/('[2]Simulateur Calculatrice Pos.'!$E$15*'[2]Simulateur Calculatrice Pos.'!$E$24))/'[2]Simulateur Calculatrice Pos.'!$E$21),0)</f>
        <v>49</v>
      </c>
      <c r="J366" s="47">
        <f>IFERROR(IF(D366=5,((Positions[[#This Row],[Capital]]-F362)-K366),0),)</f>
        <v>0</v>
      </c>
      <c r="K366" s="48">
        <f>IFERROR(IF(D366=5,IF($B$6="Aucun retrait",0,IF($B$6=75%,(Positions[[#This Row],[Capital]]-F362)*75%)),0),)</f>
        <v>0</v>
      </c>
    </row>
    <row r="367" spans="4:11" ht="15.75" hidden="1" x14ac:dyDescent="0.25">
      <c r="D367" s="32">
        <f>WEEKDAY(Positions[[#This Row],[Jous / Séances de trading]],2)</f>
        <v>2</v>
      </c>
      <c r="E367" s="49">
        <f t="shared" si="10"/>
        <v>44852</v>
      </c>
      <c r="F367" s="50">
        <f t="shared" si="11"/>
        <v>29955.363177241303</v>
      </c>
      <c r="G367" s="44">
        <f>'[2]Simulateur Calculatrice Pos.'!$E$35</f>
        <v>2</v>
      </c>
      <c r="H367" s="45">
        <f>Positions[[#This Row],[Capital]]*Positions[[#This Row],[Evolution du capital par jour en %]]%</f>
        <v>599.10726354482608</v>
      </c>
      <c r="I367" s="46">
        <f>ROUND((((Positions[[#This Row],[Capital]]*Positions[[#This Row],[Evolution du capital par jour en %]]%)/('[2]Simulateur Calculatrice Pos.'!$E$15*'[2]Simulateur Calculatrice Pos.'!$E$24))/'[2]Simulateur Calculatrice Pos.'!$E$21),0)</f>
        <v>50</v>
      </c>
      <c r="J367" s="47">
        <f>IFERROR(IF(D367=5,((Positions[[#This Row],[Capital]]-F363)-K367),0),)</f>
        <v>0</v>
      </c>
      <c r="K367" s="48">
        <f>IFERROR(IF(D367=5,IF($B$6="Aucun retrait",0,IF($B$6=75%,(Positions[[#This Row],[Capital]]-F363)*75%)),0),)</f>
        <v>0</v>
      </c>
    </row>
    <row r="368" spans="4:11" ht="15.75" hidden="1" x14ac:dyDescent="0.25">
      <c r="D368" s="32">
        <f>WEEKDAY(Positions[[#This Row],[Jous / Séances de trading]],2)</f>
        <v>3</v>
      </c>
      <c r="E368" s="49">
        <f t="shared" si="10"/>
        <v>44853</v>
      </c>
      <c r="F368" s="50">
        <f t="shared" si="11"/>
        <v>30554.470440786128</v>
      </c>
      <c r="G368" s="44">
        <f>'[2]Simulateur Calculatrice Pos.'!$E$35</f>
        <v>2</v>
      </c>
      <c r="H368" s="45">
        <f>Positions[[#This Row],[Capital]]*Positions[[#This Row],[Evolution du capital par jour en %]]%</f>
        <v>611.08940881572255</v>
      </c>
      <c r="I368" s="46">
        <f>ROUND((((Positions[[#This Row],[Capital]]*Positions[[#This Row],[Evolution du capital par jour en %]]%)/('[2]Simulateur Calculatrice Pos.'!$E$15*'[2]Simulateur Calculatrice Pos.'!$E$24))/'[2]Simulateur Calculatrice Pos.'!$E$21),0)</f>
        <v>51</v>
      </c>
      <c r="J368" s="47">
        <f>IFERROR(IF(D368=5,((Positions[[#This Row],[Capital]]-F364)-K368),0),)</f>
        <v>0</v>
      </c>
      <c r="K368" s="48">
        <f>IFERROR(IF(D368=5,IF($B$6="Aucun retrait",0,IF($B$6=75%,(Positions[[#This Row],[Capital]]-F364)*75%)),0),)</f>
        <v>0</v>
      </c>
    </row>
    <row r="369" spans="4:11" ht="15.75" hidden="1" x14ac:dyDescent="0.25">
      <c r="D369" s="32">
        <f>WEEKDAY(Positions[[#This Row],[Jous / Séances de trading]],2)</f>
        <v>4</v>
      </c>
      <c r="E369" s="49">
        <f t="shared" si="10"/>
        <v>44854</v>
      </c>
      <c r="F369" s="50">
        <f t="shared" si="11"/>
        <v>31165.55984960185</v>
      </c>
      <c r="G369" s="44">
        <f>'[2]Simulateur Calculatrice Pos.'!$E$35</f>
        <v>2</v>
      </c>
      <c r="H369" s="45">
        <f>Positions[[#This Row],[Capital]]*Positions[[#This Row],[Evolution du capital par jour en %]]%</f>
        <v>623.31119699203703</v>
      </c>
      <c r="I369" s="46">
        <f>ROUND((((Positions[[#This Row],[Capital]]*Positions[[#This Row],[Evolution du capital par jour en %]]%)/('[2]Simulateur Calculatrice Pos.'!$E$15*'[2]Simulateur Calculatrice Pos.'!$E$24))/'[2]Simulateur Calculatrice Pos.'!$E$21),0)</f>
        <v>52</v>
      </c>
      <c r="J369" s="47">
        <f>IFERROR(IF(D369=5,((Positions[[#This Row],[Capital]]-F365)-K369),0),)</f>
        <v>0</v>
      </c>
      <c r="K369" s="48">
        <f>IFERROR(IF(D369=5,IF($B$6="Aucun retrait",0,IF($B$6=75%,(Positions[[#This Row],[Capital]]-F365)*75%)),0),)</f>
        <v>0</v>
      </c>
    </row>
    <row r="370" spans="4:11" ht="15.75" hidden="1" x14ac:dyDescent="0.25">
      <c r="D370" s="32">
        <f>WEEKDAY(Positions[[#This Row],[Jous / Séances de trading]],2)</f>
        <v>5</v>
      </c>
      <c r="E370" s="49">
        <f t="shared" si="10"/>
        <v>44855</v>
      </c>
      <c r="F370" s="50">
        <f t="shared" si="11"/>
        <v>31788.871046593886</v>
      </c>
      <c r="G370" s="44">
        <f>'[2]Simulateur Calculatrice Pos.'!$E$35</f>
        <v>2</v>
      </c>
      <c r="H370" s="45">
        <f>Positions[[#This Row],[Capital]]*Positions[[#This Row],[Evolution du capital par jour en %]]%</f>
        <v>635.77742093187771</v>
      </c>
      <c r="I370" s="46">
        <f>ROUND((((Positions[[#This Row],[Capital]]*Positions[[#This Row],[Evolution du capital par jour en %]]%)/('[2]Simulateur Calculatrice Pos.'!$E$15*'[2]Simulateur Calculatrice Pos.'!$E$24))/'[2]Simulateur Calculatrice Pos.'!$E$21),0)</f>
        <v>53</v>
      </c>
      <c r="J370" s="47">
        <f>IFERROR(IF(D370=5,((Positions[[#This Row],[Capital]]-F366)-K370),0),)</f>
        <v>605.21698291285793</v>
      </c>
      <c r="K370" s="48">
        <f>IFERROR(IF(D370=5,IF($B$6="Aucun retrait",0,IF($B$6=75%,(Positions[[#This Row],[Capital]]-F366)*75%)),0),)</f>
        <v>1815.6509487385738</v>
      </c>
    </row>
    <row r="371" spans="4:11" ht="15.75" hidden="1" x14ac:dyDescent="0.25">
      <c r="D371" s="32">
        <f>WEEKDAY(Positions[[#This Row],[Jous / Séances de trading]],2)</f>
        <v>1</v>
      </c>
      <c r="E371" s="49">
        <f t="shared" si="10"/>
        <v>44858</v>
      </c>
      <c r="F371" s="50">
        <f t="shared" si="11"/>
        <v>30608.99751878719</v>
      </c>
      <c r="G371" s="44">
        <f>'[2]Simulateur Calculatrice Pos.'!$E$35</f>
        <v>2</v>
      </c>
      <c r="H371" s="45">
        <f>Positions[[#This Row],[Capital]]*Positions[[#This Row],[Evolution du capital par jour en %]]%</f>
        <v>612.17995037574383</v>
      </c>
      <c r="I371" s="46">
        <f>ROUND((((Positions[[#This Row],[Capital]]*Positions[[#This Row],[Evolution du capital par jour en %]]%)/('[2]Simulateur Calculatrice Pos.'!$E$15*'[2]Simulateur Calculatrice Pos.'!$E$24))/'[2]Simulateur Calculatrice Pos.'!$E$21),0)</f>
        <v>51</v>
      </c>
      <c r="J371" s="47">
        <f>IFERROR(IF(D371=5,((Positions[[#This Row],[Capital]]-F367)-K371),0),)</f>
        <v>0</v>
      </c>
      <c r="K371" s="48">
        <f>IFERROR(IF(D371=5,IF($B$6="Aucun retrait",0,IF($B$6=75%,(Positions[[#This Row],[Capital]]-F367)*75%)),0),)</f>
        <v>0</v>
      </c>
    </row>
    <row r="372" spans="4:11" ht="15.75" hidden="1" x14ac:dyDescent="0.25">
      <c r="D372" s="32">
        <f>WEEKDAY(Positions[[#This Row],[Jous / Séances de trading]],2)</f>
        <v>2</v>
      </c>
      <c r="E372" s="49">
        <f t="shared" si="10"/>
        <v>44859</v>
      </c>
      <c r="F372" s="50">
        <f t="shared" si="11"/>
        <v>31221.177469162933</v>
      </c>
      <c r="G372" s="44">
        <f>'[2]Simulateur Calculatrice Pos.'!$E$35</f>
        <v>2</v>
      </c>
      <c r="H372" s="45">
        <f>Positions[[#This Row],[Capital]]*Positions[[#This Row],[Evolution du capital par jour en %]]%</f>
        <v>624.42354938325866</v>
      </c>
      <c r="I372" s="46">
        <f>ROUND((((Positions[[#This Row],[Capital]]*Positions[[#This Row],[Evolution du capital par jour en %]]%)/('[2]Simulateur Calculatrice Pos.'!$E$15*'[2]Simulateur Calculatrice Pos.'!$E$24))/'[2]Simulateur Calculatrice Pos.'!$E$21),0)</f>
        <v>52</v>
      </c>
      <c r="J372" s="47">
        <f>IFERROR(IF(D372=5,((Positions[[#This Row],[Capital]]-F368)-K372),0),)</f>
        <v>0</v>
      </c>
      <c r="K372" s="48">
        <f>IFERROR(IF(D372=5,IF($B$6="Aucun retrait",0,IF($B$6=75%,(Positions[[#This Row],[Capital]]-F368)*75%)),0),)</f>
        <v>0</v>
      </c>
    </row>
    <row r="373" spans="4:11" ht="15.75" hidden="1" x14ac:dyDescent="0.25">
      <c r="D373" s="32">
        <f>WEEKDAY(Positions[[#This Row],[Jous / Séances de trading]],2)</f>
        <v>3</v>
      </c>
      <c r="E373" s="49">
        <f t="shared" si="10"/>
        <v>44860</v>
      </c>
      <c r="F373" s="50">
        <f t="shared" si="11"/>
        <v>31845.601018546193</v>
      </c>
      <c r="G373" s="44">
        <f>'[2]Simulateur Calculatrice Pos.'!$E$35</f>
        <v>2</v>
      </c>
      <c r="H373" s="45">
        <f>Positions[[#This Row],[Capital]]*Positions[[#This Row],[Evolution du capital par jour en %]]%</f>
        <v>636.91202037092387</v>
      </c>
      <c r="I373" s="46">
        <f>ROUND((((Positions[[#This Row],[Capital]]*Positions[[#This Row],[Evolution du capital par jour en %]]%)/('[2]Simulateur Calculatrice Pos.'!$E$15*'[2]Simulateur Calculatrice Pos.'!$E$24))/'[2]Simulateur Calculatrice Pos.'!$E$21),0)</f>
        <v>53</v>
      </c>
      <c r="J373" s="47">
        <f>IFERROR(IF(D373=5,((Positions[[#This Row],[Capital]]-F369)-K373),0),)</f>
        <v>0</v>
      </c>
      <c r="K373" s="48">
        <f>IFERROR(IF(D373=5,IF($B$6="Aucun retrait",0,IF($B$6=75%,(Positions[[#This Row],[Capital]]-F369)*75%)),0),)</f>
        <v>0</v>
      </c>
    </row>
    <row r="374" spans="4:11" ht="15.75" hidden="1" x14ac:dyDescent="0.25">
      <c r="D374" s="32">
        <f>WEEKDAY(Positions[[#This Row],[Jous / Séances de trading]],2)</f>
        <v>4</v>
      </c>
      <c r="E374" s="49">
        <f t="shared" si="10"/>
        <v>44861</v>
      </c>
      <c r="F374" s="50">
        <f t="shared" si="11"/>
        <v>32482.513038917117</v>
      </c>
      <c r="G374" s="44">
        <f>'[2]Simulateur Calculatrice Pos.'!$E$35</f>
        <v>2</v>
      </c>
      <c r="H374" s="45">
        <f>Positions[[#This Row],[Capital]]*Positions[[#This Row],[Evolution du capital par jour en %]]%</f>
        <v>649.65026077834239</v>
      </c>
      <c r="I374" s="46">
        <f>ROUND((((Positions[[#This Row],[Capital]]*Positions[[#This Row],[Evolution du capital par jour en %]]%)/('[2]Simulateur Calculatrice Pos.'!$E$15*'[2]Simulateur Calculatrice Pos.'!$E$24))/'[2]Simulateur Calculatrice Pos.'!$E$21),0)</f>
        <v>54</v>
      </c>
      <c r="J374" s="47">
        <f>IFERROR(IF(D374=5,((Positions[[#This Row],[Capital]]-F370)-K374),0),)</f>
        <v>0</v>
      </c>
      <c r="K374" s="48">
        <f>IFERROR(IF(D374=5,IF($B$6="Aucun retrait",0,IF($B$6=75%,(Positions[[#This Row],[Capital]]-F370)*75%)),0),)</f>
        <v>0</v>
      </c>
    </row>
    <row r="375" spans="4:11" ht="15.75" hidden="1" x14ac:dyDescent="0.25">
      <c r="D375" s="32">
        <f>WEEKDAY(Positions[[#This Row],[Jous / Séances de trading]],2)</f>
        <v>5</v>
      </c>
      <c r="E375" s="49">
        <f t="shared" si="10"/>
        <v>44862</v>
      </c>
      <c r="F375" s="50">
        <f t="shared" si="11"/>
        <v>33132.163299695458</v>
      </c>
      <c r="G375" s="44">
        <f>'[2]Simulateur Calculatrice Pos.'!$E$35</f>
        <v>2</v>
      </c>
      <c r="H375" s="45">
        <f>Positions[[#This Row],[Capital]]*Positions[[#This Row],[Evolution du capital par jour en %]]%</f>
        <v>662.64326599390915</v>
      </c>
      <c r="I375" s="46">
        <f>ROUND((((Positions[[#This Row],[Capital]]*Positions[[#This Row],[Evolution du capital par jour en %]]%)/('[2]Simulateur Calculatrice Pos.'!$E$15*'[2]Simulateur Calculatrice Pos.'!$E$24))/'[2]Simulateur Calculatrice Pos.'!$E$21),0)</f>
        <v>55</v>
      </c>
      <c r="J375" s="47">
        <f>IFERROR(IF(D375=5,((Positions[[#This Row],[Capital]]-F371)-K375),0),)</f>
        <v>630.79144522706702</v>
      </c>
      <c r="K375" s="48">
        <f>IFERROR(IF(D375=5,IF($B$6="Aucun retrait",0,IF($B$6=75%,(Positions[[#This Row],[Capital]]-F371)*75%)),0),)</f>
        <v>1892.374335681201</v>
      </c>
    </row>
    <row r="376" spans="4:11" ht="15.75" hidden="1" x14ac:dyDescent="0.25">
      <c r="D376" s="32">
        <f>WEEKDAY(Positions[[#This Row],[Jous / Séances de trading]],2)</f>
        <v>1</v>
      </c>
      <c r="E376" s="49">
        <f t="shared" si="10"/>
        <v>44865</v>
      </c>
      <c r="F376" s="50">
        <f t="shared" si="11"/>
        <v>31902.432230008166</v>
      </c>
      <c r="G376" s="44">
        <f>'[2]Simulateur Calculatrice Pos.'!$E$35</f>
        <v>2</v>
      </c>
      <c r="H376" s="45">
        <f>Positions[[#This Row],[Capital]]*Positions[[#This Row],[Evolution du capital par jour en %]]%</f>
        <v>638.04864460016336</v>
      </c>
      <c r="I376" s="46">
        <f>ROUND((((Positions[[#This Row],[Capital]]*Positions[[#This Row],[Evolution du capital par jour en %]]%)/('[2]Simulateur Calculatrice Pos.'!$E$15*'[2]Simulateur Calculatrice Pos.'!$E$24))/'[2]Simulateur Calculatrice Pos.'!$E$21),0)</f>
        <v>53</v>
      </c>
      <c r="J376" s="47">
        <f>IFERROR(IF(D376=5,((Positions[[#This Row],[Capital]]-F372)-K376),0),)</f>
        <v>0</v>
      </c>
      <c r="K376" s="48">
        <f>IFERROR(IF(D376=5,IF($B$6="Aucun retrait",0,IF($B$6=75%,(Positions[[#This Row],[Capital]]-F372)*75%)),0),)</f>
        <v>0</v>
      </c>
    </row>
    <row r="377" spans="4:11" ht="15.75" hidden="1" x14ac:dyDescent="0.25">
      <c r="D377" s="32">
        <f>WEEKDAY(Positions[[#This Row],[Jous / Séances de trading]],2)</f>
        <v>2</v>
      </c>
      <c r="E377" s="49">
        <f t="shared" si="10"/>
        <v>44866</v>
      </c>
      <c r="F377" s="50">
        <f t="shared" si="11"/>
        <v>32540.480874608329</v>
      </c>
      <c r="G377" s="44">
        <f>'[2]Simulateur Calculatrice Pos.'!$E$35</f>
        <v>2</v>
      </c>
      <c r="H377" s="45">
        <f>Positions[[#This Row],[Capital]]*Positions[[#This Row],[Evolution du capital par jour en %]]%</f>
        <v>650.80961749216658</v>
      </c>
      <c r="I377" s="46">
        <f>ROUND((((Positions[[#This Row],[Capital]]*Positions[[#This Row],[Evolution du capital par jour en %]]%)/('[2]Simulateur Calculatrice Pos.'!$E$15*'[2]Simulateur Calculatrice Pos.'!$E$24))/'[2]Simulateur Calculatrice Pos.'!$E$21),0)</f>
        <v>54</v>
      </c>
      <c r="J377" s="47">
        <f>IFERROR(IF(D377=5,((Positions[[#This Row],[Capital]]-F373)-K377),0),)</f>
        <v>0</v>
      </c>
      <c r="K377" s="48">
        <f>IFERROR(IF(D377=5,IF($B$6="Aucun retrait",0,IF($B$6=75%,(Positions[[#This Row],[Capital]]-F373)*75%)),0),)</f>
        <v>0</v>
      </c>
    </row>
    <row r="378" spans="4:11" ht="15.75" hidden="1" x14ac:dyDescent="0.25">
      <c r="D378" s="32">
        <f>WEEKDAY(Positions[[#This Row],[Jous / Séances de trading]],2)</f>
        <v>3</v>
      </c>
      <c r="E378" s="49">
        <f t="shared" si="10"/>
        <v>44867</v>
      </c>
      <c r="F378" s="50">
        <f t="shared" si="11"/>
        <v>33191.290492100496</v>
      </c>
      <c r="G378" s="44">
        <f>'[2]Simulateur Calculatrice Pos.'!$E$35</f>
        <v>2</v>
      </c>
      <c r="H378" s="45">
        <f>Positions[[#This Row],[Capital]]*Positions[[#This Row],[Evolution du capital par jour en %]]%</f>
        <v>663.8258098420099</v>
      </c>
      <c r="I378" s="46">
        <f>ROUND((((Positions[[#This Row],[Capital]]*Positions[[#This Row],[Evolution du capital par jour en %]]%)/('[2]Simulateur Calculatrice Pos.'!$E$15*'[2]Simulateur Calculatrice Pos.'!$E$24))/'[2]Simulateur Calculatrice Pos.'!$E$21),0)</f>
        <v>55</v>
      </c>
      <c r="J378" s="47">
        <f>IFERROR(IF(D378=5,((Positions[[#This Row],[Capital]]-F374)-K378),0),)</f>
        <v>0</v>
      </c>
      <c r="K378" s="48">
        <f>IFERROR(IF(D378=5,IF($B$6="Aucun retrait",0,IF($B$6=75%,(Positions[[#This Row],[Capital]]-F374)*75%)),0),)</f>
        <v>0</v>
      </c>
    </row>
    <row r="379" spans="4:11" ht="15.75" hidden="1" x14ac:dyDescent="0.25">
      <c r="D379" s="32">
        <f>WEEKDAY(Positions[[#This Row],[Jous / Séances de trading]],2)</f>
        <v>4</v>
      </c>
      <c r="E379" s="49">
        <f t="shared" si="10"/>
        <v>44868</v>
      </c>
      <c r="F379" s="50">
        <f t="shared" si="11"/>
        <v>33855.116301942508</v>
      </c>
      <c r="G379" s="44">
        <f>'[2]Simulateur Calculatrice Pos.'!$E$35</f>
        <v>2</v>
      </c>
      <c r="H379" s="45">
        <f>Positions[[#This Row],[Capital]]*Positions[[#This Row],[Evolution du capital par jour en %]]%</f>
        <v>677.10232603885015</v>
      </c>
      <c r="I379" s="46">
        <f>ROUND((((Positions[[#This Row],[Capital]]*Positions[[#This Row],[Evolution du capital par jour en %]]%)/('[2]Simulateur Calculatrice Pos.'!$E$15*'[2]Simulateur Calculatrice Pos.'!$E$24))/'[2]Simulateur Calculatrice Pos.'!$E$21),0)</f>
        <v>56</v>
      </c>
      <c r="J379" s="47">
        <f>IFERROR(IF(D379=5,((Positions[[#This Row],[Capital]]-F375)-K379),0),)</f>
        <v>0</v>
      </c>
      <c r="K379" s="48">
        <f>IFERROR(IF(D379=5,IF($B$6="Aucun retrait",0,IF($B$6=75%,(Positions[[#This Row],[Capital]]-F375)*75%)),0),)</f>
        <v>0</v>
      </c>
    </row>
    <row r="380" spans="4:11" ht="15.75" hidden="1" x14ac:dyDescent="0.25">
      <c r="D380" s="32">
        <f>WEEKDAY(Positions[[#This Row],[Jous / Séances de trading]],2)</f>
        <v>5</v>
      </c>
      <c r="E380" s="49">
        <f t="shared" si="10"/>
        <v>44869</v>
      </c>
      <c r="F380" s="50">
        <f t="shared" si="11"/>
        <v>34532.218627981361</v>
      </c>
      <c r="G380" s="44">
        <f>'[2]Simulateur Calculatrice Pos.'!$E$35</f>
        <v>2</v>
      </c>
      <c r="H380" s="45">
        <f>Positions[[#This Row],[Capital]]*Positions[[#This Row],[Evolution du capital par jour en %]]%</f>
        <v>690.64437255962719</v>
      </c>
      <c r="I380" s="46">
        <f>ROUND((((Positions[[#This Row],[Capital]]*Positions[[#This Row],[Evolution du capital par jour en %]]%)/('[2]Simulateur Calculatrice Pos.'!$E$15*'[2]Simulateur Calculatrice Pos.'!$E$24))/'[2]Simulateur Calculatrice Pos.'!$E$21),0)</f>
        <v>58</v>
      </c>
      <c r="J380" s="47">
        <f>IFERROR(IF(D380=5,((Positions[[#This Row],[Capital]]-F376)-K380),0),)</f>
        <v>657.44659949329889</v>
      </c>
      <c r="K380" s="48">
        <f>IFERROR(IF(D380=5,IF($B$6="Aucun retrait",0,IF($B$6=75%,(Positions[[#This Row],[Capital]]-F376)*75%)),0),)</f>
        <v>1972.3397984798967</v>
      </c>
    </row>
    <row r="381" spans="4:11" ht="15.75" hidden="1" x14ac:dyDescent="0.25">
      <c r="D381" s="32">
        <f>WEEKDAY(Positions[[#This Row],[Jous / Séances de trading]],2)</f>
        <v>1</v>
      </c>
      <c r="E381" s="49">
        <f t="shared" si="10"/>
        <v>44872</v>
      </c>
      <c r="F381" s="50">
        <f t="shared" si="11"/>
        <v>33250.523202061093</v>
      </c>
      <c r="G381" s="44">
        <f>'[2]Simulateur Calculatrice Pos.'!$E$35</f>
        <v>2</v>
      </c>
      <c r="H381" s="45">
        <f>Positions[[#This Row],[Capital]]*Positions[[#This Row],[Evolution du capital par jour en %]]%</f>
        <v>665.01046404122189</v>
      </c>
      <c r="I381" s="46">
        <f>ROUND((((Positions[[#This Row],[Capital]]*Positions[[#This Row],[Evolution du capital par jour en %]]%)/('[2]Simulateur Calculatrice Pos.'!$E$15*'[2]Simulateur Calculatrice Pos.'!$E$24))/'[2]Simulateur Calculatrice Pos.'!$E$21),0)</f>
        <v>55</v>
      </c>
      <c r="J381" s="47">
        <f>IFERROR(IF(D381=5,((Positions[[#This Row],[Capital]]-F377)-K381),0),)</f>
        <v>0</v>
      </c>
      <c r="K381" s="48">
        <f>IFERROR(IF(D381=5,IF($B$6="Aucun retrait",0,IF($B$6=75%,(Positions[[#This Row],[Capital]]-F377)*75%)),0),)</f>
        <v>0</v>
      </c>
    </row>
    <row r="382" spans="4:11" ht="15.75" hidden="1" x14ac:dyDescent="0.25">
      <c r="D382" s="32">
        <f>WEEKDAY(Positions[[#This Row],[Jous / Séances de trading]],2)</f>
        <v>2</v>
      </c>
      <c r="E382" s="49">
        <f t="shared" si="10"/>
        <v>44873</v>
      </c>
      <c r="F382" s="50">
        <f t="shared" si="11"/>
        <v>33915.533666102318</v>
      </c>
      <c r="G382" s="44">
        <f>'[2]Simulateur Calculatrice Pos.'!$E$35</f>
        <v>2</v>
      </c>
      <c r="H382" s="45">
        <f>Positions[[#This Row],[Capital]]*Positions[[#This Row],[Evolution du capital par jour en %]]%</f>
        <v>678.31067332204634</v>
      </c>
      <c r="I382" s="46">
        <f>ROUND((((Positions[[#This Row],[Capital]]*Positions[[#This Row],[Evolution du capital par jour en %]]%)/('[2]Simulateur Calculatrice Pos.'!$E$15*'[2]Simulateur Calculatrice Pos.'!$E$24))/'[2]Simulateur Calculatrice Pos.'!$E$21),0)</f>
        <v>57</v>
      </c>
      <c r="J382" s="47">
        <f>IFERROR(IF(D382=5,((Positions[[#This Row],[Capital]]-F378)-K382),0),)</f>
        <v>0</v>
      </c>
      <c r="K382" s="48">
        <f>IFERROR(IF(D382=5,IF($B$6="Aucun retrait",0,IF($B$6=75%,(Positions[[#This Row],[Capital]]-F378)*75%)),0),)</f>
        <v>0</v>
      </c>
    </row>
    <row r="383" spans="4:11" ht="15.75" hidden="1" x14ac:dyDescent="0.25">
      <c r="D383" s="32">
        <f>WEEKDAY(Positions[[#This Row],[Jous / Séances de trading]],2)</f>
        <v>3</v>
      </c>
      <c r="E383" s="49">
        <f t="shared" si="10"/>
        <v>44874</v>
      </c>
      <c r="F383" s="50">
        <f t="shared" si="11"/>
        <v>34593.844339424366</v>
      </c>
      <c r="G383" s="44">
        <f>'[2]Simulateur Calculatrice Pos.'!$E$35</f>
        <v>2</v>
      </c>
      <c r="H383" s="45">
        <f>Positions[[#This Row],[Capital]]*Positions[[#This Row],[Evolution du capital par jour en %]]%</f>
        <v>691.87688678848735</v>
      </c>
      <c r="I383" s="46">
        <f>ROUND((((Positions[[#This Row],[Capital]]*Positions[[#This Row],[Evolution du capital par jour en %]]%)/('[2]Simulateur Calculatrice Pos.'!$E$15*'[2]Simulateur Calculatrice Pos.'!$E$24))/'[2]Simulateur Calculatrice Pos.'!$E$21),0)</f>
        <v>58</v>
      </c>
      <c r="J383" s="47">
        <f>IFERROR(IF(D383=5,((Positions[[#This Row],[Capital]]-F379)-K383),0),)</f>
        <v>0</v>
      </c>
      <c r="K383" s="48">
        <f>IFERROR(IF(D383=5,IF($B$6="Aucun retrait",0,IF($B$6=75%,(Positions[[#This Row],[Capital]]-F379)*75%)),0),)</f>
        <v>0</v>
      </c>
    </row>
    <row r="384" spans="4:11" ht="15.75" hidden="1" x14ac:dyDescent="0.25">
      <c r="D384" s="32">
        <f>WEEKDAY(Positions[[#This Row],[Jous / Séances de trading]],2)</f>
        <v>4</v>
      </c>
      <c r="E384" s="49">
        <f t="shared" si="10"/>
        <v>44875</v>
      </c>
      <c r="F384" s="50">
        <f t="shared" si="11"/>
        <v>35285.721226212852</v>
      </c>
      <c r="G384" s="44">
        <f>'[2]Simulateur Calculatrice Pos.'!$E$35</f>
        <v>2</v>
      </c>
      <c r="H384" s="45">
        <f>Positions[[#This Row],[Capital]]*Positions[[#This Row],[Evolution du capital par jour en %]]%</f>
        <v>705.71442452425708</v>
      </c>
      <c r="I384" s="46">
        <f>ROUND((((Positions[[#This Row],[Capital]]*Positions[[#This Row],[Evolution du capital par jour en %]]%)/('[2]Simulateur Calculatrice Pos.'!$E$15*'[2]Simulateur Calculatrice Pos.'!$E$24))/'[2]Simulateur Calculatrice Pos.'!$E$21),0)</f>
        <v>59</v>
      </c>
      <c r="J384" s="47">
        <f>IFERROR(IF(D384=5,((Positions[[#This Row],[Capital]]-F380)-K384),0),)</f>
        <v>0</v>
      </c>
      <c r="K384" s="48">
        <f>IFERROR(IF(D384=5,IF($B$6="Aucun retrait",0,IF($B$6=75%,(Positions[[#This Row],[Capital]]-F380)*75%)),0),)</f>
        <v>0</v>
      </c>
    </row>
    <row r="385" spans="4:11" ht="15.75" hidden="1" x14ac:dyDescent="0.25">
      <c r="D385" s="32">
        <f>WEEKDAY(Positions[[#This Row],[Jous / Séances de trading]],2)</f>
        <v>5</v>
      </c>
      <c r="E385" s="49">
        <f t="shared" si="10"/>
        <v>44876</v>
      </c>
      <c r="F385" s="50">
        <f t="shared" si="11"/>
        <v>35991.435650737112</v>
      </c>
      <c r="G385" s="44">
        <f>'[2]Simulateur Calculatrice Pos.'!$E$35</f>
        <v>2</v>
      </c>
      <c r="H385" s="45">
        <f>Positions[[#This Row],[Capital]]*Positions[[#This Row],[Evolution du capital par jour en %]]%</f>
        <v>719.82871301474222</v>
      </c>
      <c r="I385" s="46">
        <f>ROUND((((Positions[[#This Row],[Capital]]*Positions[[#This Row],[Evolution du capital par jour en %]]%)/('[2]Simulateur Calculatrice Pos.'!$E$15*'[2]Simulateur Calculatrice Pos.'!$E$24))/'[2]Simulateur Calculatrice Pos.'!$E$21),0)</f>
        <v>60</v>
      </c>
      <c r="J385" s="47">
        <f>IFERROR(IF(D385=5,((Positions[[#This Row],[Capital]]-F381)-K385),0),)</f>
        <v>685.22811216900482</v>
      </c>
      <c r="K385" s="48">
        <f>IFERROR(IF(D385=5,IF($B$6="Aucun retrait",0,IF($B$6=75%,(Positions[[#This Row],[Capital]]-F381)*75%)),0),)</f>
        <v>2055.6843365070145</v>
      </c>
    </row>
    <row r="386" spans="4:11" ht="15.75" hidden="1" x14ac:dyDescent="0.25">
      <c r="D386" s="32">
        <f>WEEKDAY(Positions[[#This Row],[Jous / Séances de trading]],2)</f>
        <v>1</v>
      </c>
      <c r="E386" s="49">
        <f t="shared" si="10"/>
        <v>44879</v>
      </c>
      <c r="F386" s="50">
        <f t="shared" si="11"/>
        <v>34655.58002724484</v>
      </c>
      <c r="G386" s="44">
        <f>'[2]Simulateur Calculatrice Pos.'!$E$35</f>
        <v>2</v>
      </c>
      <c r="H386" s="45">
        <f>Positions[[#This Row],[Capital]]*Positions[[#This Row],[Evolution du capital par jour en %]]%</f>
        <v>693.11160054489676</v>
      </c>
      <c r="I386" s="46">
        <f>ROUND((((Positions[[#This Row],[Capital]]*Positions[[#This Row],[Evolution du capital par jour en %]]%)/('[2]Simulateur Calculatrice Pos.'!$E$15*'[2]Simulateur Calculatrice Pos.'!$E$24))/'[2]Simulateur Calculatrice Pos.'!$E$21),0)</f>
        <v>58</v>
      </c>
      <c r="J386" s="47">
        <f>IFERROR(IF(D386=5,((Positions[[#This Row],[Capital]]-F382)-K386),0),)</f>
        <v>0</v>
      </c>
      <c r="K386" s="48">
        <f>IFERROR(IF(D386=5,IF($B$6="Aucun retrait",0,IF($B$6=75%,(Positions[[#This Row],[Capital]]-F382)*75%)),0),)</f>
        <v>0</v>
      </c>
    </row>
    <row r="387" spans="4:11" ht="15.75" hidden="1" x14ac:dyDescent="0.25">
      <c r="D387" s="32">
        <f>WEEKDAY(Positions[[#This Row],[Jous / Séances de trading]],2)</f>
        <v>2</v>
      </c>
      <c r="E387" s="49">
        <f t="shared" si="10"/>
        <v>44880</v>
      </c>
      <c r="F387" s="50">
        <f t="shared" si="11"/>
        <v>35348.69162778974</v>
      </c>
      <c r="G387" s="44">
        <f>'[2]Simulateur Calculatrice Pos.'!$E$35</f>
        <v>2</v>
      </c>
      <c r="H387" s="45">
        <f>Positions[[#This Row],[Capital]]*Positions[[#This Row],[Evolution du capital par jour en %]]%</f>
        <v>706.97383255579484</v>
      </c>
      <c r="I387" s="46">
        <f>ROUND((((Positions[[#This Row],[Capital]]*Positions[[#This Row],[Evolution du capital par jour en %]]%)/('[2]Simulateur Calculatrice Pos.'!$E$15*'[2]Simulateur Calculatrice Pos.'!$E$24))/'[2]Simulateur Calculatrice Pos.'!$E$21),0)</f>
        <v>59</v>
      </c>
      <c r="J387" s="47">
        <f>IFERROR(IF(D387=5,((Positions[[#This Row],[Capital]]-F383)-K387),0),)</f>
        <v>0</v>
      </c>
      <c r="K387" s="48">
        <f>IFERROR(IF(D387=5,IF($B$6="Aucun retrait",0,IF($B$6=75%,(Positions[[#This Row],[Capital]]-F383)*75%)),0),)</f>
        <v>0</v>
      </c>
    </row>
    <row r="388" spans="4:11" ht="15.75" hidden="1" x14ac:dyDescent="0.25">
      <c r="D388" s="32">
        <f>WEEKDAY(Positions[[#This Row],[Jous / Séances de trading]],2)</f>
        <v>3</v>
      </c>
      <c r="E388" s="49">
        <f t="shared" si="10"/>
        <v>44881</v>
      </c>
      <c r="F388" s="50">
        <f t="shared" si="11"/>
        <v>36055.665460345532</v>
      </c>
      <c r="G388" s="44">
        <f>'[2]Simulateur Calculatrice Pos.'!$E$35</f>
        <v>2</v>
      </c>
      <c r="H388" s="45">
        <f>Positions[[#This Row],[Capital]]*Positions[[#This Row],[Evolution du capital par jour en %]]%</f>
        <v>721.11330920691069</v>
      </c>
      <c r="I388" s="46">
        <f>ROUND((((Positions[[#This Row],[Capital]]*Positions[[#This Row],[Evolution du capital par jour en %]]%)/('[2]Simulateur Calculatrice Pos.'!$E$15*'[2]Simulateur Calculatrice Pos.'!$E$24))/'[2]Simulateur Calculatrice Pos.'!$E$21),0)</f>
        <v>60</v>
      </c>
      <c r="J388" s="47">
        <f>IFERROR(IF(D388=5,((Positions[[#This Row],[Capital]]-F384)-K388),0),)</f>
        <v>0</v>
      </c>
      <c r="K388" s="48">
        <f>IFERROR(IF(D388=5,IF($B$6="Aucun retrait",0,IF($B$6=75%,(Positions[[#This Row],[Capital]]-F384)*75%)),0),)</f>
        <v>0</v>
      </c>
    </row>
    <row r="389" spans="4:11" ht="15.75" hidden="1" x14ac:dyDescent="0.25">
      <c r="D389" s="32">
        <f>WEEKDAY(Positions[[#This Row],[Jous / Séances de trading]],2)</f>
        <v>4</v>
      </c>
      <c r="E389" s="49">
        <f t="shared" si="10"/>
        <v>44882</v>
      </c>
      <c r="F389" s="50">
        <f t="shared" si="11"/>
        <v>36776.778769552446</v>
      </c>
      <c r="G389" s="44">
        <f>'[2]Simulateur Calculatrice Pos.'!$E$35</f>
        <v>2</v>
      </c>
      <c r="H389" s="45">
        <f>Positions[[#This Row],[Capital]]*Positions[[#This Row],[Evolution du capital par jour en %]]%</f>
        <v>735.53557539104895</v>
      </c>
      <c r="I389" s="46">
        <f>ROUND((((Positions[[#This Row],[Capital]]*Positions[[#This Row],[Evolution du capital par jour en %]]%)/('[2]Simulateur Calculatrice Pos.'!$E$15*'[2]Simulateur Calculatrice Pos.'!$E$24))/'[2]Simulateur Calculatrice Pos.'!$E$21),0)</f>
        <v>61</v>
      </c>
      <c r="J389" s="47">
        <f>IFERROR(IF(D389=5,((Positions[[#This Row],[Capital]]-F385)-K389),0),)</f>
        <v>0</v>
      </c>
      <c r="K389" s="48">
        <f>IFERROR(IF(D389=5,IF($B$6="Aucun retrait",0,IF($B$6=75%,(Positions[[#This Row],[Capital]]-F385)*75%)),0),)</f>
        <v>0</v>
      </c>
    </row>
    <row r="390" spans="4:11" ht="15.75" hidden="1" x14ac:dyDescent="0.25">
      <c r="D390" s="32">
        <f>WEEKDAY(Positions[[#This Row],[Jous / Séances de trading]],2)</f>
        <v>5</v>
      </c>
      <c r="E390" s="49">
        <f t="shared" si="10"/>
        <v>44883</v>
      </c>
      <c r="F390" s="50">
        <f t="shared" si="11"/>
        <v>37512.314344943494</v>
      </c>
      <c r="G390" s="44">
        <f>'[2]Simulateur Calculatrice Pos.'!$E$35</f>
        <v>2</v>
      </c>
      <c r="H390" s="45">
        <f>Positions[[#This Row],[Capital]]*Positions[[#This Row],[Evolution du capital par jour en %]]%</f>
        <v>750.24628689886993</v>
      </c>
      <c r="I390" s="46">
        <f>ROUND((((Positions[[#This Row],[Capital]]*Positions[[#This Row],[Evolution du capital par jour en %]]%)/('[2]Simulateur Calculatrice Pos.'!$E$15*'[2]Simulateur Calculatrice Pos.'!$E$24))/'[2]Simulateur Calculatrice Pos.'!$E$21),0)</f>
        <v>63</v>
      </c>
      <c r="J390" s="47">
        <f>IFERROR(IF(D390=5,((Positions[[#This Row],[Capital]]-F386)-K390),0),)</f>
        <v>714.18357942466355</v>
      </c>
      <c r="K390" s="48">
        <f>IFERROR(IF(D390=5,IF($B$6="Aucun retrait",0,IF($B$6=75%,(Positions[[#This Row],[Capital]]-F386)*75%)),0),)</f>
        <v>2142.5507382739906</v>
      </c>
    </row>
    <row r="391" spans="4:11" ht="15.75" hidden="1" x14ac:dyDescent="0.25">
      <c r="D391" s="32">
        <f>WEEKDAY(Positions[[#This Row],[Jous / Séances de trading]],2)</f>
        <v>1</v>
      </c>
      <c r="E391" s="49">
        <f t="shared" si="10"/>
        <v>44886</v>
      </c>
      <c r="F391" s="50">
        <f t="shared" si="11"/>
        <v>36120.009893568378</v>
      </c>
      <c r="G391" s="44">
        <f>'[2]Simulateur Calculatrice Pos.'!$E$35</f>
        <v>2</v>
      </c>
      <c r="H391" s="45">
        <f>Positions[[#This Row],[Capital]]*Positions[[#This Row],[Evolution du capital par jour en %]]%</f>
        <v>722.4001978713676</v>
      </c>
      <c r="I391" s="46">
        <f>ROUND((((Positions[[#This Row],[Capital]]*Positions[[#This Row],[Evolution du capital par jour en %]]%)/('[2]Simulateur Calculatrice Pos.'!$E$15*'[2]Simulateur Calculatrice Pos.'!$E$24))/'[2]Simulateur Calculatrice Pos.'!$E$21),0)</f>
        <v>60</v>
      </c>
      <c r="J391" s="47">
        <f>IFERROR(IF(D391=5,((Positions[[#This Row],[Capital]]-F387)-K391),0),)</f>
        <v>0</v>
      </c>
      <c r="K391" s="48">
        <f>IFERROR(IF(D391=5,IF($B$6="Aucun retrait",0,IF($B$6=75%,(Positions[[#This Row],[Capital]]-F387)*75%)),0),)</f>
        <v>0</v>
      </c>
    </row>
    <row r="392" spans="4:11" ht="15.75" hidden="1" x14ac:dyDescent="0.25">
      <c r="D392" s="32">
        <f>WEEKDAY(Positions[[#This Row],[Jous / Séances de trading]],2)</f>
        <v>2</v>
      </c>
      <c r="E392" s="49">
        <f t="shared" si="10"/>
        <v>44887</v>
      </c>
      <c r="F392" s="50">
        <f t="shared" si="11"/>
        <v>36842.410091439742</v>
      </c>
      <c r="G392" s="44">
        <f>'[2]Simulateur Calculatrice Pos.'!$E$35</f>
        <v>2</v>
      </c>
      <c r="H392" s="45">
        <f>Positions[[#This Row],[Capital]]*Positions[[#This Row],[Evolution du capital par jour en %]]%</f>
        <v>736.84820182879491</v>
      </c>
      <c r="I392" s="46">
        <f>ROUND((((Positions[[#This Row],[Capital]]*Positions[[#This Row],[Evolution du capital par jour en %]]%)/('[2]Simulateur Calculatrice Pos.'!$E$15*'[2]Simulateur Calculatrice Pos.'!$E$24))/'[2]Simulateur Calculatrice Pos.'!$E$21),0)</f>
        <v>61</v>
      </c>
      <c r="J392" s="47">
        <f>IFERROR(IF(D392=5,((Positions[[#This Row],[Capital]]-F388)-K392),0),)</f>
        <v>0</v>
      </c>
      <c r="K392" s="48">
        <f>IFERROR(IF(D392=5,IF($B$6="Aucun retrait",0,IF($B$6=75%,(Positions[[#This Row],[Capital]]-F388)*75%)),0),)</f>
        <v>0</v>
      </c>
    </row>
    <row r="393" spans="4:11" ht="15.75" hidden="1" x14ac:dyDescent="0.25">
      <c r="D393" s="32">
        <f>WEEKDAY(Positions[[#This Row],[Jous / Séances de trading]],2)</f>
        <v>3</v>
      </c>
      <c r="E393" s="49">
        <f t="shared" ref="E393:E421" si="12">WORKDAY(E392,1)</f>
        <v>44888</v>
      </c>
      <c r="F393" s="50">
        <f t="shared" ref="F393:F421" si="13">IF(D393=1,(F392+H392)-K392,F392+H392)</f>
        <v>37579.25829326854</v>
      </c>
      <c r="G393" s="44">
        <f>'[2]Simulateur Calculatrice Pos.'!$E$35</f>
        <v>2</v>
      </c>
      <c r="H393" s="45">
        <f>Positions[[#This Row],[Capital]]*Positions[[#This Row],[Evolution du capital par jour en %]]%</f>
        <v>751.58516586537087</v>
      </c>
      <c r="I393" s="46">
        <f>ROUND((((Positions[[#This Row],[Capital]]*Positions[[#This Row],[Evolution du capital par jour en %]]%)/('[2]Simulateur Calculatrice Pos.'!$E$15*'[2]Simulateur Calculatrice Pos.'!$E$24))/'[2]Simulateur Calculatrice Pos.'!$E$21),0)</f>
        <v>63</v>
      </c>
      <c r="J393" s="47">
        <f>IFERROR(IF(D393=5,((Positions[[#This Row],[Capital]]-F389)-K393),0),)</f>
        <v>0</v>
      </c>
      <c r="K393" s="48">
        <f>IFERROR(IF(D393=5,IF($B$6="Aucun retrait",0,IF($B$6=75%,(Positions[[#This Row],[Capital]]-F389)*75%)),0),)</f>
        <v>0</v>
      </c>
    </row>
    <row r="394" spans="4:11" ht="15.75" hidden="1" x14ac:dyDescent="0.25">
      <c r="D394" s="32">
        <f>WEEKDAY(Positions[[#This Row],[Jous / Séances de trading]],2)</f>
        <v>4</v>
      </c>
      <c r="E394" s="49">
        <f t="shared" si="12"/>
        <v>44889</v>
      </c>
      <c r="F394" s="50">
        <f t="shared" si="13"/>
        <v>38330.84345913391</v>
      </c>
      <c r="G394" s="44">
        <f>'[2]Simulateur Calculatrice Pos.'!$E$35</f>
        <v>2</v>
      </c>
      <c r="H394" s="45">
        <f>Positions[[#This Row],[Capital]]*Positions[[#This Row],[Evolution du capital par jour en %]]%</f>
        <v>766.61686918267822</v>
      </c>
      <c r="I394" s="46">
        <f>ROUND((((Positions[[#This Row],[Capital]]*Positions[[#This Row],[Evolution du capital par jour en %]]%)/('[2]Simulateur Calculatrice Pos.'!$E$15*'[2]Simulateur Calculatrice Pos.'!$E$24))/'[2]Simulateur Calculatrice Pos.'!$E$21),0)</f>
        <v>64</v>
      </c>
      <c r="J394" s="47">
        <f>IFERROR(IF(D394=5,((Positions[[#This Row],[Capital]]-F390)-K394),0),)</f>
        <v>0</v>
      </c>
      <c r="K394" s="48">
        <f>IFERROR(IF(D394=5,IF($B$6="Aucun retrait",0,IF($B$6=75%,(Positions[[#This Row],[Capital]]-F390)*75%)),0),)</f>
        <v>0</v>
      </c>
    </row>
    <row r="395" spans="4:11" ht="15.75" hidden="1" x14ac:dyDescent="0.25">
      <c r="D395" s="32">
        <f>WEEKDAY(Positions[[#This Row],[Jous / Séances de trading]],2)</f>
        <v>5</v>
      </c>
      <c r="E395" s="49">
        <f t="shared" si="12"/>
        <v>44890</v>
      </c>
      <c r="F395" s="50">
        <f t="shared" si="13"/>
        <v>39097.460328316585</v>
      </c>
      <c r="G395" s="44">
        <f>'[2]Simulateur Calculatrice Pos.'!$E$35</f>
        <v>2</v>
      </c>
      <c r="H395" s="45">
        <f>Positions[[#This Row],[Capital]]*Positions[[#This Row],[Evolution du capital par jour en %]]%</f>
        <v>781.94920656633167</v>
      </c>
      <c r="I395" s="46">
        <f>ROUND((((Positions[[#This Row],[Capital]]*Positions[[#This Row],[Evolution du capital par jour en %]]%)/('[2]Simulateur Calculatrice Pos.'!$E$15*'[2]Simulateur Calculatrice Pos.'!$E$24))/'[2]Simulateur Calculatrice Pos.'!$E$21),0)</f>
        <v>65</v>
      </c>
      <c r="J395" s="47">
        <f>IFERROR(IF(D395=5,((Positions[[#This Row],[Capital]]-F391)-K395),0),)</f>
        <v>744.36260868705176</v>
      </c>
      <c r="K395" s="48">
        <f>IFERROR(IF(D395=5,IF($B$6="Aucun retrait",0,IF($B$6=75%,(Positions[[#This Row],[Capital]]-F391)*75%)),0),)</f>
        <v>2233.0878260611553</v>
      </c>
    </row>
    <row r="396" spans="4:11" ht="15.75" hidden="1" x14ac:dyDescent="0.25">
      <c r="D396" s="32">
        <f>WEEKDAY(Positions[[#This Row],[Jous / Séances de trading]],2)</f>
        <v>1</v>
      </c>
      <c r="E396" s="49">
        <f t="shared" si="12"/>
        <v>44893</v>
      </c>
      <c r="F396" s="50">
        <f t="shared" si="13"/>
        <v>37646.321708821757</v>
      </c>
      <c r="G396" s="44">
        <f>'[2]Simulateur Calculatrice Pos.'!$E$35</f>
        <v>2</v>
      </c>
      <c r="H396" s="45">
        <f>Positions[[#This Row],[Capital]]*Positions[[#This Row],[Evolution du capital par jour en %]]%</f>
        <v>752.92643417643512</v>
      </c>
      <c r="I396" s="46">
        <f>ROUND((((Positions[[#This Row],[Capital]]*Positions[[#This Row],[Evolution du capital par jour en %]]%)/('[2]Simulateur Calculatrice Pos.'!$E$15*'[2]Simulateur Calculatrice Pos.'!$E$24))/'[2]Simulateur Calculatrice Pos.'!$E$21),0)</f>
        <v>63</v>
      </c>
      <c r="J396" s="47">
        <f>IFERROR(IF(D396=5,((Positions[[#This Row],[Capital]]-F392)-K396),0),)</f>
        <v>0</v>
      </c>
      <c r="K396" s="48">
        <f>IFERROR(IF(D396=5,IF($B$6="Aucun retrait",0,IF($B$6=75%,(Positions[[#This Row],[Capital]]-F392)*75%)),0),)</f>
        <v>0</v>
      </c>
    </row>
    <row r="397" spans="4:11" ht="15.75" hidden="1" x14ac:dyDescent="0.25">
      <c r="D397" s="32">
        <f>WEEKDAY(Positions[[#This Row],[Jous / Séances de trading]],2)</f>
        <v>2</v>
      </c>
      <c r="E397" s="49">
        <f t="shared" si="12"/>
        <v>44894</v>
      </c>
      <c r="F397" s="50">
        <f t="shared" si="13"/>
        <v>38399.248142998193</v>
      </c>
      <c r="G397" s="44">
        <f>'[2]Simulateur Calculatrice Pos.'!$E$35</f>
        <v>2</v>
      </c>
      <c r="H397" s="45">
        <f>Positions[[#This Row],[Capital]]*Positions[[#This Row],[Evolution du capital par jour en %]]%</f>
        <v>767.98496285996384</v>
      </c>
      <c r="I397" s="46">
        <f>ROUND((((Positions[[#This Row],[Capital]]*Positions[[#This Row],[Evolution du capital par jour en %]]%)/('[2]Simulateur Calculatrice Pos.'!$E$15*'[2]Simulateur Calculatrice Pos.'!$E$24))/'[2]Simulateur Calculatrice Pos.'!$E$21),0)</f>
        <v>64</v>
      </c>
      <c r="J397" s="47">
        <f>IFERROR(IF(D397=5,((Positions[[#This Row],[Capital]]-F393)-K397),0),)</f>
        <v>0</v>
      </c>
      <c r="K397" s="48">
        <f>IFERROR(IF(D397=5,IF($B$6="Aucun retrait",0,IF($B$6=75%,(Positions[[#This Row],[Capital]]-F393)*75%)),0),)</f>
        <v>0</v>
      </c>
    </row>
    <row r="398" spans="4:11" ht="15.75" hidden="1" x14ac:dyDescent="0.25">
      <c r="D398" s="32">
        <f>WEEKDAY(Positions[[#This Row],[Jous / Séances de trading]],2)</f>
        <v>3</v>
      </c>
      <c r="E398" s="49">
        <f t="shared" si="12"/>
        <v>44895</v>
      </c>
      <c r="F398" s="50">
        <f t="shared" si="13"/>
        <v>39167.233105858155</v>
      </c>
      <c r="G398" s="44">
        <f>'[2]Simulateur Calculatrice Pos.'!$E$35</f>
        <v>2</v>
      </c>
      <c r="H398" s="45">
        <f>Positions[[#This Row],[Capital]]*Positions[[#This Row],[Evolution du capital par jour en %]]%</f>
        <v>783.34466211716313</v>
      </c>
      <c r="I398" s="46">
        <f>ROUND((((Positions[[#This Row],[Capital]]*Positions[[#This Row],[Evolution du capital par jour en %]]%)/('[2]Simulateur Calculatrice Pos.'!$E$15*'[2]Simulateur Calculatrice Pos.'!$E$24))/'[2]Simulateur Calculatrice Pos.'!$E$21),0)</f>
        <v>65</v>
      </c>
      <c r="J398" s="47">
        <f>IFERROR(IF(D398=5,((Positions[[#This Row],[Capital]]-F394)-K398),0),)</f>
        <v>0</v>
      </c>
      <c r="K398" s="48">
        <f>IFERROR(IF(D398=5,IF($B$6="Aucun retrait",0,IF($B$6=75%,(Positions[[#This Row],[Capital]]-F394)*75%)),0),)</f>
        <v>0</v>
      </c>
    </row>
    <row r="399" spans="4:11" ht="15.75" hidden="1" x14ac:dyDescent="0.25">
      <c r="D399" s="32">
        <f>WEEKDAY(Positions[[#This Row],[Jous / Séances de trading]],2)</f>
        <v>4</v>
      </c>
      <c r="E399" s="49">
        <f t="shared" si="12"/>
        <v>44896</v>
      </c>
      <c r="F399" s="50">
        <f t="shared" si="13"/>
        <v>39950.577767975316</v>
      </c>
      <c r="G399" s="44">
        <f>'[2]Simulateur Calculatrice Pos.'!$E$35</f>
        <v>2</v>
      </c>
      <c r="H399" s="45">
        <f>Positions[[#This Row],[Capital]]*Positions[[#This Row],[Evolution du capital par jour en %]]%</f>
        <v>799.01155535950636</v>
      </c>
      <c r="I399" s="46">
        <f>ROUND((((Positions[[#This Row],[Capital]]*Positions[[#This Row],[Evolution du capital par jour en %]]%)/('[2]Simulateur Calculatrice Pos.'!$E$15*'[2]Simulateur Calculatrice Pos.'!$E$24))/'[2]Simulateur Calculatrice Pos.'!$E$21),0)</f>
        <v>67</v>
      </c>
      <c r="J399" s="47">
        <f>IFERROR(IF(D399=5,((Positions[[#This Row],[Capital]]-F395)-K399),0),)</f>
        <v>0</v>
      </c>
      <c r="K399" s="48">
        <f>IFERROR(IF(D399=5,IF($B$6="Aucun retrait",0,IF($B$6=75%,(Positions[[#This Row],[Capital]]-F395)*75%)),0),)</f>
        <v>0</v>
      </c>
    </row>
    <row r="400" spans="4:11" ht="15.75" hidden="1" x14ac:dyDescent="0.25">
      <c r="D400" s="32">
        <f>WEEKDAY(Positions[[#This Row],[Jous / Séances de trading]],2)</f>
        <v>5</v>
      </c>
      <c r="E400" s="49">
        <f t="shared" si="12"/>
        <v>44897</v>
      </c>
      <c r="F400" s="50">
        <f t="shared" si="13"/>
        <v>40749.589323334825</v>
      </c>
      <c r="G400" s="44">
        <f>'[2]Simulateur Calculatrice Pos.'!$E$35</f>
        <v>2</v>
      </c>
      <c r="H400" s="45">
        <f>Positions[[#This Row],[Capital]]*Positions[[#This Row],[Evolution du capital par jour en %]]%</f>
        <v>814.99178646669657</v>
      </c>
      <c r="I400" s="46">
        <f>ROUND((((Positions[[#This Row],[Capital]]*Positions[[#This Row],[Evolution du capital par jour en %]]%)/('[2]Simulateur Calculatrice Pos.'!$E$15*'[2]Simulateur Calculatrice Pos.'!$E$24))/'[2]Simulateur Calculatrice Pos.'!$E$21),0)</f>
        <v>68</v>
      </c>
      <c r="J400" s="47">
        <f>IFERROR(IF(D400=5,((Positions[[#This Row],[Capital]]-F396)-K400),0),)</f>
        <v>775.81690362826703</v>
      </c>
      <c r="K400" s="48">
        <f>IFERROR(IF(D400=5,IF($B$6="Aucun retrait",0,IF($B$6=75%,(Positions[[#This Row],[Capital]]-F396)*75%)),0),)</f>
        <v>2327.4507108848011</v>
      </c>
    </row>
    <row r="401" spans="4:18" ht="15.75" hidden="1" x14ac:dyDescent="0.25">
      <c r="D401" s="32">
        <f>WEEKDAY(Positions[[#This Row],[Jous / Séances de trading]],2)</f>
        <v>1</v>
      </c>
      <c r="E401" s="49">
        <f t="shared" si="12"/>
        <v>44900</v>
      </c>
      <c r="F401" s="50">
        <f t="shared" si="13"/>
        <v>39237.130398916721</v>
      </c>
      <c r="G401" s="44">
        <f>'[2]Simulateur Calculatrice Pos.'!$E$35</f>
        <v>2</v>
      </c>
      <c r="H401" s="45">
        <f>Positions[[#This Row],[Capital]]*Positions[[#This Row],[Evolution du capital par jour en %]]%</f>
        <v>784.74260797833449</v>
      </c>
      <c r="I401" s="46">
        <f>ROUND((((Positions[[#This Row],[Capital]]*Positions[[#This Row],[Evolution du capital par jour en %]]%)/('[2]Simulateur Calculatrice Pos.'!$E$15*'[2]Simulateur Calculatrice Pos.'!$E$24))/'[2]Simulateur Calculatrice Pos.'!$E$21),0)</f>
        <v>65</v>
      </c>
      <c r="J401" s="47">
        <f>IFERROR(IF(D401=5,((Positions[[#This Row],[Capital]]-F397)-K401),0),)</f>
        <v>0</v>
      </c>
      <c r="K401" s="48">
        <f>IFERROR(IF(D401=5,IF($B$6="Aucun retrait",0,IF($B$6=75%,(Positions[[#This Row],[Capital]]-F397)*75%)),0),)</f>
        <v>0</v>
      </c>
    </row>
    <row r="402" spans="4:18" ht="15.75" hidden="1" x14ac:dyDescent="0.25">
      <c r="D402" s="32">
        <f>WEEKDAY(Positions[[#This Row],[Jous / Séances de trading]],2)</f>
        <v>2</v>
      </c>
      <c r="E402" s="49">
        <f t="shared" si="12"/>
        <v>44901</v>
      </c>
      <c r="F402" s="50">
        <f t="shared" si="13"/>
        <v>40021.873006895054</v>
      </c>
      <c r="G402" s="44">
        <f>'[2]Simulateur Calculatrice Pos.'!$E$35</f>
        <v>2</v>
      </c>
      <c r="H402" s="45">
        <f>Positions[[#This Row],[Capital]]*Positions[[#This Row],[Evolution du capital par jour en %]]%</f>
        <v>800.4374601379011</v>
      </c>
      <c r="I402" s="46">
        <f>ROUND((((Positions[[#This Row],[Capital]]*Positions[[#This Row],[Evolution du capital par jour en %]]%)/('[2]Simulateur Calculatrice Pos.'!$E$15*'[2]Simulateur Calculatrice Pos.'!$E$24))/'[2]Simulateur Calculatrice Pos.'!$E$21),0)</f>
        <v>67</v>
      </c>
      <c r="J402" s="47">
        <f>IFERROR(IF(D402=5,((Positions[[#This Row],[Capital]]-F398)-K402),0),)</f>
        <v>0</v>
      </c>
      <c r="K402" s="48">
        <f>IFERROR(IF(D402=5,IF($B$6="Aucun retrait",0,IF($B$6=75%,(Positions[[#This Row],[Capital]]-F398)*75%)),0),)</f>
        <v>0</v>
      </c>
    </row>
    <row r="403" spans="4:18" ht="15.75" hidden="1" x14ac:dyDescent="0.25">
      <c r="D403" s="32">
        <f>WEEKDAY(Positions[[#This Row],[Jous / Séances de trading]],2)</f>
        <v>3</v>
      </c>
      <c r="E403" s="49">
        <f t="shared" si="12"/>
        <v>44902</v>
      </c>
      <c r="F403" s="50">
        <f t="shared" si="13"/>
        <v>40822.310467032956</v>
      </c>
      <c r="G403" s="44">
        <f>'[2]Simulateur Calculatrice Pos.'!$E$35</f>
        <v>2</v>
      </c>
      <c r="H403" s="45">
        <f>Positions[[#This Row],[Capital]]*Positions[[#This Row],[Evolution du capital par jour en %]]%</f>
        <v>816.44620934065915</v>
      </c>
      <c r="I403" s="46">
        <f>ROUND((((Positions[[#This Row],[Capital]]*Positions[[#This Row],[Evolution du capital par jour en %]]%)/('[2]Simulateur Calculatrice Pos.'!$E$15*'[2]Simulateur Calculatrice Pos.'!$E$24))/'[2]Simulateur Calculatrice Pos.'!$E$21),0)</f>
        <v>68</v>
      </c>
      <c r="J403" s="47">
        <f>IFERROR(IF(D403=5,((Positions[[#This Row],[Capital]]-F399)-K403),0),)</f>
        <v>0</v>
      </c>
      <c r="K403" s="48">
        <f>IFERROR(IF(D403=5,IF($B$6="Aucun retrait",0,IF($B$6=75%,(Positions[[#This Row],[Capital]]-F399)*75%)),0),)</f>
        <v>0</v>
      </c>
    </row>
    <row r="404" spans="4:18" ht="15.75" hidden="1" x14ac:dyDescent="0.25">
      <c r="D404" s="32">
        <f>WEEKDAY(Positions[[#This Row],[Jous / Séances de trading]],2)</f>
        <v>4</v>
      </c>
      <c r="E404" s="49">
        <f t="shared" si="12"/>
        <v>44903</v>
      </c>
      <c r="F404" s="50">
        <f t="shared" si="13"/>
        <v>41638.756676373618</v>
      </c>
      <c r="G404" s="44">
        <f>'[2]Simulateur Calculatrice Pos.'!$E$35</f>
        <v>2</v>
      </c>
      <c r="H404" s="45">
        <f>Positions[[#This Row],[Capital]]*Positions[[#This Row],[Evolution du capital par jour en %]]%</f>
        <v>832.77513352747235</v>
      </c>
      <c r="I404" s="46">
        <f>ROUND((((Positions[[#This Row],[Capital]]*Positions[[#This Row],[Evolution du capital par jour en %]]%)/('[2]Simulateur Calculatrice Pos.'!$E$15*'[2]Simulateur Calculatrice Pos.'!$E$24))/'[2]Simulateur Calculatrice Pos.'!$E$21),0)</f>
        <v>69</v>
      </c>
      <c r="J404" s="47">
        <f>IFERROR(IF(D404=5,((Positions[[#This Row],[Capital]]-F400)-K404),0),)</f>
        <v>0</v>
      </c>
      <c r="K404" s="48">
        <f>IFERROR(IF(D404=5,IF($B$6="Aucun retrait",0,IF($B$6=75%,(Positions[[#This Row],[Capital]]-F400)*75%)),0),)</f>
        <v>0</v>
      </c>
    </row>
    <row r="405" spans="4:18" ht="15.75" hidden="1" x14ac:dyDescent="0.25">
      <c r="D405" s="32">
        <f>WEEKDAY(Positions[[#This Row],[Jous / Séances de trading]],2)</f>
        <v>5</v>
      </c>
      <c r="E405" s="49">
        <f t="shared" si="12"/>
        <v>44904</v>
      </c>
      <c r="F405" s="50">
        <f t="shared" si="13"/>
        <v>42471.531809901091</v>
      </c>
      <c r="G405" s="44">
        <f>'[2]Simulateur Calculatrice Pos.'!$E$35</f>
        <v>2</v>
      </c>
      <c r="H405" s="45">
        <f>Positions[[#This Row],[Capital]]*Positions[[#This Row],[Evolution du capital par jour en %]]%</f>
        <v>849.43063619802183</v>
      </c>
      <c r="I405" s="46">
        <f>ROUND((((Positions[[#This Row],[Capital]]*Positions[[#This Row],[Evolution du capital par jour en %]]%)/('[2]Simulateur Calculatrice Pos.'!$E$15*'[2]Simulateur Calculatrice Pos.'!$E$24))/'[2]Simulateur Calculatrice Pos.'!$E$21),0)</f>
        <v>71</v>
      </c>
      <c r="J405" s="47">
        <f>IFERROR(IF(D405=5,((Positions[[#This Row],[Capital]]-F401)-K405),0),)</f>
        <v>808.60035274609254</v>
      </c>
      <c r="K405" s="48">
        <f>IFERROR(IF(D405=5,IF($B$6="Aucun retrait",0,IF($B$6=75%,(Positions[[#This Row],[Capital]]-F401)*75%)),0),)</f>
        <v>2425.8010582382776</v>
      </c>
    </row>
    <row r="406" spans="4:18" ht="15.75" hidden="1" x14ac:dyDescent="0.25">
      <c r="D406" s="32">
        <f>WEEKDAY(Positions[[#This Row],[Jous / Séances de trading]],2)</f>
        <v>1</v>
      </c>
      <c r="E406" s="49">
        <f t="shared" si="12"/>
        <v>44907</v>
      </c>
      <c r="F406" s="50">
        <f t="shared" si="13"/>
        <v>40895.161387860833</v>
      </c>
      <c r="G406" s="44">
        <f>'[2]Simulateur Calculatrice Pos.'!$E$35</f>
        <v>2</v>
      </c>
      <c r="H406" s="45">
        <f>Positions[[#This Row],[Capital]]*Positions[[#This Row],[Evolution du capital par jour en %]]%</f>
        <v>817.90322775721665</v>
      </c>
      <c r="I406" s="46">
        <f>ROUND((((Positions[[#This Row],[Capital]]*Positions[[#This Row],[Evolution du capital par jour en %]]%)/('[2]Simulateur Calculatrice Pos.'!$E$15*'[2]Simulateur Calculatrice Pos.'!$E$24))/'[2]Simulateur Calculatrice Pos.'!$E$21),0)</f>
        <v>68</v>
      </c>
      <c r="J406" s="47">
        <f>IFERROR(IF(D406=5,((Positions[[#This Row],[Capital]]-F402)-K406),0),)</f>
        <v>0</v>
      </c>
      <c r="K406" s="48">
        <f>IFERROR(IF(D406=5,IF($B$6="Aucun retrait",0,IF($B$6=75%,(Positions[[#This Row],[Capital]]-F402)*75%)),0),)</f>
        <v>0</v>
      </c>
    </row>
    <row r="407" spans="4:18" ht="15.75" hidden="1" x14ac:dyDescent="0.25">
      <c r="D407" s="32">
        <f>WEEKDAY(Positions[[#This Row],[Jous / Séances de trading]],2)</f>
        <v>2</v>
      </c>
      <c r="E407" s="49">
        <f t="shared" si="12"/>
        <v>44908</v>
      </c>
      <c r="F407" s="50">
        <f t="shared" si="13"/>
        <v>41713.064615618052</v>
      </c>
      <c r="G407" s="44">
        <f>'[2]Simulateur Calculatrice Pos.'!$E$35</f>
        <v>2</v>
      </c>
      <c r="H407" s="45">
        <f>Positions[[#This Row],[Capital]]*Positions[[#This Row],[Evolution du capital par jour en %]]%</f>
        <v>834.26129231236109</v>
      </c>
      <c r="I407" s="46">
        <f>ROUND((((Positions[[#This Row],[Capital]]*Positions[[#This Row],[Evolution du capital par jour en %]]%)/('[2]Simulateur Calculatrice Pos.'!$E$15*'[2]Simulateur Calculatrice Pos.'!$E$24))/'[2]Simulateur Calculatrice Pos.'!$E$21),0)</f>
        <v>70</v>
      </c>
      <c r="J407" s="47">
        <f>IFERROR(IF(D407=5,((Positions[[#This Row],[Capital]]-F403)-K407),0),)</f>
        <v>0</v>
      </c>
      <c r="K407" s="48">
        <f>IFERROR(IF(D407=5,IF($B$6="Aucun retrait",0,IF($B$6=75%,(Positions[[#This Row],[Capital]]-F403)*75%)),0),)</f>
        <v>0</v>
      </c>
    </row>
    <row r="408" spans="4:18" ht="15.75" hidden="1" x14ac:dyDescent="0.25">
      <c r="D408" s="32">
        <f>WEEKDAY(Positions[[#This Row],[Jous / Séances de trading]],2)</f>
        <v>3</v>
      </c>
      <c r="E408" s="49">
        <f t="shared" si="12"/>
        <v>44909</v>
      </c>
      <c r="F408" s="50">
        <f t="shared" si="13"/>
        <v>42547.325907930412</v>
      </c>
      <c r="G408" s="44">
        <f>'[2]Simulateur Calculatrice Pos.'!$E$35</f>
        <v>2</v>
      </c>
      <c r="H408" s="45">
        <f>Positions[[#This Row],[Capital]]*Positions[[#This Row],[Evolution du capital par jour en %]]%</f>
        <v>850.94651815860823</v>
      </c>
      <c r="I408" s="46">
        <f>ROUND((((Positions[[#This Row],[Capital]]*Positions[[#This Row],[Evolution du capital par jour en %]]%)/('[2]Simulateur Calculatrice Pos.'!$E$15*'[2]Simulateur Calculatrice Pos.'!$E$24))/'[2]Simulateur Calculatrice Pos.'!$E$21),0)</f>
        <v>71</v>
      </c>
      <c r="J408" s="47">
        <f>IFERROR(IF(D408=5,((Positions[[#This Row],[Capital]]-F404)-K408),0),)</f>
        <v>0</v>
      </c>
      <c r="K408" s="48">
        <f>IFERROR(IF(D408=5,IF($B$6="Aucun retrait",0,IF($B$6=75%,(Positions[[#This Row],[Capital]]-F404)*75%)),0),)</f>
        <v>0</v>
      </c>
    </row>
    <row r="409" spans="4:18" ht="15.75" hidden="1" x14ac:dyDescent="0.25">
      <c r="D409" s="32">
        <f>WEEKDAY(Positions[[#This Row],[Jous / Séances de trading]],2)</f>
        <v>4</v>
      </c>
      <c r="E409" s="49">
        <f t="shared" si="12"/>
        <v>44910</v>
      </c>
      <c r="F409" s="50">
        <f t="shared" si="13"/>
        <v>43398.272426089017</v>
      </c>
      <c r="G409" s="44">
        <f>'[2]Simulateur Calculatrice Pos.'!$E$35</f>
        <v>2</v>
      </c>
      <c r="H409" s="45">
        <f>Positions[[#This Row],[Capital]]*Positions[[#This Row],[Evolution du capital par jour en %]]%</f>
        <v>867.96544852178033</v>
      </c>
      <c r="I409" s="46">
        <f>ROUND((((Positions[[#This Row],[Capital]]*Positions[[#This Row],[Evolution du capital par jour en %]]%)/('[2]Simulateur Calculatrice Pos.'!$E$15*'[2]Simulateur Calculatrice Pos.'!$E$24))/'[2]Simulateur Calculatrice Pos.'!$E$21),0)</f>
        <v>72</v>
      </c>
      <c r="J409" s="47">
        <f>IFERROR(IF(D409=5,((Positions[[#This Row],[Capital]]-F405)-K409),0),)</f>
        <v>0</v>
      </c>
      <c r="K409" s="48">
        <f>IFERROR(IF(D409=5,IF($B$6="Aucun retrait",0,IF($B$6=75%,(Positions[[#This Row],[Capital]]-F405)*75%)),0),)</f>
        <v>0</v>
      </c>
    </row>
    <row r="410" spans="4:18" ht="15.75" hidden="1" x14ac:dyDescent="0.25">
      <c r="D410" s="32">
        <f>WEEKDAY(Positions[[#This Row],[Jous / Séances de trading]],2)</f>
        <v>5</v>
      </c>
      <c r="E410" s="49">
        <f t="shared" si="12"/>
        <v>44911</v>
      </c>
      <c r="F410" s="50">
        <f t="shared" si="13"/>
        <v>44266.237874610801</v>
      </c>
      <c r="G410" s="44">
        <f>'[2]Simulateur Calculatrice Pos.'!$E$35</f>
        <v>2</v>
      </c>
      <c r="H410" s="45">
        <f>Positions[[#This Row],[Capital]]*Positions[[#This Row],[Evolution du capital par jour en %]]%</f>
        <v>885.32475749221601</v>
      </c>
      <c r="I410" s="46">
        <f>ROUND((((Positions[[#This Row],[Capital]]*Positions[[#This Row],[Evolution du capital par jour en %]]%)/('[2]Simulateur Calculatrice Pos.'!$E$15*'[2]Simulateur Calculatrice Pos.'!$E$24))/'[2]Simulateur Calculatrice Pos.'!$E$21),0)</f>
        <v>74</v>
      </c>
      <c r="J410" s="47">
        <f>IFERROR(IF(D410=5,((Positions[[#This Row],[Capital]]-F406)-K410),0),)</f>
        <v>842.76912168749186</v>
      </c>
      <c r="K410" s="48">
        <f>IFERROR(IF(D410=5,IF($B$6="Aucun retrait",0,IF($B$6=75%,(Positions[[#This Row],[Capital]]-F406)*75%)),0),)</f>
        <v>2528.3073650624756</v>
      </c>
    </row>
    <row r="411" spans="4:18" ht="15.75" hidden="1" x14ac:dyDescent="0.25">
      <c r="D411" s="32">
        <f>WEEKDAY(Positions[[#This Row],[Jous / Séances de trading]],2)</f>
        <v>1</v>
      </c>
      <c r="E411" s="49">
        <f t="shared" si="12"/>
        <v>44914</v>
      </c>
      <c r="F411" s="50">
        <f t="shared" si="13"/>
        <v>42623.255267040542</v>
      </c>
      <c r="G411" s="44">
        <f>'[2]Simulateur Calculatrice Pos.'!$E$35</f>
        <v>2</v>
      </c>
      <c r="H411" s="45">
        <f>Positions[[#This Row],[Capital]]*Positions[[#This Row],[Evolution du capital par jour en %]]%</f>
        <v>852.46510534081085</v>
      </c>
      <c r="I411" s="46">
        <f>ROUND((((Positions[[#This Row],[Capital]]*Positions[[#This Row],[Evolution du capital par jour en %]]%)/('[2]Simulateur Calculatrice Pos.'!$E$15*'[2]Simulateur Calculatrice Pos.'!$E$24))/'[2]Simulateur Calculatrice Pos.'!$E$21),0)</f>
        <v>71</v>
      </c>
      <c r="J411" s="47">
        <f>IFERROR(IF(D411=5,((Positions[[#This Row],[Capital]]-F407)-K411),0),)</f>
        <v>0</v>
      </c>
      <c r="K411" s="48">
        <f>IFERROR(IF(D411=5,IF($B$6="Aucun retrait",0,IF($B$6=75%,(Positions[[#This Row],[Capital]]-F407)*75%)),0),)</f>
        <v>0</v>
      </c>
    </row>
    <row r="412" spans="4:18" ht="15.75" hidden="1" x14ac:dyDescent="0.25">
      <c r="D412" s="32">
        <f>WEEKDAY(Positions[[#This Row],[Jous / Séances de trading]],2)</f>
        <v>2</v>
      </c>
      <c r="E412" s="49">
        <f t="shared" si="12"/>
        <v>44915</v>
      </c>
      <c r="F412" s="50">
        <f t="shared" si="13"/>
        <v>43475.720372381351</v>
      </c>
      <c r="G412" s="44">
        <f>'[2]Simulateur Calculatrice Pos.'!$E$35</f>
        <v>2</v>
      </c>
      <c r="H412" s="45">
        <f>Positions[[#This Row],[Capital]]*Positions[[#This Row],[Evolution du capital par jour en %]]%</f>
        <v>869.51440744762704</v>
      </c>
      <c r="I412" s="46">
        <f>ROUND((((Positions[[#This Row],[Capital]]*Positions[[#This Row],[Evolution du capital par jour en %]]%)/('[2]Simulateur Calculatrice Pos.'!$E$15*'[2]Simulateur Calculatrice Pos.'!$E$24))/'[2]Simulateur Calculatrice Pos.'!$E$21),0)</f>
        <v>72</v>
      </c>
      <c r="J412" s="47">
        <f>IFERROR(IF(D412=5,((Positions[[#This Row],[Capital]]-F408)-K412),0),)</f>
        <v>0</v>
      </c>
      <c r="K412" s="48">
        <f>IFERROR(IF(D412=5,IF($B$6="Aucun retrait",0,IF($B$6=75%,(Positions[[#This Row],[Capital]]-F408)*75%)),0),)</f>
        <v>0</v>
      </c>
      <c r="R412" s="54"/>
    </row>
    <row r="413" spans="4:18" ht="15.75" hidden="1" x14ac:dyDescent="0.25">
      <c r="D413" s="32">
        <f>WEEKDAY(Positions[[#This Row],[Jous / Séances de trading]],2)</f>
        <v>3</v>
      </c>
      <c r="E413" s="49">
        <f t="shared" si="12"/>
        <v>44916</v>
      </c>
      <c r="F413" s="50">
        <f t="shared" si="13"/>
        <v>44345.234779828977</v>
      </c>
      <c r="G413" s="44">
        <f>'[2]Simulateur Calculatrice Pos.'!$E$35</f>
        <v>2</v>
      </c>
      <c r="H413" s="45">
        <f>Positions[[#This Row],[Capital]]*Positions[[#This Row],[Evolution du capital par jour en %]]%</f>
        <v>886.90469559657959</v>
      </c>
      <c r="I413" s="46">
        <f>ROUND((((Positions[[#This Row],[Capital]]*Positions[[#This Row],[Evolution du capital par jour en %]]%)/('[2]Simulateur Calculatrice Pos.'!$E$15*'[2]Simulateur Calculatrice Pos.'!$E$24))/'[2]Simulateur Calculatrice Pos.'!$E$21),0)</f>
        <v>74</v>
      </c>
      <c r="J413" s="47">
        <f>IFERROR(IF(D413=5,((Positions[[#This Row],[Capital]]-F409)-K413),0),)</f>
        <v>0</v>
      </c>
      <c r="K413" s="48">
        <f>IFERROR(IF(D413=5,IF($B$6="Aucun retrait",0,IF($B$6=75%,(Positions[[#This Row],[Capital]]-F409)*75%)),0),)</f>
        <v>0</v>
      </c>
    </row>
    <row r="414" spans="4:18" ht="15.75" hidden="1" x14ac:dyDescent="0.25">
      <c r="D414" s="32">
        <f>WEEKDAY(Positions[[#This Row],[Jous / Séances de trading]],2)</f>
        <v>4</v>
      </c>
      <c r="E414" s="49">
        <f t="shared" si="12"/>
        <v>44917</v>
      </c>
      <c r="F414" s="50">
        <f t="shared" si="13"/>
        <v>45232.13947542556</v>
      </c>
      <c r="G414" s="44">
        <f>'[2]Simulateur Calculatrice Pos.'!$E$35</f>
        <v>2</v>
      </c>
      <c r="H414" s="45">
        <f>Positions[[#This Row],[Capital]]*Positions[[#This Row],[Evolution du capital par jour en %]]%</f>
        <v>904.64278950851121</v>
      </c>
      <c r="I414" s="46">
        <f>ROUND((((Positions[[#This Row],[Capital]]*Positions[[#This Row],[Evolution du capital par jour en %]]%)/('[2]Simulateur Calculatrice Pos.'!$E$15*'[2]Simulateur Calculatrice Pos.'!$E$24))/'[2]Simulateur Calculatrice Pos.'!$E$21),0)</f>
        <v>75</v>
      </c>
      <c r="J414" s="47">
        <f>IFERROR(IF(D414=5,((Positions[[#This Row],[Capital]]-F410)-K414),0),)</f>
        <v>0</v>
      </c>
      <c r="K414" s="48">
        <f>IFERROR(IF(D414=5,IF($B$6="Aucun retrait",0,IF($B$6=75%,(Positions[[#This Row],[Capital]]-F410)*75%)),0),)</f>
        <v>0</v>
      </c>
    </row>
    <row r="415" spans="4:18" ht="15.75" hidden="1" x14ac:dyDescent="0.25">
      <c r="D415" s="32">
        <f>WEEKDAY(Positions[[#This Row],[Jous / Séances de trading]],2)</f>
        <v>5</v>
      </c>
      <c r="E415" s="49">
        <f t="shared" si="12"/>
        <v>44918</v>
      </c>
      <c r="F415" s="50">
        <f t="shared" si="13"/>
        <v>46136.782264934074</v>
      </c>
      <c r="G415" s="44">
        <f>'[2]Simulateur Calculatrice Pos.'!$E$35</f>
        <v>2</v>
      </c>
      <c r="H415" s="45">
        <f>Positions[[#This Row],[Capital]]*Positions[[#This Row],[Evolution du capital par jour en %]]%</f>
        <v>922.73564529868145</v>
      </c>
      <c r="I415" s="46">
        <f>ROUND((((Positions[[#This Row],[Capital]]*Positions[[#This Row],[Evolution du capital par jour en %]]%)/('[2]Simulateur Calculatrice Pos.'!$E$15*'[2]Simulateur Calculatrice Pos.'!$E$24))/'[2]Simulateur Calculatrice Pos.'!$E$21),0)</f>
        <v>77</v>
      </c>
      <c r="J415" s="47">
        <f>IFERROR(IF(D415=5,((Positions[[#This Row],[Capital]]-F411)-K415),0),)</f>
        <v>878.38174947338302</v>
      </c>
      <c r="K415" s="48">
        <f>IFERROR(IF(D415=5,IF($B$6="Aucun retrait",0,IF($B$6=75%,(Positions[[#This Row],[Capital]]-F411)*75%)),0),)</f>
        <v>2635.1452484201491</v>
      </c>
    </row>
    <row r="416" spans="4:18" ht="15.75" hidden="1" x14ac:dyDescent="0.25">
      <c r="D416" s="32">
        <f>WEEKDAY(Positions[[#This Row],[Jous / Séances de trading]],2)</f>
        <v>1</v>
      </c>
      <c r="E416" s="49">
        <f t="shared" si="12"/>
        <v>44921</v>
      </c>
      <c r="F416" s="50">
        <f t="shared" si="13"/>
        <v>44424.372661812602</v>
      </c>
      <c r="G416" s="44">
        <f>'[2]Simulateur Calculatrice Pos.'!$E$35</f>
        <v>2</v>
      </c>
      <c r="H416" s="45">
        <f>Positions[[#This Row],[Capital]]*Positions[[#This Row],[Evolution du capital par jour en %]]%</f>
        <v>888.48745323625201</v>
      </c>
      <c r="I416" s="46">
        <f>ROUND((((Positions[[#This Row],[Capital]]*Positions[[#This Row],[Evolution du capital par jour en %]]%)/('[2]Simulateur Calculatrice Pos.'!$E$15*'[2]Simulateur Calculatrice Pos.'!$E$24))/'[2]Simulateur Calculatrice Pos.'!$E$21),0)</f>
        <v>74</v>
      </c>
      <c r="J416" s="47">
        <f>IFERROR(IF(D416=5,((Positions[[#This Row],[Capital]]-F412)-K416),0),)</f>
        <v>0</v>
      </c>
      <c r="K416" s="48">
        <f>IFERROR(IF(D416=5,IF($B$6="Aucun retrait",0,IF($B$6=75%,(Positions[[#This Row],[Capital]]-F412)*75%)),0),)</f>
        <v>0</v>
      </c>
    </row>
    <row r="417" spans="2:14" ht="15.75" hidden="1" x14ac:dyDescent="0.25">
      <c r="D417" s="32">
        <f>WEEKDAY(Positions[[#This Row],[Jous / Séances de trading]],2)</f>
        <v>2</v>
      </c>
      <c r="E417" s="49">
        <f t="shared" si="12"/>
        <v>44922</v>
      </c>
      <c r="F417" s="50">
        <f t="shared" si="13"/>
        <v>45312.860115048854</v>
      </c>
      <c r="G417" s="44">
        <f>'[2]Simulateur Calculatrice Pos.'!$E$35</f>
        <v>2</v>
      </c>
      <c r="H417" s="45">
        <f>Positions[[#This Row],[Capital]]*Positions[[#This Row],[Evolution du capital par jour en %]]%</f>
        <v>906.25720230097704</v>
      </c>
      <c r="I417" s="46">
        <f>ROUND((((Positions[[#This Row],[Capital]]*Positions[[#This Row],[Evolution du capital par jour en %]]%)/('[2]Simulateur Calculatrice Pos.'!$E$15*'[2]Simulateur Calculatrice Pos.'!$E$24))/'[2]Simulateur Calculatrice Pos.'!$E$21),0)</f>
        <v>76</v>
      </c>
      <c r="J417" s="47">
        <f>IFERROR(IF(D417=5,((Positions[[#This Row],[Capital]]-F413)-K417),0),)</f>
        <v>0</v>
      </c>
      <c r="K417" s="48">
        <f>IFERROR(IF(D417=5,IF($B$6="Aucun retrait",0,IF($B$6=75%,(Positions[[#This Row],[Capital]]-F413)*75%)),0),)</f>
        <v>0</v>
      </c>
    </row>
    <row r="418" spans="2:14" ht="15.75" hidden="1" x14ac:dyDescent="0.25">
      <c r="D418" s="32">
        <f>WEEKDAY(Positions[[#This Row],[Jous / Séances de trading]],2)</f>
        <v>3</v>
      </c>
      <c r="E418" s="49">
        <f t="shared" si="12"/>
        <v>44923</v>
      </c>
      <c r="F418" s="50">
        <f t="shared" si="13"/>
        <v>46219.117317349832</v>
      </c>
      <c r="G418" s="44">
        <f>'[2]Simulateur Calculatrice Pos.'!$E$35</f>
        <v>2</v>
      </c>
      <c r="H418" s="45">
        <f>Positions[[#This Row],[Capital]]*Positions[[#This Row],[Evolution du capital par jour en %]]%</f>
        <v>924.38234634699666</v>
      </c>
      <c r="I418" s="46">
        <f>ROUND((((Positions[[#This Row],[Capital]]*Positions[[#This Row],[Evolution du capital par jour en %]]%)/('[2]Simulateur Calculatrice Pos.'!$E$15*'[2]Simulateur Calculatrice Pos.'!$E$24))/'[2]Simulateur Calculatrice Pos.'!$E$21),0)</f>
        <v>77</v>
      </c>
      <c r="J418" s="47">
        <f>IFERROR(IF(D418=5,((Positions[[#This Row],[Capital]]-F414)-K418),0),)</f>
        <v>0</v>
      </c>
      <c r="K418" s="48">
        <f>IFERROR(IF(D418=5,IF($B$6="Aucun retrait",0,IF($B$6=75%,(Positions[[#This Row],[Capital]]-F414)*75%)),0),)</f>
        <v>0</v>
      </c>
    </row>
    <row r="419" spans="2:14" ht="15.75" hidden="1" x14ac:dyDescent="0.25">
      <c r="D419" s="32">
        <f>WEEKDAY(Positions[[#This Row],[Jous / Séances de trading]],2)</f>
        <v>4</v>
      </c>
      <c r="E419" s="49">
        <f t="shared" si="12"/>
        <v>44924</v>
      </c>
      <c r="F419" s="50">
        <f t="shared" si="13"/>
        <v>47143.499663696828</v>
      </c>
      <c r="G419" s="44">
        <f>'[2]Simulateur Calculatrice Pos.'!$E$35</f>
        <v>2</v>
      </c>
      <c r="H419" s="45">
        <f>Positions[[#This Row],[Capital]]*Positions[[#This Row],[Evolution du capital par jour en %]]%</f>
        <v>942.86999327393653</v>
      </c>
      <c r="I419" s="46">
        <f>ROUND((((Positions[[#This Row],[Capital]]*Positions[[#This Row],[Evolution du capital par jour en %]]%)/('[2]Simulateur Calculatrice Pos.'!$E$15*'[2]Simulateur Calculatrice Pos.'!$E$24))/'[2]Simulateur Calculatrice Pos.'!$E$21),0)</f>
        <v>79</v>
      </c>
      <c r="J419" s="47">
        <f>IFERROR(IF(D419=5,((Positions[[#This Row],[Capital]]-F415)-K419),0),)</f>
        <v>0</v>
      </c>
      <c r="K419" s="48">
        <f>IFERROR(IF(D419=5,IF($B$6="Aucun retrait",0,IF($B$6=75%,(Positions[[#This Row],[Capital]]-F415)*75%)),0),)</f>
        <v>0</v>
      </c>
    </row>
    <row r="420" spans="2:14" ht="15.75" hidden="1" x14ac:dyDescent="0.25">
      <c r="D420" s="32">
        <f>WEEKDAY(Positions[[#This Row],[Jous / Séances de trading]],2)</f>
        <v>5</v>
      </c>
      <c r="E420" s="49">
        <f t="shared" si="12"/>
        <v>44925</v>
      </c>
      <c r="F420" s="50">
        <f>IF(D420=1,(F419+H419)-K419,F419+H419)</f>
        <v>48086.369656970768</v>
      </c>
      <c r="G420" s="44">
        <f>'[2]Simulateur Calculatrice Pos.'!$E$35</f>
        <v>2</v>
      </c>
      <c r="H420" s="45">
        <f>Positions[[#This Row],[Capital]]*Positions[[#This Row],[Evolution du capital par jour en %]]%</f>
        <v>961.72739313941543</v>
      </c>
      <c r="I420" s="46">
        <f>ROUND((((Positions[[#This Row],[Capital]]*Positions[[#This Row],[Evolution du capital par jour en %]]%)/('[2]Simulateur Calculatrice Pos.'!$E$15*'[2]Simulateur Calculatrice Pos.'!$E$24))/'[2]Simulateur Calculatrice Pos.'!$E$21),0)</f>
        <v>80</v>
      </c>
      <c r="J420" s="47">
        <f>IFERROR(IF(D420=5,((Positions[[#This Row],[Capital]]-F416)-K420),0),)</f>
        <v>915.49924878954153</v>
      </c>
      <c r="K420" s="48">
        <f>IFERROR(IF(D420=5,IF($B$6="Aucun retrait",0,IF($B$6=75%,(Positions[[#This Row],[Capital]]-F416)*75%)),0),)</f>
        <v>2746.4977463686246</v>
      </c>
      <c r="N420" s="55"/>
    </row>
    <row r="421" spans="2:14" ht="20.25" hidden="1" thickBot="1" x14ac:dyDescent="0.3">
      <c r="B421" s="73" t="s">
        <v>130</v>
      </c>
      <c r="D421" s="32">
        <f>WEEKDAY(Positions[[#This Row],[Jous / Séances de trading]],2)</f>
        <v>1</v>
      </c>
      <c r="E421" s="56">
        <f t="shared" si="12"/>
        <v>44928</v>
      </c>
      <c r="F421" s="50">
        <f t="shared" si="13"/>
        <v>46301.599303741561</v>
      </c>
      <c r="G421" s="57">
        <f>'[2]Simulateur Calculatrice Pos.'!$E$35</f>
        <v>2</v>
      </c>
      <c r="H421" s="45">
        <f>Positions[[#This Row],[Capital]]*Positions[[#This Row],[Evolution du capital par jour en %]]%</f>
        <v>926.03198607483125</v>
      </c>
      <c r="I421" s="46">
        <f>ROUND((((Positions[[#This Row],[Capital]]*Positions[[#This Row],[Evolution du capital par jour en %]]%)/('[2]Simulateur Calculatrice Pos.'!$E$15*'[2]Simulateur Calculatrice Pos.'!$E$24))/'[2]Simulateur Calculatrice Pos.'!$E$21),0)</f>
        <v>77</v>
      </c>
      <c r="J421" s="47">
        <f>IFERROR(IF(D421=5,((Positions[[#This Row],[Capital]]-F417)-K421),0),)</f>
        <v>0</v>
      </c>
      <c r="K421" s="48">
        <f>IFERROR(IF(D421=5,IF($B$6="Aucun retrait",0,IF($B$6=75%,(Positions[[#This Row],[Capital]]-F417)*75%)),0),)</f>
        <v>0</v>
      </c>
    </row>
  </sheetData>
  <dataConsolidate/>
  <mergeCells count="3">
    <mergeCell ref="E1:K1"/>
    <mergeCell ref="E3:K3"/>
    <mergeCell ref="E5:K5"/>
  </mergeCells>
  <conditionalFormatting sqref="E7:I7 G9:H9 G10:G420 E8:H8 E9:F421 J7:K421 I8:I421 H10:H421">
    <cfRule type="expression" dxfId="1" priority="2">
      <formula>$D7=5</formula>
    </cfRule>
  </conditionalFormatting>
  <dataValidations count="1">
    <dataValidation type="list" allowBlank="1" showInputMessage="1" showErrorMessage="1" sqref="B6" xr:uid="{00000000-0002-0000-0100-000000000000}">
      <formula1>"Aucun retrait,75%"</formula1>
    </dataValidation>
  </dataValidations>
  <pageMargins left="0.7" right="0.7" top="0.75" bottom="0.75" header="0.3" footer="0.3"/>
  <pageSetup paperSize="9" orientation="portrait" horizontalDpi="4294967293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061E331-2E1F-4A54-9C93-6E4405E510CB}">
            <xm:f>NOT(ISNA(VLOOKUP($E7,Paramètres!$E$3:$E$7,1,FALSE)))</xm:f>
            <x14:dxf>
              <fill>
                <patternFill>
                  <bgColor rgb="FFFFC000"/>
                </patternFill>
              </fill>
            </x14:dxf>
          </x14:cfRule>
          <xm:sqref>E7:K421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A1:V55"/>
  <sheetViews>
    <sheetView workbookViewId="0">
      <selection activeCell="E3" sqref="E3:E7"/>
    </sheetView>
  </sheetViews>
  <sheetFormatPr baseColWidth="10" defaultRowHeight="15" x14ac:dyDescent="0.25"/>
  <cols>
    <col min="1" max="1" width="25.140625" bestFit="1" customWidth="1"/>
    <col min="2" max="2" width="23.85546875" bestFit="1" customWidth="1"/>
    <col min="3" max="3" width="1.140625" customWidth="1"/>
    <col min="4" max="4" width="18.85546875" customWidth="1"/>
    <col min="5" max="5" width="28.7109375" customWidth="1"/>
    <col min="6" max="6" width="1.28515625" customWidth="1"/>
    <col min="7" max="7" width="10.5703125" customWidth="1"/>
    <col min="8" max="8" width="13.140625" customWidth="1"/>
    <col min="9" max="9" width="10.85546875" customWidth="1"/>
    <col min="10" max="10" width="14.140625" customWidth="1"/>
    <col min="11" max="11" width="10.85546875" bestFit="1" customWidth="1"/>
    <col min="12" max="12" width="14.140625" customWidth="1"/>
    <col min="13" max="13" width="10.85546875" bestFit="1" customWidth="1"/>
    <col min="14" max="14" width="14.140625" customWidth="1"/>
    <col min="16" max="16" width="18.85546875" bestFit="1" customWidth="1"/>
    <col min="18" max="18" width="66.85546875" bestFit="1" customWidth="1"/>
    <col min="19" max="19" width="47.5703125" bestFit="1" customWidth="1"/>
    <col min="21" max="21" width="12.5703125" bestFit="1" customWidth="1"/>
    <col min="22" max="22" width="14.140625" customWidth="1"/>
  </cols>
  <sheetData>
    <row r="1" spans="1:22" ht="24.75" customHeight="1" x14ac:dyDescent="0.25">
      <c r="A1" s="86" t="s">
        <v>42</v>
      </c>
      <c r="B1" s="87"/>
      <c r="C1" s="87"/>
      <c r="D1" s="87"/>
      <c r="E1" s="87"/>
      <c r="G1" s="86" t="s">
        <v>43</v>
      </c>
      <c r="H1" s="87"/>
      <c r="I1" s="87"/>
      <c r="J1" s="87"/>
      <c r="K1" s="87"/>
      <c r="L1" s="87"/>
      <c r="M1" s="87"/>
      <c r="N1" s="87"/>
      <c r="U1" s="88" t="s">
        <v>33</v>
      </c>
      <c r="V1" s="88"/>
    </row>
    <row r="2" spans="1:22" x14ac:dyDescent="0.25">
      <c r="A2" s="58" t="s">
        <v>44</v>
      </c>
      <c r="B2" s="58" t="s">
        <v>45</v>
      </c>
      <c r="C2" s="58"/>
      <c r="D2" t="s">
        <v>46</v>
      </c>
      <c r="E2" s="59" t="s">
        <v>45</v>
      </c>
      <c r="G2" t="s">
        <v>47</v>
      </c>
      <c r="H2" t="s">
        <v>48</v>
      </c>
      <c r="I2" s="60" t="s">
        <v>49</v>
      </c>
      <c r="J2" s="60" t="s">
        <v>50</v>
      </c>
      <c r="K2" t="s">
        <v>51</v>
      </c>
      <c r="L2" t="s">
        <v>52</v>
      </c>
      <c r="M2" t="s">
        <v>53</v>
      </c>
      <c r="N2" t="s">
        <v>54</v>
      </c>
      <c r="P2" s="61" t="s">
        <v>55</v>
      </c>
      <c r="R2" s="89" t="s">
        <v>56</v>
      </c>
      <c r="S2" s="89"/>
      <c r="U2" t="s">
        <v>57</v>
      </c>
      <c r="V2" s="62">
        <v>1</v>
      </c>
    </row>
    <row r="3" spans="1:22" x14ac:dyDescent="0.25">
      <c r="A3" t="s">
        <v>58</v>
      </c>
      <c r="B3" s="60">
        <f ca="1">DATE(B4,B5,B7)</f>
        <v>44351</v>
      </c>
      <c r="D3" t="str">
        <f>[2]Paramétrage!D31</f>
        <v>Jour de l'an</v>
      </c>
      <c r="E3" s="59">
        <f t="shared" ref="E3" ca="1" si="0">DATE($B$4,1,1)</f>
        <v>44197</v>
      </c>
      <c r="G3" t="s">
        <v>59</v>
      </c>
      <c r="H3" s="63">
        <f ca="1">IFERROR(VLOOKUP($B$8,[2]!Positions[#Data],2,FALSE),0)</f>
        <v>0</v>
      </c>
      <c r="I3">
        <v>1</v>
      </c>
      <c r="J3" s="64" t="e">
        <f ca="1">VLOOKUP(B9,[2]!Positions[#Data],2,FALSE)</f>
        <v>#REF!</v>
      </c>
      <c r="K3" t="s">
        <v>60</v>
      </c>
      <c r="L3" s="64">
        <f ca="1">IFERROR(VLOOKUP(WORKDAY(EOMONTH([2]Paramétrage!$E$11+1,0)+1,-1,JFériés[Correspondances]),[2]!Positions[#Data],2,FALSE),0)</f>
        <v>0</v>
      </c>
      <c r="M3">
        <v>2021</v>
      </c>
      <c r="N3">
        <f ca="1">IFERROR(VLOOKUP(WORKDAY(EOMONTH([2]Paramétrage!E$11+365,0)+1,-1,JFériés[Correspondances]),[2]!Positions[#Data],2,FALSE),0)</f>
        <v>0</v>
      </c>
      <c r="P3" s="65" t="s">
        <v>61</v>
      </c>
      <c r="R3" s="66" t="s">
        <v>62</v>
      </c>
      <c r="S3" s="66" t="s">
        <v>63</v>
      </c>
      <c r="U3" s="67">
        <v>0.75</v>
      </c>
      <c r="V3" s="62">
        <v>0.75</v>
      </c>
    </row>
    <row r="4" spans="1:22" x14ac:dyDescent="0.25">
      <c r="A4" t="s">
        <v>53</v>
      </c>
      <c r="B4">
        <f ca="1">YEAR(TODAY())</f>
        <v>2021</v>
      </c>
      <c r="D4" t="str">
        <f>[2]Paramétrage!D32</f>
        <v>Vendredi Saint</v>
      </c>
      <c r="E4" s="59">
        <f ca="1">E5-3</f>
        <v>44288</v>
      </c>
      <c r="G4" t="s">
        <v>64</v>
      </c>
      <c r="H4" s="63">
        <f ca="1">IFERROR(VLOOKUP($B$8+1,[2]!Positions[#Data],2,FALSE),0)</f>
        <v>0</v>
      </c>
      <c r="I4">
        <v>2</v>
      </c>
      <c r="J4" s="64" t="e">
        <f ca="1">VLOOKUP(B$9+7,[2]!Positions[#Data],2,FALSE)</f>
        <v>#REF!</v>
      </c>
      <c r="K4" t="s">
        <v>65</v>
      </c>
      <c r="L4" s="64">
        <f ca="1">IFERROR(VLOOKUP(WORKDAY(EOMONTH([2]Paramétrage!$E$11+32,0)+1,-1,JFériés[Correspondances]),[2]!Positions[#Data],2,FALSE),0)</f>
        <v>0</v>
      </c>
      <c r="M4">
        <v>2022</v>
      </c>
      <c r="N4">
        <f ca="1">IFERROR(VLOOKUP(WORKDAY(EOMONTH([2]Paramétrage!E$11+730,0)+1,-1,JFériés[Correspondances]),[2]!Positions[#Data],2,FALSE),0)</f>
        <v>0</v>
      </c>
      <c r="P4" s="68" t="s">
        <v>66</v>
      </c>
      <c r="R4" s="68" t="s">
        <v>67</v>
      </c>
      <c r="S4" s="68" t="s">
        <v>68</v>
      </c>
      <c r="U4" t="s">
        <v>69</v>
      </c>
    </row>
    <row r="5" spans="1:22" x14ac:dyDescent="0.25">
      <c r="A5" t="s">
        <v>51</v>
      </c>
      <c r="B5">
        <f ca="1">MONTH(TODAY())</f>
        <v>6</v>
      </c>
      <c r="D5" t="str">
        <f>[2]Paramétrage!D33</f>
        <v>lundi de Pâques</v>
      </c>
      <c r="E5" s="59">
        <f ca="1">(ROUND(DATE($B$4,4,MOD(234-11*MOD($B$4,19),30))/7,0)*7-6)+1</f>
        <v>44291</v>
      </c>
      <c r="G5" t="s">
        <v>70</v>
      </c>
      <c r="H5" s="63">
        <f ca="1">IFERROR(VLOOKUP($B$8+2,[2]!Positions[#Data],2,FALSE),0)</f>
        <v>0</v>
      </c>
      <c r="I5">
        <v>3</v>
      </c>
      <c r="J5" s="64" t="e">
        <f ca="1">VLOOKUP(B$9+14,[2]!Positions[#Data],2,FALSE)</f>
        <v>#REF!</v>
      </c>
      <c r="K5" t="s">
        <v>71</v>
      </c>
      <c r="L5" s="64">
        <f ca="1">IFERROR(VLOOKUP(WORKDAY(EOMONTH([2]Paramétrage!$E$11+60,0)+1,-1,JFériés[Correspondances]),[2]!Positions[#Data],2,FALSE),0)</f>
        <v>0</v>
      </c>
      <c r="M5">
        <v>2023</v>
      </c>
      <c r="N5">
        <f ca="1">IFERROR(VLOOKUP(WORKDAY(EOMONTH([2]Paramétrage!E13+365,0)+1,-1,JFériés[Correspondances]),[2]!Positions[#Data],2,FALSE),0)</f>
        <v>0</v>
      </c>
      <c r="P5" s="65" t="s">
        <v>72</v>
      </c>
      <c r="R5" s="69" t="s">
        <v>68</v>
      </c>
      <c r="S5" s="69" t="s">
        <v>67</v>
      </c>
    </row>
    <row r="6" spans="1:22" x14ac:dyDescent="0.25">
      <c r="A6" t="s">
        <v>49</v>
      </c>
      <c r="B6">
        <f ca="1">_xlfn.ISOWEEKNUM(TODAY())</f>
        <v>22</v>
      </c>
      <c r="D6" t="str">
        <f>[2]Paramétrage!D34</f>
        <v>Fête de travail</v>
      </c>
      <c r="E6" s="59">
        <f ca="1">DATE($B$4,5,1)</f>
        <v>44317</v>
      </c>
      <c r="G6" t="s">
        <v>73</v>
      </c>
      <c r="H6" s="63">
        <f ca="1">IFERROR(VLOOKUP($B$8+3,[2]!Positions[#Data],2,FALSE),0)</f>
        <v>0</v>
      </c>
      <c r="I6">
        <v>4</v>
      </c>
      <c r="J6" s="64" t="e">
        <f ca="1">VLOOKUP(B$9+21,[2]!Positions[#Data],2,FALSE)</f>
        <v>#REF!</v>
      </c>
      <c r="K6" t="s">
        <v>74</v>
      </c>
      <c r="L6" s="64">
        <f ca="1">IFERROR(VLOOKUP(WORKDAY(EOMONTH([2]Paramétrage!$E$11+91,0)+1,-1,JFériés[Correspondances]),[2]!Positions[#Data],2,FALSE),0)</f>
        <v>0</v>
      </c>
      <c r="M6">
        <v>2024</v>
      </c>
      <c r="N6">
        <f ca="1">IFERROR(VLOOKUP(WORKDAY(EOMONTH([2]Paramétrage!E14+365,0)+1,-1,JFériés[Correspondances]),[2]!Positions[#Data],2,FALSE),0)</f>
        <v>0</v>
      </c>
      <c r="P6" s="65" t="s">
        <v>75</v>
      </c>
      <c r="R6" s="69" t="s">
        <v>76</v>
      </c>
      <c r="S6" s="69" t="s">
        <v>77</v>
      </c>
    </row>
    <row r="7" spans="1:22" x14ac:dyDescent="0.25">
      <c r="A7" t="s">
        <v>78</v>
      </c>
      <c r="B7">
        <f ca="1">DAY(TODAY())</f>
        <v>4</v>
      </c>
      <c r="D7" t="str">
        <f>[2]Paramétrage!D35</f>
        <v>Noël</v>
      </c>
      <c r="E7" s="59">
        <f ca="1">DATE($B$4,12,25)</f>
        <v>44555</v>
      </c>
      <c r="G7" t="s">
        <v>79</v>
      </c>
      <c r="H7" s="63">
        <f ca="1">IFERROR(VLOOKUP($B$8+4,[2]!Positions[#Data],2,FALSE),0)</f>
        <v>0</v>
      </c>
      <c r="J7" s="64"/>
      <c r="K7" t="s">
        <v>80</v>
      </c>
      <c r="L7" s="64">
        <f ca="1">IFERROR(VLOOKUP(WORKDAY(EOMONTH([2]Paramétrage!$E$11+121,0)+1,-1,JFériés[Correspondances]),[2]!Positions[#Data],2,FALSE),0)</f>
        <v>0</v>
      </c>
      <c r="M7">
        <v>2025</v>
      </c>
      <c r="N7">
        <f ca="1">IFERROR(VLOOKUP(WORKDAY(EOMONTH([2]Paramétrage!E15+365,0)+1,-1,JFériés[Correspondances]),[2]!Positions[#Data],2,FALSE),0)</f>
        <v>0</v>
      </c>
      <c r="P7" s="65" t="s">
        <v>81</v>
      </c>
      <c r="R7" s="69" t="s">
        <v>82</v>
      </c>
      <c r="S7" s="69" t="s">
        <v>83</v>
      </c>
    </row>
    <row r="8" spans="1:22" x14ac:dyDescent="0.25">
      <c r="A8" t="s">
        <v>84</v>
      </c>
      <c r="B8" s="60">
        <f ca="1">B3-WEEKDAY(B3,3)</f>
        <v>44347</v>
      </c>
      <c r="E8" s="59"/>
      <c r="H8" s="63"/>
      <c r="J8" s="70"/>
      <c r="K8" t="s">
        <v>85</v>
      </c>
      <c r="L8" s="64">
        <f ca="1">IFERROR(VLOOKUP(WORKDAY(EOMONTH([2]Paramétrage!$E$11+152,0)+1,-1,JFériés[Correspondances]),[2]!Positions[#Data],2,FALSE),0)</f>
        <v>0</v>
      </c>
      <c r="M8">
        <v>2026</v>
      </c>
      <c r="N8">
        <f ca="1">IFERROR(VLOOKUP(WORKDAY(EOMONTH([2]Paramétrage!E16+365,0)+1,-1,JFériés[Correspondances]),[2]!Positions[#Data],2,FALSE),0)</f>
        <v>0</v>
      </c>
      <c r="P8" s="68" t="s">
        <v>86</v>
      </c>
      <c r="R8" s="71" t="s">
        <v>87</v>
      </c>
      <c r="S8" s="69" t="s">
        <v>88</v>
      </c>
    </row>
    <row r="9" spans="1:22" x14ac:dyDescent="0.25">
      <c r="A9" t="s">
        <v>89</v>
      </c>
      <c r="B9" s="60">
        <f ca="1">B3+WEEKDAY(B3,3)</f>
        <v>44355</v>
      </c>
      <c r="E9" s="59"/>
      <c r="H9" s="63"/>
      <c r="J9" s="70"/>
      <c r="K9" t="s">
        <v>90</v>
      </c>
      <c r="L9" s="64">
        <f ca="1">IFERROR(VLOOKUP(WORKDAY(EOMONTH([2]Paramétrage!$E$11+182,0)+1,-1,JFériés[Correspondances]),[2]!Positions[#Data],2,FALSE),0)</f>
        <v>0</v>
      </c>
      <c r="M9">
        <v>2027</v>
      </c>
      <c r="N9">
        <f ca="1">IFERROR(VLOOKUP(WORKDAY(EOMONTH([2]Paramétrage!E17+365,0)+1,-1,JFériés[Correspondances]),[2]!Positions[#Data],2,FALSE),0)</f>
        <v>0</v>
      </c>
      <c r="P9" s="69" t="s">
        <v>91</v>
      </c>
      <c r="R9" s="71" t="s">
        <v>92</v>
      </c>
      <c r="S9" s="69" t="s">
        <v>93</v>
      </c>
    </row>
    <row r="10" spans="1:22" x14ac:dyDescent="0.25">
      <c r="A10" t="s">
        <v>94</v>
      </c>
      <c r="B10" s="60">
        <f ca="1">EOMONTH(B3,-1)+1</f>
        <v>44348</v>
      </c>
      <c r="E10" s="59"/>
      <c r="H10" s="63"/>
      <c r="J10" s="70"/>
      <c r="K10" t="s">
        <v>95</v>
      </c>
      <c r="L10" s="64">
        <f ca="1">IFERROR(VLOOKUP(WORKDAY(EOMONTH([2]Paramétrage!$E$11+213,0)+1,-1,JFériés[Correspondances]),[2]!Positions[#Data],2,FALSE),0)</f>
        <v>0</v>
      </c>
      <c r="M10">
        <v>2028</v>
      </c>
      <c r="N10">
        <f ca="1">IFERROR(VLOOKUP(WORKDAY(EOMONTH([2]Paramétrage!E18+365,0)+1,-1,JFériés[Correspondances]),[2]!Positions[#Data],2,FALSE),0)</f>
        <v>0</v>
      </c>
      <c r="P10" s="69" t="s">
        <v>96</v>
      </c>
      <c r="R10" s="69" t="s">
        <v>97</v>
      </c>
      <c r="S10" s="69" t="s">
        <v>98</v>
      </c>
    </row>
    <row r="11" spans="1:22" x14ac:dyDescent="0.25">
      <c r="A11" t="s">
        <v>99</v>
      </c>
      <c r="B11" s="60">
        <f ca="1">EOMONTH(B3,0)</f>
        <v>44377</v>
      </c>
      <c r="E11" s="59"/>
      <c r="H11" s="63"/>
      <c r="J11" s="70"/>
      <c r="K11" t="s">
        <v>100</v>
      </c>
      <c r="L11" s="64">
        <f ca="1">IFERROR(VLOOKUP(WORKDAY(EOMONTH([2]Paramétrage!$E$11+244,0)+1,-1,JFériés[Correspondances]),[2]!Positions[#Data],2,FALSE),0)</f>
        <v>0</v>
      </c>
      <c r="M11">
        <v>2029</v>
      </c>
      <c r="N11">
        <f ca="1">IFERROR(VLOOKUP(WORKDAY(EOMONTH([2]Paramétrage!E19+365,0)+1,-1,JFériés[Correspondances]),[2]!Positions[#Data],2,FALSE),0)</f>
        <v>0</v>
      </c>
      <c r="P11" s="69" t="s">
        <v>101</v>
      </c>
      <c r="R11" s="69" t="s">
        <v>102</v>
      </c>
      <c r="S11" s="69" t="s">
        <v>103</v>
      </c>
    </row>
    <row r="12" spans="1:22" x14ac:dyDescent="0.25">
      <c r="A12" t="s">
        <v>104</v>
      </c>
      <c r="B12" s="60">
        <f ca="1">DATE(B4,1,1)</f>
        <v>44197</v>
      </c>
      <c r="E12" s="59"/>
      <c r="H12" s="63"/>
      <c r="J12" s="70"/>
      <c r="K12" t="s">
        <v>105</v>
      </c>
      <c r="L12" s="64">
        <f ca="1">IFERROR(VLOOKUP(WORKDAY(EOMONTH([2]Paramétrage!$E$11+274,0)+1,-1,JFériés[Correspondances]),[2]!Positions[#Data],2,FALSE),0)</f>
        <v>0</v>
      </c>
      <c r="M12">
        <v>2030</v>
      </c>
      <c r="N12">
        <f ca="1">IFERROR(VLOOKUP(WORKDAY(EOMONTH([2]Paramétrage!E24+365,0)+1,-1,JFériés[Correspondances]),[2]!Positions[#Data],2,FALSE),0)</f>
        <v>0</v>
      </c>
      <c r="P12" s="71" t="s">
        <v>106</v>
      </c>
      <c r="R12" s="69" t="s">
        <v>107</v>
      </c>
      <c r="S12" s="69" t="s">
        <v>108</v>
      </c>
    </row>
    <row r="13" spans="1:22" x14ac:dyDescent="0.25">
      <c r="A13" t="s">
        <v>109</v>
      </c>
      <c r="B13" s="60">
        <f ca="1">DATE(B4+1,1,1)-1</f>
        <v>44561</v>
      </c>
      <c r="E13" s="59"/>
      <c r="H13" s="63"/>
      <c r="J13" s="70"/>
      <c r="K13" t="s">
        <v>110</v>
      </c>
      <c r="L13" s="64">
        <f ca="1">IFERROR(VLOOKUP(WORKDAY(EOMONTH([2]Paramétrage!$E$11+305,0)+1,-1,JFériés[Correspondances]),[2]!Positions[#Data],2,FALSE),0)</f>
        <v>0</v>
      </c>
      <c r="M13">
        <v>2031</v>
      </c>
      <c r="N13">
        <f ca="1">IFERROR(VLOOKUP(WORKDAY(EOMONTH([2]Paramétrage!E25+365,0)+1,-1,JFériés[Correspondances]),[2]!Positions[#Data],2,FALSE),0)</f>
        <v>0</v>
      </c>
      <c r="P13" s="71" t="s">
        <v>111</v>
      </c>
      <c r="R13" s="69" t="s">
        <v>112</v>
      </c>
      <c r="S13" s="69" t="s">
        <v>113</v>
      </c>
    </row>
    <row r="14" spans="1:22" x14ac:dyDescent="0.25">
      <c r="E14" s="59"/>
      <c r="H14" s="63"/>
      <c r="J14" s="70"/>
      <c r="K14" t="s">
        <v>114</v>
      </c>
      <c r="L14" s="64">
        <f ca="1">IFERROR(VLOOKUP(WORKDAY(EOMONTH([2]Paramétrage!$E$11+335,0)+1,-1,JFériés[Correspondances]),[2]!Positions[#Data],2,FALSE),0)</f>
        <v>0</v>
      </c>
      <c r="M14">
        <v>2032</v>
      </c>
      <c r="N14">
        <f ca="1">IFERROR(VLOOKUP(WORKDAY(EOMONTH([2]Paramétrage!E26+365,0)+1,-1,JFériés[Correspondances]),[2]!Positions[#Data],2,FALSE),0)</f>
        <v>0</v>
      </c>
      <c r="P14" s="71" t="s">
        <v>115</v>
      </c>
      <c r="R14" s="69" t="s">
        <v>116</v>
      </c>
    </row>
    <row r="15" spans="1:22" x14ac:dyDescent="0.25">
      <c r="E15" s="59"/>
      <c r="H15" s="63"/>
      <c r="J15" s="70"/>
      <c r="L15" s="70"/>
      <c r="M15">
        <v>2033</v>
      </c>
      <c r="N15">
        <f ca="1">IFERROR(VLOOKUP(WORKDAY(EOMONTH([2]Paramétrage!E27+365,0)+1,-1,JFériés[Correspondances]),[2]!Positions[#Data],2,FALSE),0)</f>
        <v>0</v>
      </c>
      <c r="P15" s="71" t="s">
        <v>117</v>
      </c>
    </row>
    <row r="16" spans="1:22" x14ac:dyDescent="0.25">
      <c r="H16" s="63"/>
      <c r="J16" s="70"/>
      <c r="L16" s="70"/>
      <c r="M16">
        <v>2034</v>
      </c>
      <c r="N16">
        <f ca="1">IFERROR(VLOOKUP(WORKDAY(EOMONTH([2]Paramétrage!E28+365,0)+1,-1,JFériés[Correspondances]),[2]!Positions[#Data],2,FALSE),0)</f>
        <v>0</v>
      </c>
      <c r="P16" s="71" t="s">
        <v>118</v>
      </c>
    </row>
    <row r="17" spans="2:18" x14ac:dyDescent="0.25">
      <c r="D17" s="64"/>
      <c r="H17" s="63"/>
      <c r="J17" s="70"/>
      <c r="L17" s="70"/>
      <c r="M17">
        <v>2035</v>
      </c>
      <c r="N17">
        <f ca="1">IFERROR(VLOOKUP(WORKDAY(EOMONTH([2]Paramétrage!E29+365,0)+1,-1,JFériés[Correspondances]),[2]!Positions[#Data],2,FALSE),0)</f>
        <v>0</v>
      </c>
      <c r="P17" s="71" t="s">
        <v>119</v>
      </c>
    </row>
    <row r="18" spans="2:18" x14ac:dyDescent="0.25">
      <c r="H18" s="63"/>
      <c r="J18" s="70"/>
      <c r="L18" s="70"/>
      <c r="M18">
        <v>2036</v>
      </c>
      <c r="N18">
        <f ca="1">IFERROR(VLOOKUP(WORKDAY(EOMONTH([2]Paramétrage!E30+365,0)+1,-1,JFériés[Correspondances]),[2]!Positions[#Data],2,FALSE),0)</f>
        <v>0</v>
      </c>
      <c r="P18" s="71" t="s">
        <v>120</v>
      </c>
    </row>
    <row r="19" spans="2:18" x14ac:dyDescent="0.25">
      <c r="H19" s="63"/>
      <c r="J19" s="70"/>
      <c r="L19" s="70"/>
      <c r="M19">
        <v>2037</v>
      </c>
      <c r="N19">
        <f ca="1">IFERROR(VLOOKUP(WORKDAY(EOMONTH([2]Paramétrage!E31+365,0)+1,-1,JFériés[Correspondances]),[2]!Positions[#Data],2,FALSE),0)</f>
        <v>0</v>
      </c>
      <c r="P19" s="71" t="s">
        <v>121</v>
      </c>
    </row>
    <row r="20" spans="2:18" x14ac:dyDescent="0.25">
      <c r="B20" s="60"/>
      <c r="H20" s="63"/>
      <c r="J20" s="70"/>
      <c r="L20" s="70"/>
      <c r="M20">
        <v>2038</v>
      </c>
      <c r="N20">
        <f ca="1">IFERROR(VLOOKUP(WORKDAY(EOMONTH([2]Paramétrage!E32+365,0)+1,-1,JFériés[Correspondances]),[2]!Positions[#Data],2,FALSE),0)</f>
        <v>0</v>
      </c>
      <c r="P20" s="71" t="s">
        <v>122</v>
      </c>
    </row>
    <row r="21" spans="2:18" x14ac:dyDescent="0.25">
      <c r="H21" s="63"/>
      <c r="J21" s="70"/>
      <c r="L21" s="70"/>
      <c r="M21">
        <v>2039</v>
      </c>
      <c r="N21">
        <f ca="1">IFERROR(VLOOKUP(WORKDAY(EOMONTH([2]Paramétrage!E33+365,0)+1,-1,JFériés[Correspondances]),[2]!Positions[#Data],2,FALSE),0)</f>
        <v>0</v>
      </c>
      <c r="P21" s="71" t="s">
        <v>123</v>
      </c>
    </row>
    <row r="22" spans="2:18" x14ac:dyDescent="0.25">
      <c r="B22" s="60"/>
      <c r="H22" s="63"/>
      <c r="J22" s="70"/>
      <c r="L22" s="70"/>
      <c r="M22">
        <v>2040</v>
      </c>
      <c r="N22">
        <f ca="1">IFERROR(VLOOKUP(WORKDAY(EOMONTH([2]Paramétrage!E34+365,0)+1,-1,JFériés[Correspondances]),[2]!Positions[#Data],2,FALSE),0)</f>
        <v>0</v>
      </c>
      <c r="P22" s="71" t="s">
        <v>124</v>
      </c>
    </row>
    <row r="23" spans="2:18" x14ac:dyDescent="0.25">
      <c r="B23" s="60"/>
      <c r="H23" s="63"/>
      <c r="J23" s="70"/>
      <c r="L23" s="70"/>
      <c r="M23">
        <v>2041</v>
      </c>
      <c r="N23">
        <f ca="1">IFERROR(VLOOKUP(WORKDAY(EOMONTH([2]Paramétrage!E35+365,0)+1,-1,JFériés[Correspondances]),[2]!Positions[#Data],2,FALSE),0)</f>
        <v>0</v>
      </c>
      <c r="P23" s="71" t="s">
        <v>125</v>
      </c>
    </row>
    <row r="24" spans="2:18" x14ac:dyDescent="0.25">
      <c r="B24" s="60"/>
      <c r="D24" s="60"/>
      <c r="H24" s="63"/>
      <c r="J24" s="70"/>
      <c r="L24" s="70"/>
      <c r="M24">
        <v>2042</v>
      </c>
      <c r="N24">
        <f>IFERROR(VLOOKUP(WORKDAY(EOMONTH([2]Paramétrage!#REF!+365,0)+1,-1,JFériés[Correspondances]),[2]!Positions[#Data],2,FALSE),0)</f>
        <v>0</v>
      </c>
      <c r="P24" s="71" t="s">
        <v>126</v>
      </c>
    </row>
    <row r="25" spans="2:18" x14ac:dyDescent="0.25">
      <c r="B25" s="60"/>
      <c r="H25" s="63"/>
      <c r="J25" s="70"/>
      <c r="L25" s="70"/>
      <c r="M25">
        <v>2043</v>
      </c>
      <c r="N25">
        <f>IFERROR(VLOOKUP(WORKDAY(EOMONTH([2]Paramétrage!#REF!+365,0)+1,-1,JFériés[Correspondances]),[2]!Positions[#Data],2,FALSE),0)</f>
        <v>0</v>
      </c>
      <c r="P25" s="71" t="s">
        <v>127</v>
      </c>
    </row>
    <row r="26" spans="2:18" x14ac:dyDescent="0.25">
      <c r="H26" s="63"/>
      <c r="J26" s="70"/>
      <c r="L26" s="70"/>
      <c r="M26">
        <v>2044</v>
      </c>
      <c r="N26">
        <f>IFERROR(VLOOKUP(WORKDAY(EOMONTH([2]Paramétrage!#REF!+365,0)+1,-1,JFériés[Correspondances]),[2]!Positions[#Data],2,FALSE),0)</f>
        <v>0</v>
      </c>
      <c r="P26" s="71" t="s">
        <v>128</v>
      </c>
    </row>
    <row r="27" spans="2:18" x14ac:dyDescent="0.25">
      <c r="H27" s="63"/>
      <c r="J27" s="70"/>
      <c r="L27" s="70"/>
      <c r="M27">
        <v>2045</v>
      </c>
      <c r="N27">
        <f>IFERROR(VLOOKUP(WORKDAY(EOMONTH([2]Paramétrage!#REF!+365,0)+1,-1,JFériés[Correspondances]),[2]!Positions[#Data],2,FALSE),0)</f>
        <v>0</v>
      </c>
    </row>
    <row r="28" spans="2:18" x14ac:dyDescent="0.25">
      <c r="F28" s="72"/>
      <c r="G28" s="72"/>
      <c r="H28" s="72"/>
      <c r="J28" s="70"/>
      <c r="L28" s="70"/>
      <c r="M28">
        <v>2046</v>
      </c>
      <c r="N28">
        <f ca="1">IFERROR(VLOOKUP(WORKDAY(EOMONTH([2]Paramétrage!E36+365,0)+1,-1,JFériés[Correspondances]),[2]!Positions[#Data],2,FALSE),0)</f>
        <v>0</v>
      </c>
      <c r="R28" s="60"/>
    </row>
    <row r="29" spans="2:18" x14ac:dyDescent="0.25">
      <c r="H29" s="63"/>
      <c r="J29" s="70"/>
      <c r="L29" s="70"/>
      <c r="M29">
        <v>2047</v>
      </c>
      <c r="N29">
        <f ca="1">IFERROR(VLOOKUP(WORKDAY(EOMONTH([2]Paramétrage!E37+365,0)+1,-1,JFériés[Correspondances]),[2]!Positions[#Data],2,FALSE),0)</f>
        <v>0</v>
      </c>
      <c r="R29" s="60"/>
    </row>
    <row r="30" spans="2:18" x14ac:dyDescent="0.25">
      <c r="F30" s="72"/>
      <c r="G30" s="72"/>
      <c r="H30" s="72"/>
      <c r="J30" s="70"/>
      <c r="L30" s="70"/>
      <c r="M30">
        <v>2048</v>
      </c>
      <c r="N30">
        <f ca="1">IFERROR(VLOOKUP(WORKDAY(EOMONTH([2]Paramétrage!E38+365,0)+1,-1,JFériés[Correspondances]),[2]!Positions[#Data],2,FALSE),0)</f>
        <v>0</v>
      </c>
      <c r="R30" s="60"/>
    </row>
    <row r="31" spans="2:18" x14ac:dyDescent="0.25">
      <c r="F31" s="72"/>
      <c r="G31" s="72"/>
      <c r="H31" s="72"/>
      <c r="J31" s="70"/>
      <c r="L31" s="70"/>
      <c r="M31">
        <v>2049</v>
      </c>
      <c r="N31">
        <f ca="1">IFERROR(VLOOKUP(WORKDAY(EOMONTH([2]Paramétrage!E39+365,0)+1,-1,JFériés[Correspondances]),[2]!Positions[#Data],2,FALSE),0)</f>
        <v>0</v>
      </c>
    </row>
    <row r="32" spans="2:18" x14ac:dyDescent="0.25">
      <c r="H32" s="63"/>
      <c r="J32" s="70"/>
      <c r="L32" s="70"/>
      <c r="M32">
        <v>2050</v>
      </c>
      <c r="N32">
        <f ca="1">IFERROR(VLOOKUP(WORKDAY(EOMONTH([2]Paramétrage!E40+365,0)+1,-1,JFériés[Correspondances]),[2]!Positions[#Data],2,FALSE),0)</f>
        <v>0</v>
      </c>
      <c r="R32" s="60"/>
    </row>
    <row r="33" spans="8:18" x14ac:dyDescent="0.25">
      <c r="H33" s="63"/>
      <c r="J33" s="70"/>
      <c r="L33" s="70"/>
      <c r="N33">
        <f ca="1">IFERROR(VLOOKUP(WORKDAY(EOMONTH([2]Paramétrage!E41+365,0)+1,-1,JFériés[Correspondances]),[2]!Positions[#Data],2,FALSE),0)</f>
        <v>0</v>
      </c>
    </row>
    <row r="34" spans="8:18" x14ac:dyDescent="0.25">
      <c r="H34" s="63"/>
      <c r="J34" s="70"/>
      <c r="L34" s="70"/>
      <c r="N34">
        <f ca="1">IFERROR(VLOOKUP(WORKDAY(EOMONTH([2]Paramétrage!E42+365,0)+1,-1,JFériés[Correspondances]),[2]!Positions[#Data],2,FALSE),0)</f>
        <v>0</v>
      </c>
    </row>
    <row r="35" spans="8:18" x14ac:dyDescent="0.25">
      <c r="H35" s="63"/>
      <c r="J35" s="70"/>
      <c r="L35" s="70"/>
      <c r="N35">
        <f ca="1">IFERROR(VLOOKUP(WORKDAY(EOMONTH([2]Paramétrage!E43+365,0)+1,-1,JFériés[Correspondances]),[2]!Positions[#Data],2,FALSE),0)</f>
        <v>0</v>
      </c>
    </row>
    <row r="36" spans="8:18" x14ac:dyDescent="0.25">
      <c r="H36" s="63"/>
      <c r="J36" s="70"/>
      <c r="L36" s="70"/>
      <c r="N36">
        <f ca="1">IFERROR(VLOOKUP(WORKDAY(EOMONTH([2]Paramétrage!E44+365,0)+1,-1,JFériés[Correspondances]),[2]!Positions[#Data],2,FALSE),0)</f>
        <v>0</v>
      </c>
      <c r="R36" s="60"/>
    </row>
    <row r="37" spans="8:18" x14ac:dyDescent="0.25">
      <c r="H37" s="63"/>
      <c r="J37" s="70"/>
      <c r="L37" s="70"/>
      <c r="N37">
        <f ca="1">IFERROR(VLOOKUP(WORKDAY(EOMONTH([2]Paramétrage!E45+365,0)+1,-1,JFériés[Correspondances]),[2]!Positions[#Data],2,FALSE),0)</f>
        <v>0</v>
      </c>
      <c r="R37" s="60"/>
    </row>
    <row r="38" spans="8:18" x14ac:dyDescent="0.25">
      <c r="H38" s="63"/>
      <c r="J38" s="70"/>
      <c r="L38" s="70"/>
      <c r="N38">
        <f ca="1">IFERROR(VLOOKUP(WORKDAY(EOMONTH([2]Paramétrage!E46+365,0)+1,-1,JFériés[Correspondances]),[2]!Positions[#Data],2,FALSE),0)</f>
        <v>0</v>
      </c>
    </row>
    <row r="39" spans="8:18" x14ac:dyDescent="0.25">
      <c r="H39" s="63"/>
      <c r="J39" s="70"/>
      <c r="L39" s="70"/>
      <c r="N39">
        <f ca="1">IFERROR(VLOOKUP(WORKDAY(EOMONTH([2]Paramétrage!E47+365,0)+1,-1,JFériés[Correspondances]),[2]!Positions[#Data],2,FALSE),0)</f>
        <v>0</v>
      </c>
    </row>
    <row r="40" spans="8:18" x14ac:dyDescent="0.25">
      <c r="H40" s="63"/>
      <c r="J40" s="70"/>
      <c r="L40" s="70"/>
      <c r="N40">
        <f ca="1">IFERROR(VLOOKUP(WORKDAY(EOMONTH([2]Paramétrage!E48+365,0)+1,-1,JFériés[Correspondances]),[2]!Positions[#Data],2,FALSE),0)</f>
        <v>0</v>
      </c>
      <c r="R40" s="60"/>
    </row>
    <row r="41" spans="8:18" x14ac:dyDescent="0.25">
      <c r="H41" s="63"/>
      <c r="J41" s="70"/>
      <c r="L41" s="70"/>
      <c r="N41">
        <f ca="1">IFERROR(VLOOKUP(WORKDAY(EOMONTH([2]Paramétrage!E49+365,0)+1,-1,JFériés[Correspondances]),[2]!Positions[#Data],2,FALSE),0)</f>
        <v>0</v>
      </c>
      <c r="R41" s="60"/>
    </row>
    <row r="42" spans="8:18" x14ac:dyDescent="0.25">
      <c r="H42" s="63"/>
      <c r="J42" s="70"/>
      <c r="L42" s="70"/>
      <c r="N42">
        <f ca="1">IFERROR(VLOOKUP(WORKDAY(EOMONTH([2]Paramétrage!E50+365,0)+1,-1,JFériés[Correspondances]),[2]!Positions[#Data],2,FALSE),0)</f>
        <v>0</v>
      </c>
    </row>
    <row r="43" spans="8:18" x14ac:dyDescent="0.25">
      <c r="H43" s="63"/>
      <c r="J43" s="70"/>
      <c r="L43" s="70"/>
      <c r="N43">
        <f ca="1">IFERROR(VLOOKUP(WORKDAY(EOMONTH([2]Paramétrage!E51+365,0)+1,-1,JFériés[Correspondances]),[2]!Positions[#Data],2,FALSE),0)</f>
        <v>0</v>
      </c>
    </row>
    <row r="44" spans="8:18" x14ac:dyDescent="0.25">
      <c r="H44" s="63"/>
      <c r="J44" s="70"/>
      <c r="L44" s="70"/>
      <c r="N44">
        <f ca="1">IFERROR(VLOOKUP(WORKDAY(EOMONTH([2]Paramétrage!E52+365,0)+1,-1,JFériés[Correspondances]),[2]!Positions[#Data],2,FALSE),0)</f>
        <v>0</v>
      </c>
    </row>
    <row r="45" spans="8:18" x14ac:dyDescent="0.25">
      <c r="H45" s="63"/>
      <c r="J45" s="70"/>
      <c r="L45" s="70"/>
      <c r="N45">
        <f ca="1">IFERROR(VLOOKUP(WORKDAY(EOMONTH([2]Paramétrage!E53+365,0)+1,-1,JFériés[Correspondances]),[2]!Positions[#Data],2,FALSE),0)</f>
        <v>0</v>
      </c>
    </row>
    <row r="46" spans="8:18" x14ac:dyDescent="0.25">
      <c r="H46" s="63"/>
      <c r="J46" s="70"/>
      <c r="L46" s="70"/>
      <c r="N46">
        <f ca="1">IFERROR(VLOOKUP(WORKDAY(EOMONTH([2]Paramétrage!E54+365,0)+1,-1,JFériés[Correspondances]),[2]!Positions[#Data],2,FALSE),0)</f>
        <v>0</v>
      </c>
    </row>
    <row r="47" spans="8:18" x14ac:dyDescent="0.25">
      <c r="H47" s="63"/>
      <c r="J47" s="70"/>
      <c r="L47" s="70"/>
      <c r="N47">
        <f ca="1">IFERROR(VLOOKUP(WORKDAY(EOMONTH([2]Paramétrage!E55+365,0)+1,-1,JFériés[Correspondances]),[2]!Positions[#Data],2,FALSE),0)</f>
        <v>0</v>
      </c>
    </row>
    <row r="48" spans="8:18" x14ac:dyDescent="0.25">
      <c r="H48" s="63"/>
      <c r="J48" s="70"/>
      <c r="L48" s="70"/>
      <c r="N48">
        <f ca="1">IFERROR(VLOOKUP(WORKDAY(EOMONTH([2]Paramétrage!E56+365,0)+1,-1,JFériés[Correspondances]),[2]!Positions[#Data],2,FALSE),0)</f>
        <v>0</v>
      </c>
    </row>
    <row r="49" spans="8:14" x14ac:dyDescent="0.25">
      <c r="H49" s="63"/>
      <c r="J49" s="70"/>
      <c r="L49" s="70"/>
      <c r="N49">
        <f ca="1">IFERROR(VLOOKUP(WORKDAY(EOMONTH([2]Paramétrage!E57+365,0)+1,-1,JFériés[Correspondances]),[2]!Positions[#Data],2,FALSE),0)</f>
        <v>0</v>
      </c>
    </row>
    <row r="50" spans="8:14" x14ac:dyDescent="0.25">
      <c r="H50" s="63"/>
      <c r="J50" s="70"/>
      <c r="L50" s="70"/>
      <c r="N50">
        <f ca="1">IFERROR(VLOOKUP(WORKDAY(EOMONTH([2]Paramétrage!E58+365,0)+1,-1,JFériés[Correspondances]),[2]!Positions[#Data],2,FALSE),0)</f>
        <v>0</v>
      </c>
    </row>
    <row r="51" spans="8:14" x14ac:dyDescent="0.25">
      <c r="H51" s="63"/>
      <c r="J51" s="70"/>
      <c r="L51" s="70"/>
      <c r="N51">
        <f ca="1">IFERROR(VLOOKUP(WORKDAY(EOMONTH([2]Paramétrage!E59+365,0)+1,-1,JFériés[Correspondances]),[2]!Positions[#Data],2,FALSE),0)</f>
        <v>0</v>
      </c>
    </row>
    <row r="52" spans="8:14" x14ac:dyDescent="0.25">
      <c r="H52" s="63"/>
      <c r="J52" s="70"/>
      <c r="L52" s="70"/>
      <c r="N52">
        <f ca="1">IFERROR(VLOOKUP(WORKDAY(EOMONTH([2]Paramétrage!E60+365,0)+1,-1,JFériés[Correspondances]),[2]!Positions[#Data],2,FALSE),0)</f>
        <v>0</v>
      </c>
    </row>
    <row r="53" spans="8:14" x14ac:dyDescent="0.25">
      <c r="H53" s="63"/>
      <c r="J53" s="70"/>
      <c r="L53" s="70"/>
      <c r="N53">
        <f ca="1">IFERROR(VLOOKUP(WORKDAY(EOMONTH([2]Paramétrage!E61+365,0)+1,-1,JFériés[Correspondances]),[2]!Positions[#Data],2,FALSE),0)</f>
        <v>0</v>
      </c>
    </row>
    <row r="54" spans="8:14" x14ac:dyDescent="0.25">
      <c r="H54" s="63"/>
      <c r="J54" s="70"/>
      <c r="L54" s="70"/>
      <c r="N54">
        <f ca="1">IFERROR(VLOOKUP(WORKDAY(EOMONTH([2]Paramétrage!E62+365,0)+1,-1,JFériés[Correspondances]),[2]!Positions[#Data],2,FALSE),0)</f>
        <v>0</v>
      </c>
    </row>
    <row r="55" spans="8:14" x14ac:dyDescent="0.25">
      <c r="H55" s="63"/>
      <c r="J55" s="70"/>
      <c r="L55" s="70"/>
      <c r="N55">
        <f ca="1">IFERROR(VLOOKUP(WORKDAY(EOMONTH([2]Paramétrage!E63+365,0)+1,-1,JFériés[Correspondances]),[2]!Positions[#Data],2,FALSE),0)</f>
        <v>0</v>
      </c>
    </row>
  </sheetData>
  <mergeCells count="4">
    <mergeCell ref="A1:E1"/>
    <mergeCell ref="G1:N1"/>
    <mergeCell ref="U1:V1"/>
    <mergeCell ref="R2:S2"/>
  </mergeCells>
  <pageMargins left="0.7" right="0.7" top="0.75" bottom="0.75" header="0.3" footer="0.3"/>
  <pageSetup paperSize="9" orientation="portrait" verticalDpi="597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Simulateur Calculatrice Pos.</vt:lpstr>
      <vt:lpstr>Simulateur Gains</vt:lpstr>
      <vt:lpstr>Paramètres</vt:lpstr>
    </vt:vector>
  </TitlesOfParts>
  <Company>Orange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Mickael Ext DTSI/DTRS</dc:creator>
  <cp:lastModifiedBy> </cp:lastModifiedBy>
  <dcterms:created xsi:type="dcterms:W3CDTF">2021-06-04T09:37:16Z</dcterms:created>
  <dcterms:modified xsi:type="dcterms:W3CDTF">2021-06-04T13:22:58Z</dcterms:modified>
</cp:coreProperties>
</file>