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07C78A43-1EBC-4970-B32A-23755FE9F985}" xr6:coauthVersionLast="46" xr6:coauthVersionMax="46" xr10:uidLastSave="{00000000-0000-0000-0000-000000000000}"/>
  <bookViews>
    <workbookView xWindow="28680" yWindow="-120" windowWidth="29040" windowHeight="16440" activeTab="1" xr2:uid="{00000000-000D-0000-FFFF-FFFF00000000}"/>
  </bookViews>
  <sheets>
    <sheet name="Feuil3" sheetId="3" r:id="rId1"/>
    <sheet name="Feuil2" sheetId="2" r:id="rId2"/>
  </sheets>
  <externalReferences>
    <externalReference r:id="rId3"/>
  </externalReferences>
  <definedNames>
    <definedName name="DonnéesExternes_1" localSheetId="1" hidden="1">Feuil2!#REF!</definedName>
    <definedName name="DonnéesExternes_2" localSheetId="1" hidden="1">Feuil2!$A$1:$D$8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9" i="3" l="1"/>
  <c r="I19" i="3"/>
  <c r="O19" i="3" s="1"/>
  <c r="N18" i="3"/>
  <c r="I18" i="3"/>
  <c r="O18" i="3" s="1"/>
  <c r="N17" i="3"/>
  <c r="I17" i="3"/>
  <c r="J17" i="3" s="1"/>
  <c r="N16" i="3"/>
  <c r="I16" i="3"/>
  <c r="J16" i="3" s="1"/>
  <c r="N15" i="3"/>
  <c r="I15" i="3"/>
  <c r="O15" i="3" s="1"/>
  <c r="N14" i="3"/>
  <c r="I14" i="3"/>
  <c r="O14" i="3" s="1"/>
  <c r="N13" i="3"/>
  <c r="I13" i="3"/>
  <c r="J13" i="3" s="1"/>
  <c r="N12" i="3"/>
  <c r="I12" i="3"/>
  <c r="J12" i="3" s="1"/>
  <c r="N11" i="3"/>
  <c r="I11" i="3"/>
  <c r="O11" i="3" s="1"/>
  <c r="N10" i="3"/>
  <c r="I10" i="3"/>
  <c r="O10" i="3" s="1"/>
  <c r="N9" i="3"/>
  <c r="I9" i="3"/>
  <c r="J9" i="3" s="1"/>
  <c r="N8" i="3"/>
  <c r="I8" i="3"/>
  <c r="J8" i="3" s="1"/>
  <c r="H8" i="3"/>
  <c r="O7" i="3"/>
  <c r="N7" i="3"/>
  <c r="J7" i="3"/>
  <c r="I7" i="3"/>
  <c r="O6" i="3"/>
  <c r="N6" i="3"/>
  <c r="J6" i="3"/>
  <c r="I6" i="3"/>
  <c r="O5" i="3"/>
  <c r="N5" i="3"/>
  <c r="J5" i="3"/>
  <c r="I5" i="3"/>
  <c r="O4" i="3"/>
  <c r="N4" i="3"/>
  <c r="J4" i="3"/>
  <c r="I4" i="3"/>
  <c r="O3" i="3"/>
  <c r="N3" i="3"/>
  <c r="J3" i="3"/>
  <c r="I3" i="3"/>
  <c r="O2" i="3"/>
  <c r="N2" i="3"/>
  <c r="N20" i="3" s="1"/>
  <c r="J2" i="3"/>
  <c r="I2" i="3"/>
  <c r="O9" i="3" l="1"/>
  <c r="J11" i="3"/>
  <c r="O13" i="3"/>
  <c r="J15" i="3"/>
  <c r="O17" i="3"/>
  <c r="J19" i="3"/>
  <c r="O8" i="3"/>
  <c r="J10" i="3"/>
  <c r="O12" i="3"/>
  <c r="J14" i="3"/>
  <c r="O16" i="3"/>
  <c r="J18" i="3"/>
  <c r="O20" i="3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88698F0-BA8B-428F-9788-CAC5F96FE3D5}" keepAlive="1" name="Requête - Fusionner2" description="Connexion à la requête « Fusionner2 » dans le classeur." type="5" refreshedVersion="6" background="1" saveData="1">
    <dbPr connection="Provider=Microsoft.Mashup.OleDb.1;Data Source=$Workbook$;Location=Fusionner2;Extended Properties=&quot;&quot;" command="SELECT * FROM [Fusionner2]"/>
  </connection>
  <connection id="2" xr16:uid="{103CCA7D-D9F9-45F3-931E-7DE5E5A018E6}" keepAlive="1" name="Requête - Nbesc" description="Connexion à la requête « Nbesc » dans le classeur." type="5" refreshedVersion="0" background="1">
    <dbPr connection="Provider=Microsoft.Mashup.OleDb.1;Data Source=$Workbook$;Location=Nbesc;Extended Properties=&quot;&quot;" command="SELECT * FROM [Nbesc]"/>
  </connection>
  <connection id="3" xr16:uid="{47100DAC-568C-4600-A01F-6C28B7DF5A71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<sst xmlns="http://schemas.openxmlformats.org/spreadsheetml/2006/main" count="36" uniqueCount="36">
  <si>
    <t>Nbesc.Esc/bqt</t>
  </si>
  <si>
    <t>Net</t>
  </si>
  <si>
    <t>Réel</t>
  </si>
  <si>
    <t>Personnalisé</t>
  </si>
  <si>
    <t>Article</t>
  </si>
  <si>
    <t>Esc/bqt</t>
  </si>
  <si>
    <t>Article Stat code</t>
  </si>
  <si>
    <t>Article Stat lib</t>
  </si>
  <si>
    <t>Net Livré</t>
  </si>
  <si>
    <t>Réel Livré</t>
  </si>
  <si>
    <t>Surpoids</t>
  </si>
  <si>
    <t>Taux surpoids</t>
  </si>
  <si>
    <t xml:space="preserve">Freinte en Bpr </t>
  </si>
  <si>
    <t>Valeur matiere Stat</t>
  </si>
  <si>
    <t>Valeur matiere ss freinte</t>
  </si>
  <si>
    <t>Ecart matiere €</t>
  </si>
  <si>
    <t>Perte</t>
  </si>
  <si>
    <t>Total</t>
  </si>
  <si>
    <t>lib 1</t>
  </si>
  <si>
    <t>lib 2</t>
  </si>
  <si>
    <t>lib 3</t>
  </si>
  <si>
    <t>lib 4</t>
  </si>
  <si>
    <t>lib 5</t>
  </si>
  <si>
    <t>lib 6</t>
  </si>
  <si>
    <t>lib 7</t>
  </si>
  <si>
    <t>lib 8</t>
  </si>
  <si>
    <t>lib 9</t>
  </si>
  <si>
    <t>lib 10</t>
  </si>
  <si>
    <t>lib 11</t>
  </si>
  <si>
    <t>lib 12</t>
  </si>
  <si>
    <t>lib 13</t>
  </si>
  <si>
    <t>lib 14</t>
  </si>
  <si>
    <t>lib 15</t>
  </si>
  <si>
    <t>lib 16</t>
  </si>
  <si>
    <t>lib 17</t>
  </si>
  <si>
    <t>lib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</si>
</sst>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.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</cellStyleXfs>
  <cellXfs count="27">
    <xf numFmtId="0" fontId="0" fillId="0" borderId="0" xfId="0"/>
    <xf numFmtId="164" fontId="0" fillId="0" borderId="0" xfId="1" applyNumberFormat="1" applyFont="1"/>
    <xf numFmtId="0" fontId="0" fillId="2" borderId="1" xfId="0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 wrapText="1" shrinkToFit="1"/>
    </xf>
    <xf numFmtId="164" fontId="0" fillId="2" borderId="2" xfId="0" applyNumberFormat="1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4" fillId="0" borderId="0" xfId="3" applyFont="1"/>
    <xf numFmtId="0" fontId="4" fillId="0" borderId="4" xfId="3" applyFont="1" applyBorder="1"/>
    <xf numFmtId="4" fontId="4" fillId="0" borderId="0" xfId="3" applyNumberFormat="1" applyFont="1"/>
    <xf numFmtId="4" fontId="4" fillId="0" borderId="4" xfId="3" applyNumberFormat="1" applyFont="1" applyBorder="1"/>
    <xf numFmtId="10" fontId="4" fillId="0" borderId="4" xfId="1" applyNumberFormat="1" applyFont="1" applyBorder="1"/>
    <xf numFmtId="44" fontId="4" fillId="0" borderId="4" xfId="2" applyFont="1" applyBorder="1"/>
    <xf numFmtId="44" fontId="1" fillId="0" borderId="0" xfId="2" applyFont="1"/>
    <xf numFmtId="0" fontId="2" fillId="0" borderId="0" xfId="3" applyFont="1"/>
    <xf numFmtId="4" fontId="2" fillId="0" borderId="0" xfId="3" applyNumberFormat="1" applyFont="1"/>
    <xf numFmtId="4" fontId="2" fillId="0" borderId="4" xfId="3" applyNumberFormat="1" applyFont="1" applyBorder="1"/>
    <xf numFmtId="10" fontId="2" fillId="0" borderId="4" xfId="1" applyNumberFormat="1" applyFont="1" applyBorder="1"/>
    <xf numFmtId="44" fontId="2" fillId="0" borderId="4" xfId="2" applyFont="1" applyBorder="1"/>
    <xf numFmtId="0" fontId="4" fillId="0" borderId="0" xfId="0" applyFont="1"/>
    <xf numFmtId="0" fontId="4" fillId="0" borderId="4" xfId="0" applyFont="1" applyBorder="1"/>
    <xf numFmtId="0" fontId="4" fillId="0" borderId="5" xfId="0" applyFont="1" applyBorder="1"/>
    <xf numFmtId="0" fontId="0" fillId="3" borderId="4" xfId="0" applyFill="1" applyBorder="1" applyAlignment="1">
      <alignment horizontal="center"/>
    </xf>
    <xf numFmtId="44" fontId="0" fillId="0" borderId="0" xfId="0" applyNumberFormat="1"/>
    <xf numFmtId="44" fontId="5" fillId="3" borderId="4" xfId="0" applyNumberFormat="1" applyFont="1" applyFill="1" applyBorder="1" applyAlignment="1">
      <alignment horizontal="center"/>
    </xf>
    <xf numFmtId="44" fontId="5" fillId="3" borderId="6" xfId="0" applyNumberFormat="1" applyFont="1" applyFill="1" applyBorder="1" applyAlignment="1">
      <alignment horizontal="center"/>
    </xf>
    <xf numFmtId="10" fontId="0" fillId="0" borderId="0" xfId="1" applyNumberFormat="1" applyFont="1"/>
  </cellXfs>
  <cellStyles count="4">
    <cellStyle name="Monétaire" xfId="2" builtinId="4"/>
    <cellStyle name="Normal" xfId="0" builtinId="0"/>
    <cellStyle name="Normal 18" xfId="3" xr:uid="{77D82A54-0134-4137-8668-E348DD839DC5}"/>
    <cellStyle name="Pourcentage" xfId="1" builtinId="5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</dxf>
    <dxf>
      <numFmt numFmtId="164" formatCode="0.0%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color auto="1"/>
      </font>
      <numFmt numFmtId="14" formatCode="0.00%"/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 outline="0">
        <left/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border outline="0">
        <right style="medium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fill>
        <patternFill patternType="solid">
          <fgColor indexed="64"/>
          <bgColor indexed="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theme="4"/>
        </right>
        <top style="thin">
          <color theme="4"/>
        </top>
        <bottom style="thin">
          <color theme="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00116193/Documents/Projet%20110k/2.%20Definition%20capacit&#233;/Frein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_surpoids"/>
      <sheetName val="3_surpoids (2)"/>
      <sheetName val="3_surpoids (3)"/>
      <sheetName val="Feuil2"/>
      <sheetName val="Feuil1"/>
    </sheetNames>
    <sheetDataSet>
      <sheetData sheetId="0"/>
      <sheetData sheetId="1"/>
      <sheetData sheetId="2"/>
      <sheetData sheetId="3"/>
      <sheetData sheetId="4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9B330130-B211-417B-B095-9E60FB3CA42F}" autoFormatId="16" applyNumberFormats="0" applyBorderFormats="0" applyFontFormats="0" applyPatternFormats="0" applyAlignmentFormats="0" applyWidthHeightFormats="0">
  <queryTableRefresh nextId="5">
    <queryTableFields count="4">
      <queryTableField id="1" name="Nbesc.Esc/bqt" tableColumnId="1"/>
      <queryTableField id="2" name="Net" tableColumnId="2"/>
      <queryTableField id="3" name="Réel" tableColumnId="3"/>
      <queryTableField id="4" name="Personnalisé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321A165-C3DF-4679-8EC4-C5EA5AA19CF6}" name="Nbesc" displayName="Nbesc" ref="A1:B19" totalsRowShown="0">
  <autoFilter ref="A1:B19" xr:uid="{B3B051FA-8883-46D8-8461-FBE71928DC43}"/>
  <tableColumns count="2">
    <tableColumn id="1" xr3:uid="{01AB4CAA-7B7B-4B08-BC03-1B0AD93397BA}" name="Article" dataDxfId="27" dataCellStyle="Normal 18"/>
    <tableColumn id="2" xr3:uid="{4229C7D9-5949-44FF-AA3D-E0A7FFC05D45}" name="Esc/bq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AA64212-8AD5-4830-8504-8D70347728BF}" name="Tableau2" displayName="Tableau2" ref="E1:O20" totalsRowCount="1" headerRowDxfId="26" headerRowBorderDxfId="25" tableBorderDxfId="24">
  <autoFilter ref="E1:O19" xr:uid="{108BD8ED-82F0-4C6A-81E6-808898503C2A}"/>
  <tableColumns count="11">
    <tableColumn id="1" xr3:uid="{061F7506-3B6B-443D-86D7-5EC3BBBFFA58}" name="Article Stat code" totalsRowLabel="Total" dataDxfId="23" totalsRowDxfId="22" dataCellStyle="Normal 18"/>
    <tableColumn id="2" xr3:uid="{6AAE90EB-8A44-4371-9CA9-8F02E9AA9337}" name="Article Stat lib" dataDxfId="21" totalsRowDxfId="20" dataCellStyle="Normal 18"/>
    <tableColumn id="3" xr3:uid="{61815134-FD55-4C81-8999-127C81227A50}" name="Net Livré" dataDxfId="19" totalsRowDxfId="18" dataCellStyle="Normal 18"/>
    <tableColumn id="4" xr3:uid="{FFDB4AAF-B42C-4B44-BD2B-E024220D16B1}" name="Réel Livré" dataDxfId="17" totalsRowDxfId="16" dataCellStyle="Normal 18"/>
    <tableColumn id="5" xr3:uid="{4E798C2D-7EEF-49D4-B1AA-B9A30AA84526}" name="Surpoids" dataDxfId="15" totalsRowDxfId="14" dataCellStyle="Normal 18">
      <calculatedColumnFormula>Tableau2[[#This Row],[Réel Livré]]-Tableau2[[#This Row],[Net Livré]]</calculatedColumnFormula>
    </tableColumn>
    <tableColumn id="6" xr3:uid="{7694AAA6-7024-43C7-A749-E323835FF0FF}" name="Taux surpoids" dataDxfId="13" totalsRowDxfId="12" dataCellStyle="Pourcentage">
      <calculatedColumnFormula>Tableau2[[#This Row],[Surpoids]]/Tableau2[[#This Row],[Net Livré]]</calculatedColumnFormula>
    </tableColumn>
    <tableColumn id="7" xr3:uid="{9D9D8B05-88BB-465F-99A9-3B8C445D82D5}" name="Freinte en Bpr " dataDxfId="11" totalsRowDxfId="10" dataCellStyle="Pourcentage">
      <calculatedColumnFormula>VLOOKUP(E2,'[1]3_surpoids'!$A$2:$G$60,7,FALSE)</calculatedColumnFormula>
    </tableColumn>
    <tableColumn id="8" xr3:uid="{0B751C0A-4230-46F8-827A-E8804CA0856A}" name="Valeur matiere Stat" dataDxfId="9" totalsRowDxfId="8" dataCellStyle="Monétaire"/>
    <tableColumn id="9" xr3:uid="{D802A249-DA3F-4E69-8427-1775E5516E45}" name="Valeur matiere ss freinte" dataDxfId="7" totalsRowDxfId="6" dataCellStyle="Monétaire">
      <calculatedColumnFormula>IFERROR(Tableau2[[#This Row],[Valeur matiere Stat]]*(1-Tableau2[[#This Row],[Freinte en Bpr ]]),"")</calculatedColumnFormula>
    </tableColumn>
    <tableColumn id="10" xr3:uid="{97445D37-F92D-4739-8AAF-4135805DC28E}" name="Ecart matiere €" totalsRowFunction="sum" dataDxfId="5" totalsRowDxfId="4" dataCellStyle="Monétaire">
      <calculatedColumnFormula>IF(Tableau2[[#This Row],[Article Stat code]]="","",(Tableau2[[#This Row],[Net Livré]]*(1+Tableau2[[#This Row],[Freinte en Bpr ]])-Tableau2[[#This Row],[Réel Livré]])*Tableau2[[#This Row],[Valeur matiere Stat]])</calculatedColumnFormula>
    </tableColumn>
    <tableColumn id="11" xr3:uid="{70CE717F-E408-4BEE-8F01-59BC55374AA8}" name="Perte" totalsRowFunction="sum" dataDxfId="3" totalsRowDxfId="2" dataCellStyle="Monétaire">
      <calculatedColumnFormula>Tableau2[[#This Row],[Valeur matiere Stat]]*Tableau2[[#This Row],[Surpoids]]</calculatedColumnFormula>
    </tableColumn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37C44F3-7464-46E3-A024-F06A40E61BCA}" name="Fusionner2" displayName="Fusionner2" ref="A1:D8" tableType="queryTable" totalsRowShown="0">
  <autoFilter ref="A1:D8" xr:uid="{04AE06DE-EF78-4E5E-B6C6-3FA910254A38}"/>
  <tableColumns count="4">
    <tableColumn id="1" xr3:uid="{AED2F983-F772-4F61-B804-2BB79696352A}" uniqueName="1" name="Nbesc.Esc/bqt" queryTableFieldId="1"/>
    <tableColumn id="2" xr3:uid="{8DA05EFC-BCA0-48EB-B11D-59AC19452496}" uniqueName="2" name="Net" queryTableFieldId="2" dataDxfId="0" dataCellStyle="Pourcentage"/>
    <tableColumn id="3" xr3:uid="{2814D519-5612-47A6-B230-0131BFFEF2B5}" uniqueName="3" name="Réel" queryTableFieldId="3"/>
    <tableColumn id="4" xr3:uid="{C1B5290B-6A05-440C-996F-408317FEAEF1}" uniqueName="4" name="Personnalisé" queryTableFieldId="4" dataDxfId="1" dataCellStyle="Pourcentag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"/>
  <sheetViews>
    <sheetView workbookViewId="0">
      <selection activeCell="D3" sqref="D3"/>
    </sheetView>
  </sheetViews>
  <sheetFormatPr baseColWidth="10" defaultRowHeight="15" x14ac:dyDescent="0.25"/>
  <sheetData>
    <row r="1" spans="1:15" ht="45.75" thickBot="1" x14ac:dyDescent="0.3">
      <c r="A1" t="s">
        <v>4</v>
      </c>
      <c r="B1" t="s">
        <v>5</v>
      </c>
      <c r="E1" s="2" t="s">
        <v>6</v>
      </c>
      <c r="F1" s="3" t="s">
        <v>7</v>
      </c>
      <c r="G1" s="3" t="s">
        <v>8</v>
      </c>
      <c r="H1" s="3" t="s">
        <v>9</v>
      </c>
      <c r="I1" s="3" t="s">
        <v>10</v>
      </c>
      <c r="J1" s="3" t="s">
        <v>11</v>
      </c>
      <c r="K1" s="4" t="s">
        <v>12</v>
      </c>
      <c r="L1" s="5" t="s">
        <v>13</v>
      </c>
      <c r="M1" s="5" t="s">
        <v>14</v>
      </c>
      <c r="N1" s="6" t="s">
        <v>15</v>
      </c>
      <c r="O1" s="5" t="s">
        <v>16</v>
      </c>
    </row>
    <row r="2" spans="1:15" x14ac:dyDescent="0.25">
      <c r="A2" s="7">
        <v>1</v>
      </c>
      <c r="B2">
        <v>2</v>
      </c>
      <c r="E2" s="7">
        <v>1</v>
      </c>
      <c r="F2" s="8" t="s">
        <v>18</v>
      </c>
      <c r="G2" s="9">
        <v>12315.84</v>
      </c>
      <c r="H2" s="10">
        <v>13159.99</v>
      </c>
      <c r="I2" s="9">
        <f>Tableau2[[#This Row],[Réel Livré]]-Tableau2[[#This Row],[Net Livré]]</f>
        <v>844.14999999999964</v>
      </c>
      <c r="J2" s="11">
        <f>Tableau2[[#This Row],[Surpoids]]/Tableau2[[#This Row],[Net Livré]]</f>
        <v>6.8541812819913187E-2</v>
      </c>
      <c r="K2" s="11">
        <v>0.03</v>
      </c>
      <c r="L2" s="12">
        <v>1</v>
      </c>
      <c r="M2" s="12">
        <v>1</v>
      </c>
      <c r="N2" s="12">
        <f>IF(Tableau2[[#This Row],[Article Stat code]]="","",(Tableau2[[#This Row],[Net Livré]]*(1+Tableau2[[#This Row],[Freinte en Bpr ]])-Tableau2[[#This Row],[Réel Livré]])*Tableau2[[#This Row],[Valeur matiere Stat]])</f>
        <v>-474.67479999999887</v>
      </c>
      <c r="O2" s="13">
        <f>Tableau2[[#This Row],[Valeur matiere Stat]]*Tableau2[[#This Row],[Surpoids]]</f>
        <v>844.14999999999964</v>
      </c>
    </row>
    <row r="3" spans="1:15" x14ac:dyDescent="0.25">
      <c r="A3" s="7">
        <v>2</v>
      </c>
      <c r="B3">
        <v>2</v>
      </c>
      <c r="E3" s="7">
        <v>2</v>
      </c>
      <c r="F3" s="8" t="s">
        <v>19</v>
      </c>
      <c r="G3" s="9">
        <v>14222.88</v>
      </c>
      <c r="H3" s="10">
        <v>14865.27</v>
      </c>
      <c r="I3" s="9">
        <f>Tableau2[[#This Row],[Réel Livré]]-Tableau2[[#This Row],[Net Livré]]</f>
        <v>642.39000000000124</v>
      </c>
      <c r="J3" s="11">
        <f>Tableau2[[#This Row],[Surpoids]]/Tableau2[[#This Row],[Net Livré]]</f>
        <v>4.5165957949444925E-2</v>
      </c>
      <c r="K3" s="11">
        <v>0.03</v>
      </c>
      <c r="L3" s="12">
        <v>1</v>
      </c>
      <c r="M3" s="12">
        <v>1</v>
      </c>
      <c r="N3" s="12">
        <f>IF(Tableau2[[#This Row],[Article Stat code]]="","",(Tableau2[[#This Row],[Net Livré]]*(1+Tableau2[[#This Row],[Freinte en Bpr ]])-Tableau2[[#This Row],[Réel Livré]])*Tableau2[[#This Row],[Valeur matiere Stat]])</f>
        <v>-215.70360000000073</v>
      </c>
      <c r="O3" s="13">
        <f>Tableau2[[#This Row],[Valeur matiere Stat]]*Tableau2[[#This Row],[Surpoids]]</f>
        <v>642.39000000000124</v>
      </c>
    </row>
    <row r="4" spans="1:15" x14ac:dyDescent="0.25">
      <c r="A4" s="7">
        <v>3</v>
      </c>
      <c r="B4">
        <v>2</v>
      </c>
      <c r="E4" s="7">
        <v>3</v>
      </c>
      <c r="F4" s="8" t="s">
        <v>20</v>
      </c>
      <c r="G4" s="9">
        <v>5993.28</v>
      </c>
      <c r="H4" s="10">
        <v>6310.8</v>
      </c>
      <c r="I4" s="9">
        <f>Tableau2[[#This Row],[Réel Livré]]-Tableau2[[#This Row],[Net Livré]]</f>
        <v>317.52000000000044</v>
      </c>
      <c r="J4" s="11">
        <f>Tableau2[[#This Row],[Surpoids]]/Tableau2[[#This Row],[Net Livré]]</f>
        <v>5.2979336857280228E-2</v>
      </c>
      <c r="K4" s="11">
        <v>0.03</v>
      </c>
      <c r="L4" s="12">
        <v>1</v>
      </c>
      <c r="M4" s="12">
        <v>1</v>
      </c>
      <c r="N4" s="12">
        <f>IF(Tableau2[[#This Row],[Article Stat code]]="","",(Tableau2[[#This Row],[Net Livré]]*(1+Tableau2[[#This Row],[Freinte en Bpr ]])-Tableau2[[#This Row],[Réel Livré]])*Tableau2[[#This Row],[Valeur matiere Stat]])</f>
        <v>-137.72159999999985</v>
      </c>
      <c r="O4" s="13">
        <f>Tableau2[[#This Row],[Valeur matiere Stat]]*Tableau2[[#This Row],[Surpoids]]</f>
        <v>317.52000000000044</v>
      </c>
    </row>
    <row r="5" spans="1:15" x14ac:dyDescent="0.25">
      <c r="A5" s="7">
        <v>4</v>
      </c>
      <c r="B5">
        <v>2</v>
      </c>
      <c r="E5" s="7">
        <v>4</v>
      </c>
      <c r="F5" s="8" t="s">
        <v>21</v>
      </c>
      <c r="G5" s="9">
        <v>16398.48</v>
      </c>
      <c r="H5" s="10">
        <v>17191.810000000001</v>
      </c>
      <c r="I5" s="9">
        <f>Tableau2[[#This Row],[Réel Livré]]-Tableau2[[#This Row],[Net Livré]]</f>
        <v>793.33000000000175</v>
      </c>
      <c r="J5" s="11">
        <f>Tableau2[[#This Row],[Surpoids]]/Tableau2[[#This Row],[Net Livré]]</f>
        <v>4.8378264326937724E-2</v>
      </c>
      <c r="K5" s="11">
        <v>0.03</v>
      </c>
      <c r="L5" s="12">
        <v>1</v>
      </c>
      <c r="M5" s="12">
        <v>1</v>
      </c>
      <c r="N5" s="12">
        <f>IF(Tableau2[[#This Row],[Article Stat code]]="","",(Tableau2[[#This Row],[Net Livré]]*(1+Tableau2[[#This Row],[Freinte en Bpr ]])-Tableau2[[#This Row],[Réel Livré]])*Tableau2[[#This Row],[Valeur matiere Stat]])</f>
        <v>-301.37560000000303</v>
      </c>
      <c r="O5" s="13">
        <f>Tableau2[[#This Row],[Valeur matiere Stat]]*Tableau2[[#This Row],[Surpoids]]</f>
        <v>793.33000000000175</v>
      </c>
    </row>
    <row r="6" spans="1:15" x14ac:dyDescent="0.25">
      <c r="A6" s="7">
        <v>5</v>
      </c>
      <c r="B6">
        <v>2</v>
      </c>
      <c r="E6" s="7">
        <v>5</v>
      </c>
      <c r="F6" s="8" t="s">
        <v>22</v>
      </c>
      <c r="G6" s="9">
        <v>9076.32</v>
      </c>
      <c r="H6" s="10">
        <v>9418.2900000000009</v>
      </c>
      <c r="I6" s="9">
        <f>Tableau2[[#This Row],[Réel Livré]]-Tableau2[[#This Row],[Net Livré]]</f>
        <v>341.97000000000116</v>
      </c>
      <c r="J6" s="11">
        <f>Tableau2[[#This Row],[Surpoids]]/Tableau2[[#This Row],[Net Livré]]</f>
        <v>3.7677164313290094E-2</v>
      </c>
      <c r="K6" s="11">
        <v>0.03</v>
      </c>
      <c r="L6" s="12">
        <v>1</v>
      </c>
      <c r="M6" s="12">
        <v>1</v>
      </c>
      <c r="N6" s="12">
        <f>IF(Tableau2[[#This Row],[Article Stat code]]="","",(Tableau2[[#This Row],[Net Livré]]*(1+Tableau2[[#This Row],[Freinte en Bpr ]])-Tableau2[[#This Row],[Réel Livré]])*Tableau2[[#This Row],[Valeur matiere Stat]])</f>
        <v>-69.6804000000011</v>
      </c>
      <c r="O6" s="13">
        <f>Tableau2[[#This Row],[Valeur matiere Stat]]*Tableau2[[#This Row],[Surpoids]]</f>
        <v>341.97000000000116</v>
      </c>
    </row>
    <row r="7" spans="1:15" x14ac:dyDescent="0.25">
      <c r="A7" s="7">
        <v>6</v>
      </c>
      <c r="B7">
        <v>2</v>
      </c>
      <c r="E7" s="7">
        <v>6</v>
      </c>
      <c r="F7" s="8" t="s">
        <v>23</v>
      </c>
      <c r="G7" s="9">
        <v>3417.12</v>
      </c>
      <c r="H7" s="10">
        <v>3555.7</v>
      </c>
      <c r="I7" s="9">
        <f>Tableau2[[#This Row],[Réel Livré]]-Tableau2[[#This Row],[Net Livré]]</f>
        <v>138.57999999999993</v>
      </c>
      <c r="J7" s="11">
        <f>Tableau2[[#This Row],[Surpoids]]/Tableau2[[#This Row],[Net Livré]]</f>
        <v>4.0554619094442086E-2</v>
      </c>
      <c r="K7" s="11">
        <v>0.03</v>
      </c>
      <c r="L7" s="12">
        <v>1</v>
      </c>
      <c r="M7" s="12">
        <v>1</v>
      </c>
      <c r="N7" s="12">
        <f>IF(Tableau2[[#This Row],[Article Stat code]]="","",(Tableau2[[#This Row],[Net Livré]]*(1+Tableau2[[#This Row],[Freinte en Bpr ]])-Tableau2[[#This Row],[Réel Livré]])*Tableau2[[#This Row],[Valeur matiere Stat]])</f>
        <v>-36.066399999999703</v>
      </c>
      <c r="O7" s="13">
        <f>Tableau2[[#This Row],[Valeur matiere Stat]]*Tableau2[[#This Row],[Surpoids]]</f>
        <v>138.57999999999993</v>
      </c>
    </row>
    <row r="8" spans="1:15" x14ac:dyDescent="0.25">
      <c r="A8" s="14">
        <v>7</v>
      </c>
      <c r="B8">
        <v>6</v>
      </c>
      <c r="E8" s="14">
        <v>7</v>
      </c>
      <c r="F8" s="8" t="s">
        <v>24</v>
      </c>
      <c r="G8" s="15">
        <v>94194.72</v>
      </c>
      <c r="H8" s="16">
        <f>G8*1.03</f>
        <v>97020.561600000001</v>
      </c>
      <c r="I8" s="15">
        <f>Tableau2[[#This Row],[Réel Livré]]-Tableau2[[#This Row],[Net Livré]]</f>
        <v>2825.8415999999997</v>
      </c>
      <c r="J8" s="17">
        <f>Tableau2[[#This Row],[Surpoids]]/Tableau2[[#This Row],[Net Livré]]</f>
        <v>2.9999999999999995E-2</v>
      </c>
      <c r="K8" s="17">
        <v>0.03</v>
      </c>
      <c r="L8" s="18">
        <v>1</v>
      </c>
      <c r="M8" s="18">
        <v>1</v>
      </c>
      <c r="N8" s="18">
        <f>IF(Tableau2[[#This Row],[Article Stat code]]="","",(Tableau2[[#This Row],[Net Livré]]*(1+Tableau2[[#This Row],[Freinte en Bpr ]])-Tableau2[[#This Row],[Réel Livré]])*Tableau2[[#This Row],[Valeur matiere Stat]])</f>
        <v>0</v>
      </c>
      <c r="O8" s="13">
        <f>Tableau2[[#This Row],[Valeur matiere Stat]]*Tableau2[[#This Row],[Surpoids]]</f>
        <v>2825.8415999999997</v>
      </c>
    </row>
    <row r="9" spans="1:15" x14ac:dyDescent="0.25">
      <c r="A9" s="7">
        <v>8</v>
      </c>
      <c r="B9">
        <v>6</v>
      </c>
      <c r="E9" s="7">
        <v>8</v>
      </c>
      <c r="F9" s="8" t="s">
        <v>25</v>
      </c>
      <c r="G9" s="9">
        <v>812.16</v>
      </c>
      <c r="H9" s="10">
        <v>835.91</v>
      </c>
      <c r="I9" s="9">
        <f>Tableau2[[#This Row],[Réel Livré]]-Tableau2[[#This Row],[Net Livré]]</f>
        <v>23.75</v>
      </c>
      <c r="J9" s="11">
        <f>Tableau2[[#This Row],[Surpoids]]/Tableau2[[#This Row],[Net Livré]]</f>
        <v>2.9243006304176519E-2</v>
      </c>
      <c r="K9" s="11">
        <v>0.03</v>
      </c>
      <c r="L9" s="12">
        <v>1</v>
      </c>
      <c r="M9" s="12">
        <v>1</v>
      </c>
      <c r="N9" s="12">
        <f>IF(Tableau2[[#This Row],[Article Stat code]]="","",(Tableau2[[#This Row],[Net Livré]]*(1+Tableau2[[#This Row],[Freinte en Bpr ]])-Tableau2[[#This Row],[Réel Livré]])*Tableau2[[#This Row],[Valeur matiere Stat]])</f>
        <v>0.6148000000000593</v>
      </c>
      <c r="O9" s="13">
        <f>Tableau2[[#This Row],[Valeur matiere Stat]]*Tableau2[[#This Row],[Surpoids]]</f>
        <v>23.75</v>
      </c>
    </row>
    <row r="10" spans="1:15" x14ac:dyDescent="0.25">
      <c r="A10" s="7">
        <v>9</v>
      </c>
      <c r="B10">
        <v>4</v>
      </c>
      <c r="E10" s="7">
        <v>9</v>
      </c>
      <c r="F10" s="8" t="s">
        <v>26</v>
      </c>
      <c r="G10" s="9">
        <v>457.92</v>
      </c>
      <c r="H10" s="10">
        <v>468.07</v>
      </c>
      <c r="I10" s="9">
        <f>Tableau2[[#This Row],[Réel Livré]]-Tableau2[[#This Row],[Net Livré]]</f>
        <v>10.149999999999977</v>
      </c>
      <c r="J10" s="11">
        <f>Tableau2[[#This Row],[Surpoids]]/Tableau2[[#This Row],[Net Livré]]</f>
        <v>2.2165443745632375E-2</v>
      </c>
      <c r="K10" s="11">
        <v>0.03</v>
      </c>
      <c r="L10" s="12">
        <v>1</v>
      </c>
      <c r="M10" s="12">
        <v>1</v>
      </c>
      <c r="N10" s="12">
        <f>IF(Tableau2[[#This Row],[Article Stat code]]="","",(Tableau2[[#This Row],[Net Livré]]*(1+Tableau2[[#This Row],[Freinte en Bpr ]])-Tableau2[[#This Row],[Réel Livré]])*Tableau2[[#This Row],[Valeur matiere Stat]])</f>
        <v>3.587600000000009</v>
      </c>
      <c r="O10" s="13">
        <f>Tableau2[[#This Row],[Valeur matiere Stat]]*Tableau2[[#This Row],[Surpoids]]</f>
        <v>10.149999999999977</v>
      </c>
    </row>
    <row r="11" spans="1:15" x14ac:dyDescent="0.25">
      <c r="A11" s="7">
        <v>10</v>
      </c>
      <c r="B11">
        <v>1</v>
      </c>
      <c r="E11" s="7">
        <v>10</v>
      </c>
      <c r="F11" s="8" t="s">
        <v>27</v>
      </c>
      <c r="G11" s="9">
        <v>784.32</v>
      </c>
      <c r="H11" s="10">
        <v>795.18</v>
      </c>
      <c r="I11" s="9">
        <f>Tableau2[[#This Row],[Réel Livré]]-Tableau2[[#This Row],[Net Livré]]</f>
        <v>10.8599999999999</v>
      </c>
      <c r="J11" s="11">
        <f>Tableau2[[#This Row],[Surpoids]]/Tableau2[[#This Row],[Net Livré]]</f>
        <v>1.3846389228886041E-2</v>
      </c>
      <c r="K11" s="11">
        <v>0.03</v>
      </c>
      <c r="L11" s="12">
        <v>1</v>
      </c>
      <c r="M11" s="12">
        <v>1</v>
      </c>
      <c r="N11" s="12">
        <f>IF(Tableau2[[#This Row],[Article Stat code]]="","",(Tableau2[[#This Row],[Net Livré]]*(1+Tableau2[[#This Row],[Freinte en Bpr ]])-Tableau2[[#This Row],[Réel Livré]])*Tableau2[[#This Row],[Valeur matiere Stat]])</f>
        <v>12.669600000000173</v>
      </c>
      <c r="O11" s="13">
        <f>Tableau2[[#This Row],[Valeur matiere Stat]]*Tableau2[[#This Row],[Surpoids]]</f>
        <v>10.8599999999999</v>
      </c>
    </row>
    <row r="12" spans="1:15" x14ac:dyDescent="0.25">
      <c r="A12" s="7">
        <v>11</v>
      </c>
      <c r="B12">
        <v>3</v>
      </c>
      <c r="E12" s="7">
        <v>11</v>
      </c>
      <c r="F12" s="8" t="s">
        <v>28</v>
      </c>
      <c r="G12" s="9">
        <v>355.2</v>
      </c>
      <c r="H12" s="10">
        <v>365.51</v>
      </c>
      <c r="I12" s="9">
        <f>Tableau2[[#This Row],[Réel Livré]]-Tableau2[[#This Row],[Net Livré]]</f>
        <v>10.310000000000002</v>
      </c>
      <c r="J12" s="11">
        <f>Tableau2[[#This Row],[Surpoids]]/Tableau2[[#This Row],[Net Livré]]</f>
        <v>2.902590090090091E-2</v>
      </c>
      <c r="K12" s="11">
        <v>0.03</v>
      </c>
      <c r="L12" s="12">
        <v>1</v>
      </c>
      <c r="M12" s="12">
        <v>1</v>
      </c>
      <c r="N12" s="12">
        <f>IF(Tableau2[[#This Row],[Article Stat code]]="","",(Tableau2[[#This Row],[Net Livré]]*(1+Tableau2[[#This Row],[Freinte en Bpr ]])-Tableau2[[#This Row],[Réel Livré]])*Tableau2[[#This Row],[Valeur matiere Stat]])</f>
        <v>0.34600000000000364</v>
      </c>
      <c r="O12" s="13">
        <f>Tableau2[[#This Row],[Valeur matiere Stat]]*Tableau2[[#This Row],[Surpoids]]</f>
        <v>10.310000000000002</v>
      </c>
    </row>
    <row r="13" spans="1:15" x14ac:dyDescent="0.25">
      <c r="A13" s="7">
        <v>12</v>
      </c>
      <c r="B13">
        <v>5</v>
      </c>
      <c r="E13" s="7">
        <v>12</v>
      </c>
      <c r="F13" s="8" t="s">
        <v>29</v>
      </c>
      <c r="G13" s="9">
        <v>1454.4</v>
      </c>
      <c r="H13" s="10">
        <v>1489.51</v>
      </c>
      <c r="I13" s="9">
        <f>Tableau2[[#This Row],[Réel Livré]]-Tableau2[[#This Row],[Net Livré]]</f>
        <v>35.1099999999999</v>
      </c>
      <c r="J13" s="11">
        <f>Tableau2[[#This Row],[Surpoids]]/Tableau2[[#This Row],[Net Livré]]</f>
        <v>2.414053905390532E-2</v>
      </c>
      <c r="K13" s="11">
        <v>0.03</v>
      </c>
      <c r="L13" s="12">
        <v>1</v>
      </c>
      <c r="M13" s="12">
        <v>1</v>
      </c>
      <c r="N13" s="12">
        <f>IF(Tableau2[[#This Row],[Article Stat code]]="","",(Tableau2[[#This Row],[Net Livré]]*(1+Tableau2[[#This Row],[Freinte en Bpr ]])-Tableau2[[#This Row],[Réel Livré]])*Tableau2[[#This Row],[Valeur matiere Stat]])</f>
        <v>8.5220000000001619</v>
      </c>
      <c r="O13" s="13">
        <f>Tableau2[[#This Row],[Valeur matiere Stat]]*Tableau2[[#This Row],[Surpoids]]</f>
        <v>35.1099999999999</v>
      </c>
    </row>
    <row r="14" spans="1:15" x14ac:dyDescent="0.25">
      <c r="A14" s="7">
        <v>13</v>
      </c>
      <c r="B14">
        <v>5</v>
      </c>
      <c r="E14" s="7">
        <v>13</v>
      </c>
      <c r="F14" s="8" t="s">
        <v>30</v>
      </c>
      <c r="G14" s="9">
        <v>5100</v>
      </c>
      <c r="H14" s="10">
        <v>5221.43</v>
      </c>
      <c r="I14" s="9">
        <f>Tableau2[[#This Row],[Réel Livré]]-Tableau2[[#This Row],[Net Livré]]</f>
        <v>121.43000000000029</v>
      </c>
      <c r="J14" s="11">
        <f>Tableau2[[#This Row],[Surpoids]]/Tableau2[[#This Row],[Net Livré]]</f>
        <v>2.3809803921568683E-2</v>
      </c>
      <c r="K14" s="11">
        <v>0.03</v>
      </c>
      <c r="L14" s="12">
        <v>1</v>
      </c>
      <c r="M14" s="12">
        <v>1</v>
      </c>
      <c r="N14" s="12">
        <f>IF(Tableau2[[#This Row],[Article Stat code]]="","",(Tableau2[[#This Row],[Net Livré]]*(1+Tableau2[[#This Row],[Freinte en Bpr ]])-Tableau2[[#This Row],[Réel Livré]])*Tableau2[[#This Row],[Valeur matiere Stat]])</f>
        <v>31.569999999999709</v>
      </c>
      <c r="O14" s="13">
        <f>Tableau2[[#This Row],[Valeur matiere Stat]]*Tableau2[[#This Row],[Surpoids]]</f>
        <v>121.43000000000029</v>
      </c>
    </row>
    <row r="15" spans="1:15" x14ac:dyDescent="0.25">
      <c r="A15" s="7">
        <v>14</v>
      </c>
      <c r="B15">
        <v>3</v>
      </c>
      <c r="E15" s="7">
        <v>14</v>
      </c>
      <c r="F15" s="8" t="s">
        <v>31</v>
      </c>
      <c r="G15" s="9">
        <v>4070.4</v>
      </c>
      <c r="H15" s="10">
        <v>4124.21</v>
      </c>
      <c r="I15" s="9">
        <f>Tableau2[[#This Row],[Réel Livré]]-Tableau2[[#This Row],[Net Livré]]</f>
        <v>53.809999999999945</v>
      </c>
      <c r="J15" s="11">
        <f>Tableau2[[#This Row],[Surpoids]]/Tableau2[[#This Row],[Net Livré]]</f>
        <v>1.3219830974842754E-2</v>
      </c>
      <c r="K15" s="11">
        <v>0.03</v>
      </c>
      <c r="L15" s="12">
        <v>1</v>
      </c>
      <c r="M15" s="12">
        <v>1</v>
      </c>
      <c r="N15" s="12">
        <f>IF(Tableau2[[#This Row],[Article Stat code]]="","",(Tableau2[[#This Row],[Net Livré]]*(1+Tableau2[[#This Row],[Freinte en Bpr ]])-Tableau2[[#This Row],[Réel Livré]])*Tableau2[[#This Row],[Valeur matiere Stat]])</f>
        <v>68.302000000000589</v>
      </c>
      <c r="O15" s="13">
        <f>Tableau2[[#This Row],[Valeur matiere Stat]]*Tableau2[[#This Row],[Surpoids]]</f>
        <v>53.809999999999945</v>
      </c>
    </row>
    <row r="16" spans="1:15" x14ac:dyDescent="0.25">
      <c r="A16" s="7">
        <v>15</v>
      </c>
      <c r="B16">
        <v>8</v>
      </c>
      <c r="E16" s="7">
        <v>15</v>
      </c>
      <c r="F16" s="8" t="s">
        <v>32</v>
      </c>
      <c r="G16" s="9">
        <v>10141.200000000001</v>
      </c>
      <c r="H16" s="10">
        <v>10376.620000000001</v>
      </c>
      <c r="I16" s="9">
        <f>Tableau2[[#This Row],[Réel Livré]]-Tableau2[[#This Row],[Net Livré]]</f>
        <v>235.42000000000007</v>
      </c>
      <c r="J16" s="11">
        <f>Tableau2[[#This Row],[Surpoids]]/Tableau2[[#This Row],[Net Livré]]</f>
        <v>2.3214215280242975E-2</v>
      </c>
      <c r="K16" s="11">
        <v>0.03</v>
      </c>
      <c r="L16" s="12">
        <v>1</v>
      </c>
      <c r="M16" s="12">
        <v>1</v>
      </c>
      <c r="N16" s="12">
        <f>IF(Tableau2[[#This Row],[Article Stat code]]="","",(Tableau2[[#This Row],[Net Livré]]*(1+Tableau2[[#This Row],[Freinte en Bpr ]])-Tableau2[[#This Row],[Réel Livré]])*Tableau2[[#This Row],[Valeur matiere Stat]])</f>
        <v>68.816000000000713</v>
      </c>
      <c r="O16" s="13">
        <f>Tableau2[[#This Row],[Valeur matiere Stat]]*Tableau2[[#This Row],[Surpoids]]</f>
        <v>235.42000000000007</v>
      </c>
    </row>
    <row r="17" spans="1:15" x14ac:dyDescent="0.25">
      <c r="A17" s="7">
        <v>16</v>
      </c>
      <c r="B17">
        <v>3</v>
      </c>
      <c r="E17" s="7">
        <v>16</v>
      </c>
      <c r="F17" s="8" t="s">
        <v>33</v>
      </c>
      <c r="G17" s="9">
        <v>5488</v>
      </c>
      <c r="H17" s="10">
        <v>5563.88</v>
      </c>
      <c r="I17" s="9">
        <f>Tableau2[[#This Row],[Réel Livré]]-Tableau2[[#This Row],[Net Livré]]</f>
        <v>75.880000000000109</v>
      </c>
      <c r="J17" s="11">
        <f>Tableau2[[#This Row],[Surpoids]]/Tableau2[[#This Row],[Net Livré]]</f>
        <v>1.3826530612244918E-2</v>
      </c>
      <c r="K17" s="11">
        <v>0.03</v>
      </c>
      <c r="L17" s="12">
        <v>1</v>
      </c>
      <c r="M17" s="12">
        <v>1</v>
      </c>
      <c r="N17" s="12">
        <f>IF(Tableau2[[#This Row],[Article Stat code]]="","",(Tableau2[[#This Row],[Net Livré]]*(1+Tableau2[[#This Row],[Freinte en Bpr ]])-Tableau2[[#This Row],[Réel Livré]])*Tableau2[[#This Row],[Valeur matiere Stat]])</f>
        <v>88.760000000000218</v>
      </c>
      <c r="O17" s="13">
        <f>Tableau2[[#This Row],[Valeur matiere Stat]]*Tableau2[[#This Row],[Surpoids]]</f>
        <v>75.880000000000109</v>
      </c>
    </row>
    <row r="18" spans="1:15" x14ac:dyDescent="0.25">
      <c r="A18" s="7">
        <v>17</v>
      </c>
      <c r="B18">
        <v>2</v>
      </c>
      <c r="E18" s="7">
        <v>17</v>
      </c>
      <c r="F18" s="8" t="s">
        <v>34</v>
      </c>
      <c r="G18" s="9">
        <v>5250.96</v>
      </c>
      <c r="H18" s="10">
        <v>5303.2</v>
      </c>
      <c r="I18" s="9">
        <f>Tableau2[[#This Row],[Réel Livré]]-Tableau2[[#This Row],[Net Livré]]</f>
        <v>52.239999999999782</v>
      </c>
      <c r="J18" s="11">
        <f>Tableau2[[#This Row],[Surpoids]]/Tableau2[[#This Row],[Net Livré]]</f>
        <v>9.948657007480495E-3</v>
      </c>
      <c r="K18" s="11">
        <v>0.03</v>
      </c>
      <c r="L18" s="12">
        <v>1</v>
      </c>
      <c r="M18" s="12">
        <v>1</v>
      </c>
      <c r="N18" s="12">
        <f>IF(Tableau2[[#This Row],[Article Stat code]]="","",(Tableau2[[#This Row],[Net Livré]]*(1+Tableau2[[#This Row],[Freinte en Bpr ]])-Tableau2[[#This Row],[Réel Livré]])*Tableau2[[#This Row],[Valeur matiere Stat]])</f>
        <v>105.28880000000026</v>
      </c>
      <c r="O18" s="13">
        <f>Tableau2[[#This Row],[Valeur matiere Stat]]*Tableau2[[#This Row],[Surpoids]]</f>
        <v>52.239999999999782</v>
      </c>
    </row>
    <row r="19" spans="1:15" x14ac:dyDescent="0.25">
      <c r="A19" s="7">
        <v>18</v>
      </c>
      <c r="E19" s="7">
        <v>18</v>
      </c>
      <c r="F19" s="8" t="s">
        <v>35</v>
      </c>
      <c r="G19" s="9">
        <v>10088.16</v>
      </c>
      <c r="H19" s="10">
        <v>10450.09</v>
      </c>
      <c r="I19" s="9">
        <f>Tableau2[[#This Row],[Réel Livré]]-Tableau2[[#This Row],[Net Livré]]</f>
        <v>361.93000000000029</v>
      </c>
      <c r="J19" s="11">
        <f>Tableau2[[#This Row],[Surpoids]]/Tableau2[[#This Row],[Net Livré]]</f>
        <v>3.587671091655964E-2</v>
      </c>
      <c r="K19" s="11">
        <v>0.03</v>
      </c>
      <c r="L19" s="12">
        <v>1</v>
      </c>
      <c r="M19" s="12">
        <v>1</v>
      </c>
      <c r="N19" s="12">
        <f>IF(Tableau2[[#This Row],[Article Stat code]]="","",(Tableau2[[#This Row],[Net Livré]]*(1+Tableau2[[#This Row],[Freinte en Bpr ]])-Tableau2[[#This Row],[Réel Livré]])*Tableau2[[#This Row],[Valeur matiere Stat]])</f>
        <v>-59.285200000000259</v>
      </c>
      <c r="O19" s="13">
        <f>Tableau2[[#This Row],[Valeur matiere Stat]]*Tableau2[[#This Row],[Surpoids]]</f>
        <v>361.93000000000029</v>
      </c>
    </row>
    <row r="20" spans="1:15" x14ac:dyDescent="0.25">
      <c r="E20" s="19" t="s">
        <v>17</v>
      </c>
      <c r="F20" s="20"/>
      <c r="G20" s="19"/>
      <c r="H20" s="20"/>
      <c r="I20" s="21"/>
      <c r="J20" s="20"/>
      <c r="K20" s="22"/>
      <c r="L20" s="24"/>
      <c r="M20" s="24"/>
      <c r="N20" s="25">
        <f>SUBTOTAL(109,Tableau2[Ecart matiere €])</f>
        <v>-906.03080000000159</v>
      </c>
      <c r="O20" s="23">
        <f>SUBTOTAL(109,Tableau2[Perte])</f>
        <v>6894.6716000000042</v>
      </c>
    </row>
  </sheetData>
  <phoneticPr fontId="6" type="noConversion"/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"/>
  <sheetViews>
    <sheetView tabSelected="1" workbookViewId="0">
      <selection activeCell="C6" sqref="C6"/>
    </sheetView>
  </sheetViews>
  <sheetFormatPr baseColWidth="10" defaultRowHeight="15" x14ac:dyDescent="0.25"/>
  <cols>
    <col min="1" max="1" width="15.85546875" bestFit="1" customWidth="1"/>
    <col min="2" max="2" width="7.140625" bestFit="1" customWidth="1"/>
    <col min="3" max="3" width="11" bestFit="1" customWidth="1"/>
    <col min="4" max="4" width="14.7109375" bestFit="1" customWidth="1"/>
    <col min="5" max="5" width="15.85546875" bestFit="1" customWidth="1"/>
    <col min="6" max="6" width="20.28515625" bestFit="1" customWidth="1"/>
    <col min="7" max="7" width="12.7109375" bestFit="1" customWidth="1"/>
    <col min="8" max="8" width="18.855468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s="26">
        <v>4.1381668224880902E-3</v>
      </c>
      <c r="C2">
        <v>795.18</v>
      </c>
      <c r="D2" s="1">
        <v>1.3846389228886041E-2</v>
      </c>
    </row>
    <row r="3" spans="1:4" x14ac:dyDescent="0.25">
      <c r="A3">
        <v>2</v>
      </c>
      <c r="B3" s="26">
        <v>0.35178470051684901</v>
      </c>
      <c r="C3">
        <v>69805.060000000012</v>
      </c>
      <c r="D3" s="1">
        <v>4.6946916139931669E-2</v>
      </c>
    </row>
    <row r="4" spans="1:4" x14ac:dyDescent="0.25">
      <c r="A4">
        <v>3</v>
      </c>
      <c r="B4" s="26">
        <v>5.2305348086773201E-2</v>
      </c>
      <c r="C4">
        <v>10053.6</v>
      </c>
      <c r="D4" s="1">
        <v>1.4122014202711426E-2</v>
      </c>
    </row>
    <row r="5" spans="1:4" x14ac:dyDescent="0.25">
      <c r="A5">
        <v>4</v>
      </c>
      <c r="B5" s="26">
        <v>2.4160410946472699E-3</v>
      </c>
      <c r="C5">
        <v>468.07</v>
      </c>
      <c r="D5" s="1">
        <v>2.2165443745632375E-2</v>
      </c>
    </row>
    <row r="6" spans="1:4" x14ac:dyDescent="0.25">
      <c r="A6">
        <v>5</v>
      </c>
      <c r="B6" s="26">
        <v>3.4581804137744698E-2</v>
      </c>
      <c r="C6">
        <v>6710.9400000000005</v>
      </c>
      <c r="D6" s="1">
        <v>2.3883192969608336E-2</v>
      </c>
    </row>
    <row r="7" spans="1:4" x14ac:dyDescent="0.25">
      <c r="A7">
        <v>6</v>
      </c>
      <c r="B7" s="26">
        <v>0.50126774623126702</v>
      </c>
      <c r="C7">
        <v>97856.471600000004</v>
      </c>
      <c r="D7" s="1">
        <v>2.9993528889697248E-2</v>
      </c>
    </row>
    <row r="8" spans="1:4" x14ac:dyDescent="0.25">
      <c r="A8">
        <v>8</v>
      </c>
      <c r="B8" s="26">
        <v>5.3506193110230797E-2</v>
      </c>
      <c r="C8">
        <v>10376.620000000001</v>
      </c>
      <c r="D8" s="1">
        <v>2.3214215280242975E-2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5846113-4931-48D5-B578-73CF5180C22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Chauviere</dc:creator>
  <cp:lastModifiedBy> </cp:lastModifiedBy>
  <dcterms:created xsi:type="dcterms:W3CDTF">2021-03-30T13:56:54Z</dcterms:created>
  <dcterms:modified xsi:type="dcterms:W3CDTF">2021-04-01T12:23:05Z</dcterms:modified>
</cp:coreProperties>
</file>