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8800" windowHeight="12435" activeTab="8"/>
  </bookViews>
  <sheets>
    <sheet name="tata" sheetId="18" r:id="rId1"/>
    <sheet name="tete" sheetId="19" r:id="rId2"/>
    <sheet name="toto" sheetId="20" r:id="rId3"/>
    <sheet name="tyty" sheetId="21" r:id="rId4"/>
    <sheet name="tutu" sheetId="22" r:id="rId5"/>
    <sheet name="titi" sheetId="23" r:id="rId6"/>
    <sheet name="2018" sheetId="11" r:id="rId7"/>
    <sheet name="2017" sheetId="16" r:id="rId8"/>
    <sheet name="Demandes" sheetId="17" r:id="rId9"/>
    <sheet name="Nouvelle Demande" sheetId="24" r:id="rId10"/>
    <sheet name="Personnel" sheetId="12" r:id="rId11"/>
  </sheets>
  <functionGroups builtInGroupCount="18"/>
  <externalReferences>
    <externalReference r:id="rId12"/>
  </externalReferences>
  <definedNames>
    <definedName name="AnnéeCalendrier" localSheetId="7">'2017'!$AG$4</definedName>
    <definedName name="AnnéeCalendrier">'2018'!$AG$4</definedName>
    <definedName name="CléCongé">[1]Janvier!$C$2</definedName>
    <definedName name="CléMaladie">[1]Janvier!$J$2</definedName>
    <definedName name="CléPersonnalisée1">[1]Janvier!$M$2</definedName>
    <definedName name="CléPersonnalisée2">[1]Janvier!$R$2</definedName>
    <definedName name="CléPersonnel">[1]Janvier!$F$2</definedName>
    <definedName name="feb">[1]Janvier!$AH$4</definedName>
    <definedName name="Jan" localSheetId="7">'2017'!$AG$4</definedName>
    <definedName name="Jan">'2018'!$AG$4</definedName>
    <definedName name="NomMois" localSheetId="7">'2017'!$B$4</definedName>
    <definedName name="NomMois" localSheetId="6">'2018'!$B$4</definedName>
    <definedName name="types_congé">Personnel!$C$10:$D$18</definedName>
  </definedNames>
  <calcPr calcId="152511"/>
</workbook>
</file>

<file path=xl/calcChain.xml><?xml version="1.0" encoding="utf-8"?>
<calcChain xmlns="http://schemas.openxmlformats.org/spreadsheetml/2006/main">
  <c r="F3" i="17" l="1"/>
  <c r="B77" i="11"/>
  <c r="C77" i="11" s="1"/>
  <c r="D77" i="11" s="1"/>
  <c r="E77" i="11" s="1"/>
  <c r="F77" i="11" s="1"/>
  <c r="G77" i="11" s="1"/>
  <c r="H77" i="11" s="1"/>
  <c r="I77" i="11" s="1"/>
  <c r="J77" i="11" s="1"/>
  <c r="K77" i="11" s="1"/>
  <c r="L77" i="11" s="1"/>
  <c r="M77" i="11" s="1"/>
  <c r="N77" i="11" s="1"/>
  <c r="O77" i="11" s="1"/>
  <c r="P77" i="11" s="1"/>
  <c r="Q77" i="11" s="1"/>
  <c r="R77" i="11" s="1"/>
  <c r="S77" i="11" s="1"/>
  <c r="T77" i="11" s="1"/>
  <c r="U77" i="11" s="1"/>
  <c r="V77" i="11" s="1"/>
  <c r="W77" i="11" s="1"/>
  <c r="X77" i="11" s="1"/>
  <c r="Y77" i="11" s="1"/>
  <c r="Z77" i="11" s="1"/>
  <c r="AA77" i="11" s="1"/>
  <c r="AB77" i="11" s="1"/>
  <c r="AC77" i="11" s="1"/>
  <c r="AD77" i="11" s="1"/>
  <c r="AE77" i="11" s="1"/>
  <c r="AF77" i="11" s="1"/>
  <c r="B137" i="11" l="1"/>
  <c r="C137" i="11" s="1"/>
  <c r="D137" i="11" s="1"/>
  <c r="E137" i="11" s="1"/>
  <c r="F137" i="11" s="1"/>
  <c r="G137" i="11" s="1"/>
  <c r="H137" i="11" s="1"/>
  <c r="I137" i="11" s="1"/>
  <c r="J137" i="11" s="1"/>
  <c r="K137" i="11" s="1"/>
  <c r="L137" i="11" s="1"/>
  <c r="M137" i="11" s="1"/>
  <c r="N137" i="11" s="1"/>
  <c r="O137" i="11" s="1"/>
  <c r="P137" i="11" s="1"/>
  <c r="Q137" i="11" s="1"/>
  <c r="R137" i="11" s="1"/>
  <c r="S137" i="11" s="1"/>
  <c r="T137" i="11" s="1"/>
  <c r="U137" i="11" s="1"/>
  <c r="V137" i="11" s="1"/>
  <c r="W137" i="11" s="1"/>
  <c r="X137" i="11" s="1"/>
  <c r="Y137" i="11" s="1"/>
  <c r="Z137" i="11" s="1"/>
  <c r="AA137" i="11" s="1"/>
  <c r="AB137" i="11" s="1"/>
  <c r="AC137" i="11" s="1"/>
  <c r="AD137" i="11" s="1"/>
  <c r="AE137" i="11" s="1"/>
  <c r="AF137" i="11" s="1"/>
  <c r="B125" i="11"/>
  <c r="C125" i="11" s="1"/>
  <c r="D125" i="11" s="1"/>
  <c r="E125" i="11" s="1"/>
  <c r="F125" i="11" s="1"/>
  <c r="G125" i="11" s="1"/>
  <c r="H125" i="11" s="1"/>
  <c r="I125" i="11" s="1"/>
  <c r="J125" i="11" s="1"/>
  <c r="K125" i="11" s="1"/>
  <c r="L125" i="11" s="1"/>
  <c r="M125" i="11" s="1"/>
  <c r="N125" i="11" s="1"/>
  <c r="O125" i="11" s="1"/>
  <c r="P125" i="11" s="1"/>
  <c r="Q125" i="11" s="1"/>
  <c r="R125" i="11" s="1"/>
  <c r="S125" i="11" s="1"/>
  <c r="T125" i="11" s="1"/>
  <c r="U125" i="11" s="1"/>
  <c r="V125" i="11" s="1"/>
  <c r="W125" i="11" s="1"/>
  <c r="X125" i="11" s="1"/>
  <c r="Y125" i="11" s="1"/>
  <c r="Z125" i="11" s="1"/>
  <c r="AA125" i="11" s="1"/>
  <c r="AB125" i="11" s="1"/>
  <c r="AC125" i="11" s="1"/>
  <c r="AD125" i="11" s="1"/>
  <c r="AE125" i="11" s="1"/>
  <c r="B113" i="11"/>
  <c r="C113" i="11" s="1"/>
  <c r="D113" i="11" s="1"/>
  <c r="E113" i="11" s="1"/>
  <c r="F113" i="11" s="1"/>
  <c r="G113" i="11" s="1"/>
  <c r="H113" i="11" s="1"/>
  <c r="I113" i="11" s="1"/>
  <c r="J113" i="11" s="1"/>
  <c r="K113" i="11" s="1"/>
  <c r="L113" i="11" s="1"/>
  <c r="M113" i="11" s="1"/>
  <c r="N113" i="11" s="1"/>
  <c r="O113" i="11" s="1"/>
  <c r="P113" i="11" s="1"/>
  <c r="Q113" i="11" s="1"/>
  <c r="R113" i="11" s="1"/>
  <c r="S113" i="11" s="1"/>
  <c r="T113" i="11" s="1"/>
  <c r="U113" i="11" s="1"/>
  <c r="V113" i="11" s="1"/>
  <c r="W113" i="11" s="1"/>
  <c r="X113" i="11" s="1"/>
  <c r="Y113" i="11" s="1"/>
  <c r="Z113" i="11" s="1"/>
  <c r="AA113" i="11" s="1"/>
  <c r="AB113" i="11" s="1"/>
  <c r="AC113" i="11" s="1"/>
  <c r="AD113" i="11" s="1"/>
  <c r="AE113" i="11" s="1"/>
  <c r="AF113" i="11" s="1"/>
  <c r="B101" i="11"/>
  <c r="C101" i="11" s="1"/>
  <c r="D101" i="11" s="1"/>
  <c r="E101" i="11" s="1"/>
  <c r="F101" i="11" s="1"/>
  <c r="G101" i="11" s="1"/>
  <c r="H101" i="11" s="1"/>
  <c r="I101" i="11" s="1"/>
  <c r="J101" i="11" s="1"/>
  <c r="K101" i="11" s="1"/>
  <c r="L101" i="11" s="1"/>
  <c r="M101" i="11" s="1"/>
  <c r="N101" i="11" s="1"/>
  <c r="O101" i="11" s="1"/>
  <c r="P101" i="11" s="1"/>
  <c r="Q101" i="11" s="1"/>
  <c r="R101" i="11" s="1"/>
  <c r="S101" i="11" s="1"/>
  <c r="T101" i="11" s="1"/>
  <c r="U101" i="11" s="1"/>
  <c r="V101" i="11" s="1"/>
  <c r="W101" i="11" s="1"/>
  <c r="X101" i="11" s="1"/>
  <c r="Y101" i="11" s="1"/>
  <c r="Z101" i="11" s="1"/>
  <c r="AA101" i="11" s="1"/>
  <c r="AB101" i="11" s="1"/>
  <c r="AC101" i="11" s="1"/>
  <c r="AD101" i="11" s="1"/>
  <c r="AE101" i="11" s="1"/>
  <c r="B89" i="11"/>
  <c r="C89" i="11" s="1"/>
  <c r="D89" i="11" s="1"/>
  <c r="E89" i="11" s="1"/>
  <c r="F89" i="11" s="1"/>
  <c r="G89" i="11" s="1"/>
  <c r="H89" i="11" s="1"/>
  <c r="I89" i="11" s="1"/>
  <c r="J89" i="11" s="1"/>
  <c r="K89" i="11" s="1"/>
  <c r="L89" i="11" s="1"/>
  <c r="M89" i="11" s="1"/>
  <c r="N89" i="11" s="1"/>
  <c r="O89" i="11" s="1"/>
  <c r="P89" i="11" s="1"/>
  <c r="Q89" i="11" s="1"/>
  <c r="R89" i="11" s="1"/>
  <c r="S89" i="11" s="1"/>
  <c r="T89" i="11" s="1"/>
  <c r="U89" i="11" s="1"/>
  <c r="V89" i="11" s="1"/>
  <c r="W89" i="11" s="1"/>
  <c r="X89" i="11" s="1"/>
  <c r="Y89" i="11" s="1"/>
  <c r="Z89" i="11" s="1"/>
  <c r="AA89" i="11" s="1"/>
  <c r="AB89" i="11" s="1"/>
  <c r="AC89" i="11" s="1"/>
  <c r="AD89" i="11" s="1"/>
  <c r="AE89" i="11" s="1"/>
  <c r="AF89" i="11" s="1"/>
  <c r="B65" i="11"/>
  <c r="C65" i="11" s="1"/>
  <c r="D65" i="11" s="1"/>
  <c r="E65" i="11" s="1"/>
  <c r="F65" i="11" s="1"/>
  <c r="G65" i="11" s="1"/>
  <c r="H65" i="11" s="1"/>
  <c r="I65" i="11" s="1"/>
  <c r="J65" i="11" s="1"/>
  <c r="K65" i="11" s="1"/>
  <c r="L65" i="11" s="1"/>
  <c r="M65" i="11" s="1"/>
  <c r="N65" i="11" s="1"/>
  <c r="O65" i="11" s="1"/>
  <c r="P65" i="11" s="1"/>
  <c r="Q65" i="11" s="1"/>
  <c r="R65" i="11" s="1"/>
  <c r="S65" i="11" s="1"/>
  <c r="T65" i="11" s="1"/>
  <c r="U65" i="11" s="1"/>
  <c r="V65" i="11" s="1"/>
  <c r="W65" i="11" s="1"/>
  <c r="X65" i="11" s="1"/>
  <c r="Y65" i="11" s="1"/>
  <c r="Z65" i="11" s="1"/>
  <c r="AA65" i="11" s="1"/>
  <c r="AB65" i="11" s="1"/>
  <c r="AC65" i="11" s="1"/>
  <c r="AD65" i="11" s="1"/>
  <c r="AE65" i="11" s="1"/>
  <c r="B53" i="11"/>
  <c r="C53" i="11" s="1"/>
  <c r="D53" i="11" s="1"/>
  <c r="E53" i="11" s="1"/>
  <c r="F53" i="11" s="1"/>
  <c r="G53" i="11" s="1"/>
  <c r="H53" i="11" s="1"/>
  <c r="I53" i="11" s="1"/>
  <c r="J53" i="11" s="1"/>
  <c r="K53" i="11" s="1"/>
  <c r="L53" i="11" s="1"/>
  <c r="M53" i="11" s="1"/>
  <c r="N53" i="11" s="1"/>
  <c r="O53" i="11" s="1"/>
  <c r="P53" i="11" s="1"/>
  <c r="Q53" i="11" s="1"/>
  <c r="R53" i="11" s="1"/>
  <c r="S53" i="11" s="1"/>
  <c r="T53" i="11" s="1"/>
  <c r="U53" i="11" s="1"/>
  <c r="V53" i="11" s="1"/>
  <c r="W53" i="11" s="1"/>
  <c r="X53" i="11" s="1"/>
  <c r="Y53" i="11" s="1"/>
  <c r="Z53" i="11" s="1"/>
  <c r="AA53" i="11" s="1"/>
  <c r="AB53" i="11" s="1"/>
  <c r="AC53" i="11" s="1"/>
  <c r="AD53" i="11" s="1"/>
  <c r="AE53" i="11" s="1"/>
  <c r="AF53" i="11" s="1"/>
  <c r="B41" i="11"/>
  <c r="C41" i="11" s="1"/>
  <c r="D41" i="11" s="1"/>
  <c r="E41" i="11" s="1"/>
  <c r="F41" i="11" s="1"/>
  <c r="G41" i="11" s="1"/>
  <c r="H41" i="11" s="1"/>
  <c r="I41" i="11" s="1"/>
  <c r="J41" i="11" s="1"/>
  <c r="K41" i="11" s="1"/>
  <c r="L41" i="11" s="1"/>
  <c r="M41" i="11" s="1"/>
  <c r="N41" i="11" s="1"/>
  <c r="O41" i="11" s="1"/>
  <c r="P41" i="11" s="1"/>
  <c r="Q41" i="11" s="1"/>
  <c r="R41" i="11" s="1"/>
  <c r="S41" i="11" s="1"/>
  <c r="T41" i="11" s="1"/>
  <c r="U41" i="11" s="1"/>
  <c r="V41" i="11" s="1"/>
  <c r="W41" i="11" s="1"/>
  <c r="X41" i="11" s="1"/>
  <c r="Y41" i="11" s="1"/>
  <c r="Z41" i="11" s="1"/>
  <c r="AA41" i="11" s="1"/>
  <c r="AB41" i="11" s="1"/>
  <c r="AC41" i="11" s="1"/>
  <c r="AD41" i="11" s="1"/>
  <c r="AE41" i="11" s="1"/>
  <c r="B29" i="11"/>
  <c r="C29" i="11" s="1"/>
  <c r="D29" i="11" s="1"/>
  <c r="E29" i="11" s="1"/>
  <c r="F29" i="11" s="1"/>
  <c r="G29" i="11" s="1"/>
  <c r="H29" i="11" s="1"/>
  <c r="I29" i="11" s="1"/>
  <c r="J29" i="11" s="1"/>
  <c r="K29" i="11" s="1"/>
  <c r="L29" i="11" s="1"/>
  <c r="M29" i="11" s="1"/>
  <c r="N29" i="11" s="1"/>
  <c r="O29" i="11" s="1"/>
  <c r="P29" i="11" s="1"/>
  <c r="Q29" i="11" s="1"/>
  <c r="R29" i="11" s="1"/>
  <c r="S29" i="11" s="1"/>
  <c r="T29" i="11" s="1"/>
  <c r="U29" i="11" s="1"/>
  <c r="V29" i="11" s="1"/>
  <c r="W29" i="11" s="1"/>
  <c r="X29" i="11" s="1"/>
  <c r="Y29" i="11" s="1"/>
  <c r="Z29" i="11" s="1"/>
  <c r="AA29" i="11" s="1"/>
  <c r="AB29" i="11" s="1"/>
  <c r="AC29" i="11" s="1"/>
  <c r="AD29" i="11" s="1"/>
  <c r="AE29" i="11" s="1"/>
  <c r="AF29" i="11" s="1"/>
  <c r="B17" i="11"/>
  <c r="C17" i="11" s="1"/>
  <c r="D17" i="11" s="1"/>
  <c r="E17" i="11" s="1"/>
  <c r="F17" i="11" s="1"/>
  <c r="G17" i="11" s="1"/>
  <c r="H17" i="11" s="1"/>
  <c r="I17" i="11" s="1"/>
  <c r="J17" i="11" s="1"/>
  <c r="K17" i="11" s="1"/>
  <c r="L17" i="11" s="1"/>
  <c r="M17" i="11" s="1"/>
  <c r="N17" i="11" s="1"/>
  <c r="O17" i="11" s="1"/>
  <c r="P17" i="11" s="1"/>
  <c r="Q17" i="11" s="1"/>
  <c r="R17" i="11" s="1"/>
  <c r="S17" i="11" s="1"/>
  <c r="T17" i="11" s="1"/>
  <c r="U17" i="11" s="1"/>
  <c r="V17" i="11" s="1"/>
  <c r="W17" i="11" s="1"/>
  <c r="X17" i="11" s="1"/>
  <c r="Y17" i="11" s="1"/>
  <c r="Z17" i="11" s="1"/>
  <c r="AA17" i="11" s="1"/>
  <c r="AB17" i="11" s="1"/>
  <c r="AC17" i="11" s="1"/>
  <c r="B5" i="11"/>
  <c r="C5" i="11" s="1"/>
  <c r="D5" i="11" s="1"/>
  <c r="E5" i="11" s="1"/>
  <c r="F5" i="11" s="1"/>
  <c r="G5" i="11" s="1"/>
  <c r="H5" i="11" s="1"/>
  <c r="I5" i="11" s="1"/>
  <c r="J5" i="11" s="1"/>
  <c r="K5" i="11" s="1"/>
  <c r="L5" i="11" s="1"/>
  <c r="M5" i="11" s="1"/>
  <c r="N5" i="11" s="1"/>
  <c r="O5" i="11" s="1"/>
  <c r="P5" i="11" s="1"/>
  <c r="Q5" i="11" s="1"/>
  <c r="R5" i="11" s="1"/>
  <c r="S5" i="11" s="1"/>
  <c r="T5" i="11" s="1"/>
  <c r="U5" i="11" s="1"/>
  <c r="V5" i="11" s="1"/>
  <c r="W5" i="11" s="1"/>
  <c r="X5" i="11" s="1"/>
  <c r="Y5" i="11" s="1"/>
  <c r="Z5" i="11" s="1"/>
  <c r="AA5" i="11" s="1"/>
  <c r="AB5" i="11" s="1"/>
  <c r="AC5" i="11" s="1"/>
  <c r="AD5" i="11" s="1"/>
  <c r="AE5" i="11" s="1"/>
  <c r="AF5" i="11" s="1"/>
  <c r="A13" i="11"/>
  <c r="J20" i="21" l="1"/>
  <c r="J21" i="21"/>
  <c r="F2" i="17"/>
  <c r="F4" i="17"/>
  <c r="F5" i="17"/>
  <c r="F6" i="17"/>
  <c r="K2" i="17"/>
  <c r="K3" i="17"/>
  <c r="K4" i="17"/>
  <c r="K5" i="17"/>
  <c r="K6" i="17"/>
  <c r="F7" i="17"/>
  <c r="F8" i="17"/>
  <c r="F9" i="17"/>
  <c r="F10" i="17"/>
  <c r="F11" i="17"/>
  <c r="F12" i="17"/>
  <c r="F13" i="17"/>
  <c r="F14" i="17"/>
  <c r="F15" i="17"/>
  <c r="F16" i="17"/>
  <c r="F17" i="17"/>
  <c r="F18" i="17"/>
  <c r="F19" i="17"/>
  <c r="F20" i="17"/>
  <c r="F21" i="17"/>
  <c r="F22" i="17"/>
  <c r="F23" i="17"/>
  <c r="F24" i="17"/>
  <c r="F25" i="17"/>
  <c r="F26" i="17"/>
  <c r="F27" i="17"/>
  <c r="F28" i="17"/>
  <c r="F29" i="17"/>
  <c r="F30" i="17"/>
  <c r="F31" i="17"/>
  <c r="F32" i="17"/>
  <c r="F33" i="17"/>
  <c r="F34" i="17"/>
  <c r="F35" i="17"/>
  <c r="F36" i="17"/>
  <c r="F37" i="17"/>
  <c r="F38" i="17"/>
  <c r="F39" i="17"/>
  <c r="F40" i="17"/>
  <c r="F41" i="17"/>
  <c r="F42" i="17"/>
  <c r="F43" i="17"/>
  <c r="F44" i="17"/>
  <c r="F45" i="17"/>
  <c r="F46" i="17"/>
  <c r="F47" i="17"/>
  <c r="F48" i="17"/>
  <c r="F49" i="17"/>
  <c r="F50" i="17"/>
  <c r="F51" i="17"/>
  <c r="D7" i="17"/>
  <c r="D8" i="17"/>
  <c r="D9" i="17"/>
  <c r="D10" i="17"/>
  <c r="D11" i="17"/>
  <c r="D12" i="17"/>
  <c r="D13" i="17"/>
  <c r="D14" i="17"/>
  <c r="D15" i="17"/>
  <c r="D16" i="17"/>
  <c r="D17" i="17"/>
  <c r="D18" i="17"/>
  <c r="D19" i="17"/>
  <c r="D20" i="17"/>
  <c r="D21" i="17"/>
  <c r="D22" i="17"/>
  <c r="D23" i="17"/>
  <c r="D24" i="17"/>
  <c r="D25" i="17"/>
  <c r="D26" i="17"/>
  <c r="D27" i="17"/>
  <c r="D28" i="17"/>
  <c r="D29" i="17"/>
  <c r="D30" i="17"/>
  <c r="D31" i="17"/>
  <c r="D32" i="17"/>
  <c r="D33" i="17"/>
  <c r="D34" i="17"/>
  <c r="D35" i="17"/>
  <c r="D36" i="17"/>
  <c r="D37" i="17"/>
  <c r="D38" i="17"/>
  <c r="D39" i="17"/>
  <c r="D40" i="17"/>
  <c r="D41" i="17"/>
  <c r="D42" i="17"/>
  <c r="D43" i="17"/>
  <c r="D44" i="17"/>
  <c r="D45" i="17"/>
  <c r="D46" i="17"/>
  <c r="D47" i="17"/>
  <c r="D48" i="17"/>
  <c r="D49" i="17"/>
  <c r="D50" i="17"/>
  <c r="D51" i="17"/>
  <c r="K7" i="17" l="1"/>
  <c r="K8" i="17"/>
  <c r="K9" i="17"/>
  <c r="K10" i="17"/>
  <c r="K11" i="17"/>
  <c r="K12" i="17"/>
  <c r="K13" i="17"/>
  <c r="K14" i="17"/>
  <c r="K15" i="17"/>
  <c r="K16" i="17"/>
  <c r="K17" i="17"/>
  <c r="K18" i="17"/>
  <c r="K19" i="17"/>
  <c r="K20" i="17"/>
  <c r="K21" i="17"/>
  <c r="K22" i="17"/>
  <c r="K23" i="17"/>
  <c r="K24" i="17"/>
  <c r="K25" i="17"/>
  <c r="K26" i="17"/>
  <c r="K27" i="17"/>
  <c r="K28" i="17"/>
  <c r="K29" i="17"/>
  <c r="K30" i="17"/>
  <c r="K31" i="17"/>
  <c r="K32" i="17"/>
  <c r="K33" i="17"/>
  <c r="K34" i="17"/>
  <c r="K35" i="17"/>
  <c r="K36" i="17"/>
  <c r="K37" i="17"/>
  <c r="K38" i="17"/>
  <c r="K39" i="17"/>
  <c r="K40" i="17"/>
  <c r="K41" i="17"/>
  <c r="K42" i="17"/>
  <c r="K43" i="17"/>
  <c r="K44" i="17"/>
  <c r="K45" i="17"/>
  <c r="K46" i="17"/>
  <c r="K47" i="17"/>
  <c r="K48" i="17"/>
  <c r="K49" i="17"/>
  <c r="K50" i="17"/>
  <c r="K51" i="17"/>
  <c r="J20" i="17" l="1"/>
  <c r="J21" i="17"/>
  <c r="J22" i="17"/>
  <c r="J23" i="17"/>
  <c r="J24" i="17"/>
  <c r="J25" i="17"/>
  <c r="J26" i="17"/>
  <c r="J27" i="17"/>
  <c r="J28" i="17"/>
  <c r="J29" i="17"/>
  <c r="J30" i="17"/>
  <c r="J31" i="17"/>
  <c r="J32" i="17"/>
  <c r="J33" i="17"/>
  <c r="J34" i="17"/>
  <c r="J35" i="17"/>
  <c r="J36" i="17"/>
  <c r="J37" i="17"/>
  <c r="J38" i="17"/>
  <c r="J39" i="17"/>
  <c r="J40" i="17"/>
  <c r="J41" i="17"/>
  <c r="J42" i="17"/>
  <c r="J43" i="17"/>
  <c r="J44" i="17"/>
  <c r="J45" i="17"/>
  <c r="J46" i="17"/>
  <c r="J47" i="17"/>
  <c r="J48" i="17"/>
  <c r="J49" i="17"/>
  <c r="J50" i="17"/>
  <c r="J51" i="17"/>
  <c r="C2" i="23" l="1"/>
  <c r="C4" i="22"/>
  <c r="C2" i="22"/>
  <c r="C4" i="21"/>
  <c r="C2" i="21"/>
  <c r="C2" i="20"/>
  <c r="C2" i="19"/>
  <c r="C6" i="22" l="1"/>
  <c r="C6" i="21"/>
  <c r="C2" i="18" l="1"/>
  <c r="AI79" i="16" l="1"/>
  <c r="AJ79" i="16"/>
  <c r="AL79" i="16"/>
  <c r="AM79" i="16"/>
  <c r="AO79" i="16"/>
  <c r="AP79" i="16"/>
  <c r="AQ79" i="16"/>
  <c r="AS79" i="16"/>
  <c r="AT79" i="16"/>
  <c r="AW79" i="16"/>
  <c r="AI80" i="16"/>
  <c r="AJ80" i="16"/>
  <c r="AL80" i="16"/>
  <c r="AM80" i="16"/>
  <c r="AO80" i="16"/>
  <c r="AP80" i="16"/>
  <c r="AQ80" i="16"/>
  <c r="AS80" i="16"/>
  <c r="AT80" i="16"/>
  <c r="AW80" i="16"/>
  <c r="AI81" i="16"/>
  <c r="AJ81" i="16"/>
  <c r="AL81" i="16"/>
  <c r="AM81" i="16"/>
  <c r="AO81" i="16"/>
  <c r="AP81" i="16"/>
  <c r="AQ81" i="16"/>
  <c r="AS81" i="16"/>
  <c r="AT81" i="16"/>
  <c r="AW81" i="16"/>
  <c r="AI82" i="16"/>
  <c r="AJ82" i="16"/>
  <c r="AL82" i="16"/>
  <c r="AM82" i="16"/>
  <c r="AO82" i="16"/>
  <c r="AP82" i="16"/>
  <c r="AQ82" i="16"/>
  <c r="AS82" i="16"/>
  <c r="AT82" i="16"/>
  <c r="AW82" i="16"/>
  <c r="AI83" i="16"/>
  <c r="AJ83" i="16"/>
  <c r="AL83" i="16"/>
  <c r="AM83" i="16"/>
  <c r="AO83" i="16"/>
  <c r="AP83" i="16"/>
  <c r="AQ83" i="16"/>
  <c r="AS83" i="16"/>
  <c r="AT83" i="16"/>
  <c r="AW83" i="16"/>
  <c r="AI84" i="16"/>
  <c r="AJ84" i="16"/>
  <c r="AL84" i="16"/>
  <c r="AM84" i="16"/>
  <c r="AO84" i="16"/>
  <c r="AP84" i="16"/>
  <c r="AQ84" i="16"/>
  <c r="AS84" i="16"/>
  <c r="AT84" i="16"/>
  <c r="AW84" i="16"/>
  <c r="AI7" i="16"/>
  <c r="AJ7" i="16"/>
  <c r="AL7" i="16"/>
  <c r="AM7" i="16"/>
  <c r="AO7" i="16"/>
  <c r="AP7" i="16"/>
  <c r="AQ7" i="16"/>
  <c r="AS7" i="16"/>
  <c r="AT7" i="16"/>
  <c r="AI8" i="16"/>
  <c r="AJ8" i="16"/>
  <c r="AL8" i="16"/>
  <c r="AM8" i="16"/>
  <c r="AO8" i="16"/>
  <c r="AP8" i="16"/>
  <c r="AQ8" i="16"/>
  <c r="AS8" i="16"/>
  <c r="AT8" i="16"/>
  <c r="AI9" i="16"/>
  <c r="AJ9" i="16"/>
  <c r="AL9" i="16"/>
  <c r="AM9" i="16"/>
  <c r="AO9" i="16"/>
  <c r="AP9" i="16"/>
  <c r="AQ9" i="16"/>
  <c r="AS9" i="16"/>
  <c r="AT9" i="16"/>
  <c r="AI10" i="16"/>
  <c r="AJ10" i="16"/>
  <c r="AL10" i="16"/>
  <c r="AM10" i="16"/>
  <c r="AO10" i="16"/>
  <c r="AP10" i="16"/>
  <c r="AQ10" i="16"/>
  <c r="AS10" i="16"/>
  <c r="AT10" i="16"/>
  <c r="AI11" i="16"/>
  <c r="AJ11" i="16"/>
  <c r="AL11" i="16"/>
  <c r="AM11" i="16"/>
  <c r="AO11" i="16"/>
  <c r="AP11" i="16"/>
  <c r="AQ11" i="16"/>
  <c r="AS11" i="16"/>
  <c r="AT11" i="16"/>
  <c r="AI12" i="16"/>
  <c r="AJ12" i="16"/>
  <c r="AL12" i="16"/>
  <c r="AM12" i="16"/>
  <c r="AO12" i="16"/>
  <c r="AP12" i="16"/>
  <c r="AQ12" i="16"/>
  <c r="AS12" i="16"/>
  <c r="AT12" i="16"/>
  <c r="AL31" i="11"/>
  <c r="AM31" i="11"/>
  <c r="AO31" i="11"/>
  <c r="AL32" i="11"/>
  <c r="AM32" i="11"/>
  <c r="AO32" i="11"/>
  <c r="AL33" i="11"/>
  <c r="AM33" i="11"/>
  <c r="AO33" i="11"/>
  <c r="AL34" i="11"/>
  <c r="AM34" i="11"/>
  <c r="AO34" i="11"/>
  <c r="AL35" i="11"/>
  <c r="AM35" i="11"/>
  <c r="AO35" i="11"/>
  <c r="AL36" i="11"/>
  <c r="AM36" i="11"/>
  <c r="AO36" i="11"/>
  <c r="AI19" i="11"/>
  <c r="AJ19" i="11"/>
  <c r="AL19" i="11"/>
  <c r="AM19" i="11"/>
  <c r="AO19" i="11"/>
  <c r="AP19" i="11"/>
  <c r="AQ19" i="11"/>
  <c r="AS19" i="11"/>
  <c r="AT19" i="11"/>
  <c r="AI20" i="11"/>
  <c r="AJ20" i="11"/>
  <c r="AL20" i="11"/>
  <c r="AM20" i="11"/>
  <c r="AO20" i="11"/>
  <c r="AP20" i="11"/>
  <c r="AQ20" i="11"/>
  <c r="AS20" i="11"/>
  <c r="AT20" i="11"/>
  <c r="AI21" i="11"/>
  <c r="AJ21" i="11"/>
  <c r="AL21" i="11"/>
  <c r="AM21" i="11"/>
  <c r="AO21" i="11"/>
  <c r="AP21" i="11"/>
  <c r="AQ21" i="11"/>
  <c r="AS21" i="11"/>
  <c r="AT21" i="11"/>
  <c r="AI22" i="11"/>
  <c r="AJ22" i="11"/>
  <c r="AL22" i="11"/>
  <c r="AM22" i="11"/>
  <c r="AO22" i="11"/>
  <c r="AP22" i="11"/>
  <c r="AQ22" i="11"/>
  <c r="AS22" i="11"/>
  <c r="AT22" i="11"/>
  <c r="AI23" i="11"/>
  <c r="AJ23" i="11"/>
  <c r="AL23" i="11"/>
  <c r="AM23" i="11"/>
  <c r="AO23" i="11"/>
  <c r="AP23" i="11"/>
  <c r="AQ23" i="11"/>
  <c r="AS23" i="11"/>
  <c r="AT23" i="11"/>
  <c r="AI24" i="11"/>
  <c r="AJ24" i="11"/>
  <c r="AL24" i="11"/>
  <c r="AM24" i="11"/>
  <c r="AO24" i="11"/>
  <c r="AP24" i="11"/>
  <c r="AQ24" i="11"/>
  <c r="AS24" i="11"/>
  <c r="AT24" i="11"/>
  <c r="AI7" i="11"/>
  <c r="AW8" i="11"/>
  <c r="AW9" i="11"/>
  <c r="AW10" i="11"/>
  <c r="AW11" i="11"/>
  <c r="AW12" i="11"/>
  <c r="AW7" i="11"/>
  <c r="C137" i="16"/>
  <c r="D137" i="16"/>
  <c r="E137" i="16"/>
  <c r="F137" i="16"/>
  <c r="G137" i="16"/>
  <c r="H137" i="16"/>
  <c r="I137" i="16"/>
  <c r="J137" i="16"/>
  <c r="K137" i="16"/>
  <c r="L137" i="16"/>
  <c r="M137" i="16"/>
  <c r="N137" i="16"/>
  <c r="O137" i="16"/>
  <c r="P137" i="16"/>
  <c r="Q137" i="16"/>
  <c r="R137" i="16"/>
  <c r="S137" i="16"/>
  <c r="T137" i="16"/>
  <c r="U137" i="16"/>
  <c r="V137" i="16"/>
  <c r="W137" i="16"/>
  <c r="X137" i="16"/>
  <c r="Y137" i="16"/>
  <c r="Z137" i="16"/>
  <c r="AA137" i="16"/>
  <c r="AB137" i="16"/>
  <c r="AC137" i="16"/>
  <c r="AD137" i="16"/>
  <c r="AE137" i="16"/>
  <c r="AF137" i="16"/>
  <c r="AG137" i="16"/>
  <c r="B137" i="16"/>
  <c r="C125" i="16"/>
  <c r="D125" i="16"/>
  <c r="E125" i="16"/>
  <c r="F125" i="16"/>
  <c r="G125" i="16"/>
  <c r="H125" i="16"/>
  <c r="I125" i="16"/>
  <c r="J125" i="16"/>
  <c r="K125" i="16"/>
  <c r="L125" i="16"/>
  <c r="M125" i="16"/>
  <c r="N125" i="16"/>
  <c r="O125" i="16"/>
  <c r="P125" i="16"/>
  <c r="Q125" i="16"/>
  <c r="R125" i="16"/>
  <c r="S125" i="16"/>
  <c r="T125" i="16"/>
  <c r="U125" i="16"/>
  <c r="V125" i="16"/>
  <c r="W125" i="16"/>
  <c r="X125" i="16"/>
  <c r="Y125" i="16"/>
  <c r="Z125" i="16"/>
  <c r="AA125" i="16"/>
  <c r="AB125" i="16"/>
  <c r="AC125" i="16"/>
  <c r="AD125" i="16"/>
  <c r="AE125" i="16"/>
  <c r="B125" i="16"/>
  <c r="C113" i="16"/>
  <c r="D113" i="16"/>
  <c r="E113" i="16"/>
  <c r="F113" i="16"/>
  <c r="G113" i="16"/>
  <c r="H113" i="16"/>
  <c r="I113" i="16"/>
  <c r="J113" i="16"/>
  <c r="K113" i="16"/>
  <c r="L113" i="16"/>
  <c r="M113" i="16"/>
  <c r="N113" i="16"/>
  <c r="O113" i="16"/>
  <c r="P113" i="16"/>
  <c r="Q113" i="16"/>
  <c r="R113" i="16"/>
  <c r="S113" i="16"/>
  <c r="T113" i="16"/>
  <c r="U113" i="16"/>
  <c r="V113" i="16"/>
  <c r="W113" i="16"/>
  <c r="X113" i="16"/>
  <c r="Y113" i="16"/>
  <c r="Z113" i="16"/>
  <c r="AA113" i="16"/>
  <c r="AB113" i="16"/>
  <c r="AC113" i="16"/>
  <c r="AD113" i="16"/>
  <c r="AE113" i="16"/>
  <c r="AF113" i="16"/>
  <c r="B113" i="16"/>
  <c r="C101" i="16"/>
  <c r="D101" i="16"/>
  <c r="E101" i="16"/>
  <c r="F101" i="16"/>
  <c r="G101" i="16"/>
  <c r="H101" i="16"/>
  <c r="I101" i="16"/>
  <c r="J101" i="16"/>
  <c r="K101" i="16"/>
  <c r="L101" i="16"/>
  <c r="M101" i="16"/>
  <c r="N101" i="16"/>
  <c r="O101" i="16"/>
  <c r="P101" i="16"/>
  <c r="Q101" i="16"/>
  <c r="R101" i="16"/>
  <c r="S101" i="16"/>
  <c r="T101" i="16"/>
  <c r="U101" i="16"/>
  <c r="V101" i="16"/>
  <c r="W101" i="16"/>
  <c r="X101" i="16"/>
  <c r="Y101" i="16"/>
  <c r="Z101" i="16"/>
  <c r="AA101" i="16"/>
  <c r="AB101" i="16"/>
  <c r="AC101" i="16"/>
  <c r="AD101" i="16"/>
  <c r="AE101" i="16"/>
  <c r="B101" i="16"/>
  <c r="C89" i="16"/>
  <c r="D89" i="16"/>
  <c r="E89" i="16"/>
  <c r="F89" i="16"/>
  <c r="G89" i="16"/>
  <c r="H89" i="16"/>
  <c r="I89" i="16"/>
  <c r="J89" i="16"/>
  <c r="K89" i="16"/>
  <c r="L89" i="16"/>
  <c r="M89" i="16"/>
  <c r="N89" i="16"/>
  <c r="O89" i="16"/>
  <c r="P89" i="16"/>
  <c r="Q89" i="16"/>
  <c r="R89" i="16"/>
  <c r="S89" i="16"/>
  <c r="T89" i="16"/>
  <c r="U89" i="16"/>
  <c r="V89" i="16"/>
  <c r="W89" i="16"/>
  <c r="X89" i="16"/>
  <c r="Y89" i="16"/>
  <c r="Z89" i="16"/>
  <c r="AA89" i="16"/>
  <c r="AB89" i="16"/>
  <c r="AC89" i="16"/>
  <c r="AD89" i="16"/>
  <c r="AE89" i="16"/>
  <c r="AF89" i="16"/>
  <c r="B89" i="16"/>
  <c r="C77" i="16"/>
  <c r="D77" i="16"/>
  <c r="E77" i="16"/>
  <c r="F77" i="16"/>
  <c r="G77" i="16"/>
  <c r="H77" i="16"/>
  <c r="I77" i="16"/>
  <c r="J77" i="16"/>
  <c r="K77" i="16"/>
  <c r="L77" i="16"/>
  <c r="M77" i="16"/>
  <c r="N77" i="16"/>
  <c r="O77" i="16"/>
  <c r="P77" i="16"/>
  <c r="Q77" i="16"/>
  <c r="R77" i="16"/>
  <c r="S77" i="16"/>
  <c r="T77" i="16"/>
  <c r="U77" i="16"/>
  <c r="V77" i="16"/>
  <c r="W77" i="16"/>
  <c r="X77" i="16"/>
  <c r="Y77" i="16"/>
  <c r="Z77" i="16"/>
  <c r="AA77" i="16"/>
  <c r="AB77" i="16"/>
  <c r="AC77" i="16"/>
  <c r="AD77" i="16"/>
  <c r="AE77" i="16"/>
  <c r="AF77" i="16"/>
  <c r="B77" i="16"/>
  <c r="AW144" i="16"/>
  <c r="AI144" i="16"/>
  <c r="AJ144" i="16"/>
  <c r="AL144" i="16"/>
  <c r="AM144" i="16"/>
  <c r="AO144" i="16"/>
  <c r="AP144" i="16"/>
  <c r="AQ144" i="16"/>
  <c r="AS144" i="16"/>
  <c r="AT144" i="16"/>
  <c r="C65" i="16"/>
  <c r="D65" i="16"/>
  <c r="E65" i="16"/>
  <c r="F65" i="16"/>
  <c r="G65" i="16"/>
  <c r="H65" i="16"/>
  <c r="I65" i="16"/>
  <c r="J65" i="16"/>
  <c r="K65" i="16"/>
  <c r="L65" i="16"/>
  <c r="M65" i="16"/>
  <c r="N65" i="16"/>
  <c r="O65" i="16"/>
  <c r="P65" i="16"/>
  <c r="Q65" i="16"/>
  <c r="R65" i="16"/>
  <c r="S65" i="16"/>
  <c r="T65" i="16"/>
  <c r="U65" i="16"/>
  <c r="V65" i="16"/>
  <c r="W65" i="16"/>
  <c r="X65" i="16"/>
  <c r="Y65" i="16"/>
  <c r="Z65" i="16"/>
  <c r="AA65" i="16"/>
  <c r="AB65" i="16"/>
  <c r="AC65" i="16"/>
  <c r="AD65" i="16"/>
  <c r="AE65" i="16"/>
  <c r="B65" i="16"/>
  <c r="C53" i="16"/>
  <c r="D53" i="16"/>
  <c r="E53" i="16"/>
  <c r="F53" i="16"/>
  <c r="G53" i="16"/>
  <c r="H53" i="16"/>
  <c r="I53" i="16"/>
  <c r="J53" i="16"/>
  <c r="K53" i="16"/>
  <c r="L53" i="16"/>
  <c r="M53" i="16"/>
  <c r="N53" i="16"/>
  <c r="O53" i="16"/>
  <c r="P53" i="16"/>
  <c r="Q53" i="16"/>
  <c r="R53" i="16"/>
  <c r="S53" i="16"/>
  <c r="T53" i="16"/>
  <c r="U53" i="16"/>
  <c r="V53" i="16"/>
  <c r="W53" i="16"/>
  <c r="X53" i="16"/>
  <c r="Y53" i="16"/>
  <c r="Z53" i="16"/>
  <c r="AA53" i="16"/>
  <c r="AB53" i="16"/>
  <c r="AC53" i="16"/>
  <c r="AD53" i="16"/>
  <c r="AE53" i="16"/>
  <c r="AF53" i="16"/>
  <c r="B53" i="16"/>
  <c r="AW145" i="16"/>
  <c r="AT145" i="16"/>
  <c r="AS145" i="16"/>
  <c r="AQ145" i="16"/>
  <c r="AP145" i="16"/>
  <c r="AO145" i="16"/>
  <c r="AM145" i="16"/>
  <c r="AL145" i="16"/>
  <c r="AJ145" i="16"/>
  <c r="AI145" i="16"/>
  <c r="AW143" i="16"/>
  <c r="AT143" i="16"/>
  <c r="AS143" i="16"/>
  <c r="AQ143" i="16"/>
  <c r="AP143" i="16"/>
  <c r="AO143" i="16"/>
  <c r="AM143" i="16"/>
  <c r="AL143" i="16"/>
  <c r="AJ143" i="16"/>
  <c r="AI143" i="16"/>
  <c r="AW142" i="16"/>
  <c r="AT142" i="16"/>
  <c r="AS142" i="16"/>
  <c r="AQ142" i="16"/>
  <c r="AP142" i="16"/>
  <c r="AO142" i="16"/>
  <c r="AM142" i="16"/>
  <c r="AL142" i="16"/>
  <c r="AJ142" i="16"/>
  <c r="AI142" i="16"/>
  <c r="AW141" i="16"/>
  <c r="AT141" i="16"/>
  <c r="AS141" i="16"/>
  <c r="AQ141" i="16"/>
  <c r="AP141" i="16"/>
  <c r="AO141" i="16"/>
  <c r="D16" i="22" s="1"/>
  <c r="AM141" i="16"/>
  <c r="AL141" i="16"/>
  <c r="AJ141" i="16"/>
  <c r="AI141" i="16"/>
  <c r="AW140" i="16"/>
  <c r="AT140" i="16"/>
  <c r="AS140" i="16"/>
  <c r="AQ140" i="16"/>
  <c r="AP140" i="16"/>
  <c r="AO140" i="16"/>
  <c r="AM140" i="16"/>
  <c r="AL140" i="16"/>
  <c r="AJ140" i="16"/>
  <c r="AI140" i="16"/>
  <c r="AW139" i="16"/>
  <c r="AT139" i="16"/>
  <c r="AS139" i="16"/>
  <c r="AQ139" i="16"/>
  <c r="AP139" i="16"/>
  <c r="AO139" i="16"/>
  <c r="AM139" i="16"/>
  <c r="AL139" i="16"/>
  <c r="AJ139" i="16"/>
  <c r="AI139" i="16"/>
  <c r="AW132" i="16"/>
  <c r="AT132" i="16"/>
  <c r="AS132" i="16"/>
  <c r="AQ132" i="16"/>
  <c r="AP132" i="16"/>
  <c r="AO132" i="16"/>
  <c r="AM132" i="16"/>
  <c r="AL132" i="16"/>
  <c r="AJ132" i="16"/>
  <c r="AI132" i="16"/>
  <c r="AW131" i="16"/>
  <c r="AT131" i="16"/>
  <c r="AS131" i="16"/>
  <c r="AQ131" i="16"/>
  <c r="AP131" i="16"/>
  <c r="AO131" i="16"/>
  <c r="AM131" i="16"/>
  <c r="AL131" i="16"/>
  <c r="AJ131" i="16"/>
  <c r="AI131" i="16"/>
  <c r="AW130" i="16"/>
  <c r="AT130" i="16"/>
  <c r="AS130" i="16"/>
  <c r="AQ130" i="16"/>
  <c r="AP130" i="16"/>
  <c r="AO130" i="16"/>
  <c r="AM130" i="16"/>
  <c r="AL130" i="16"/>
  <c r="AJ130" i="16"/>
  <c r="AI130" i="16"/>
  <c r="AW129" i="16"/>
  <c r="AT129" i="16"/>
  <c r="AS129" i="16"/>
  <c r="AQ129" i="16"/>
  <c r="AP129" i="16"/>
  <c r="AO129" i="16"/>
  <c r="AM129" i="16"/>
  <c r="AL129" i="16"/>
  <c r="AJ129" i="16"/>
  <c r="AI129" i="16"/>
  <c r="AW128" i="16"/>
  <c r="AT128" i="16"/>
  <c r="AS128" i="16"/>
  <c r="AQ128" i="16"/>
  <c r="AP128" i="16"/>
  <c r="AO128" i="16"/>
  <c r="AM128" i="16"/>
  <c r="AL128" i="16"/>
  <c r="AJ128" i="16"/>
  <c r="AI128" i="16"/>
  <c r="AW127" i="16"/>
  <c r="AT127" i="16"/>
  <c r="AS127" i="16"/>
  <c r="AQ127" i="16"/>
  <c r="AP127" i="16"/>
  <c r="AO127" i="16"/>
  <c r="AM127" i="16"/>
  <c r="AL127" i="16"/>
  <c r="AJ127" i="16"/>
  <c r="AI127" i="16"/>
  <c r="AW120" i="16"/>
  <c r="AT120" i="16"/>
  <c r="AS120" i="16"/>
  <c r="AQ120" i="16"/>
  <c r="AP120" i="16"/>
  <c r="AO120" i="16"/>
  <c r="AM120" i="16"/>
  <c r="AL120" i="16"/>
  <c r="AJ120" i="16"/>
  <c r="AI120" i="16"/>
  <c r="AW119" i="16"/>
  <c r="AT119" i="16"/>
  <c r="AS119" i="16"/>
  <c r="AQ119" i="16"/>
  <c r="AP119" i="16"/>
  <c r="AO119" i="16"/>
  <c r="AM119" i="16"/>
  <c r="AL119" i="16"/>
  <c r="AJ119" i="16"/>
  <c r="AI119" i="16"/>
  <c r="AW118" i="16"/>
  <c r="AT118" i="16"/>
  <c r="AS118" i="16"/>
  <c r="AQ118" i="16"/>
  <c r="AP118" i="16"/>
  <c r="AO118" i="16"/>
  <c r="AM118" i="16"/>
  <c r="AL118" i="16"/>
  <c r="AJ118" i="16"/>
  <c r="AI118" i="16"/>
  <c r="AW117" i="16"/>
  <c r="AT117" i="16"/>
  <c r="AS117" i="16"/>
  <c r="AQ117" i="16"/>
  <c r="AP117" i="16"/>
  <c r="AO117" i="16"/>
  <c r="D14" i="22" s="1"/>
  <c r="AM117" i="16"/>
  <c r="AL117" i="16"/>
  <c r="AJ117" i="16"/>
  <c r="AI117" i="16"/>
  <c r="AW116" i="16"/>
  <c r="AT116" i="16"/>
  <c r="AS116" i="16"/>
  <c r="AQ116" i="16"/>
  <c r="AP116" i="16"/>
  <c r="AO116" i="16"/>
  <c r="AM116" i="16"/>
  <c r="AL116" i="16"/>
  <c r="AJ116" i="16"/>
  <c r="AI116" i="16"/>
  <c r="AW115" i="16"/>
  <c r="AT115" i="16"/>
  <c r="AS115" i="16"/>
  <c r="AQ115" i="16"/>
  <c r="AP115" i="16"/>
  <c r="AO115" i="16"/>
  <c r="AM115" i="16"/>
  <c r="AL115" i="16"/>
  <c r="AJ115" i="16"/>
  <c r="AI115" i="16"/>
  <c r="AW108" i="16"/>
  <c r="AT108" i="16"/>
  <c r="AS108" i="16"/>
  <c r="AQ108" i="16"/>
  <c r="AP108" i="16"/>
  <c r="AO108" i="16"/>
  <c r="AM108" i="16"/>
  <c r="AL108" i="16"/>
  <c r="AJ108" i="16"/>
  <c r="AI108" i="16"/>
  <c r="AW107" i="16"/>
  <c r="AT107" i="16"/>
  <c r="AS107" i="16"/>
  <c r="AQ107" i="16"/>
  <c r="AP107" i="16"/>
  <c r="AO107" i="16"/>
  <c r="AM107" i="16"/>
  <c r="AL107" i="16"/>
  <c r="AJ107" i="16"/>
  <c r="AI107" i="16"/>
  <c r="AW106" i="16"/>
  <c r="AT106" i="16"/>
  <c r="AS106" i="16"/>
  <c r="AQ106" i="16"/>
  <c r="AP106" i="16"/>
  <c r="AO106" i="16"/>
  <c r="AM106" i="16"/>
  <c r="AL106" i="16"/>
  <c r="AJ106" i="16"/>
  <c r="AI106" i="16"/>
  <c r="AW105" i="16"/>
  <c r="AT105" i="16"/>
  <c r="AS105" i="16"/>
  <c r="AQ105" i="16"/>
  <c r="AP105" i="16"/>
  <c r="AO105" i="16"/>
  <c r="AM105" i="16"/>
  <c r="AL105" i="16"/>
  <c r="AJ105" i="16"/>
  <c r="AI105" i="16"/>
  <c r="AW104" i="16"/>
  <c r="AT104" i="16"/>
  <c r="AS104" i="16"/>
  <c r="AQ104" i="16"/>
  <c r="AP104" i="16"/>
  <c r="AO104" i="16"/>
  <c r="AM104" i="16"/>
  <c r="AL104" i="16"/>
  <c r="AJ104" i="16"/>
  <c r="AI104" i="16"/>
  <c r="AW103" i="16"/>
  <c r="AT103" i="16"/>
  <c r="AS103" i="16"/>
  <c r="AQ103" i="16"/>
  <c r="AP103" i="16"/>
  <c r="AO103" i="16"/>
  <c r="AM103" i="16"/>
  <c r="AL103" i="16"/>
  <c r="AJ103" i="16"/>
  <c r="AI103" i="16"/>
  <c r="AW96" i="16"/>
  <c r="AT96" i="16"/>
  <c r="AS96" i="16"/>
  <c r="AQ96" i="16"/>
  <c r="AP96" i="16"/>
  <c r="AO96" i="16"/>
  <c r="AM96" i="16"/>
  <c r="AL96" i="16"/>
  <c r="AJ96" i="16"/>
  <c r="AI96" i="16"/>
  <c r="AW95" i="16"/>
  <c r="AT95" i="16"/>
  <c r="AS95" i="16"/>
  <c r="AQ95" i="16"/>
  <c r="AP95" i="16"/>
  <c r="AO95" i="16"/>
  <c r="AM95" i="16"/>
  <c r="AL95" i="16"/>
  <c r="AJ95" i="16"/>
  <c r="AI95" i="16"/>
  <c r="AW94" i="16"/>
  <c r="AT94" i="16"/>
  <c r="AS94" i="16"/>
  <c r="AQ94" i="16"/>
  <c r="AP94" i="16"/>
  <c r="AO94" i="16"/>
  <c r="AM94" i="16"/>
  <c r="AL94" i="16"/>
  <c r="AJ94" i="16"/>
  <c r="AI94" i="16"/>
  <c r="AW93" i="16"/>
  <c r="AT93" i="16"/>
  <c r="AS93" i="16"/>
  <c r="AQ93" i="16"/>
  <c r="AP93" i="16"/>
  <c r="AO93" i="16"/>
  <c r="D12" i="22" s="1"/>
  <c r="AM93" i="16"/>
  <c r="AL93" i="16"/>
  <c r="AJ93" i="16"/>
  <c r="AI93" i="16"/>
  <c r="AW92" i="16"/>
  <c r="AT92" i="16"/>
  <c r="AS92" i="16"/>
  <c r="AQ92" i="16"/>
  <c r="AP92" i="16"/>
  <c r="AO92" i="16"/>
  <c r="AM92" i="16"/>
  <c r="AL92" i="16"/>
  <c r="AJ92" i="16"/>
  <c r="AI92" i="16"/>
  <c r="AW91" i="16"/>
  <c r="AT91" i="16"/>
  <c r="AS91" i="16"/>
  <c r="AQ91" i="16"/>
  <c r="AP91" i="16"/>
  <c r="AO91" i="16"/>
  <c r="AM91" i="16"/>
  <c r="AL91" i="16"/>
  <c r="AJ91" i="16"/>
  <c r="AI91" i="16"/>
  <c r="AW72" i="16"/>
  <c r="AT72" i="16"/>
  <c r="AS72" i="16"/>
  <c r="AQ72" i="16"/>
  <c r="AP72" i="16"/>
  <c r="AO72" i="16"/>
  <c r="AM72" i="16"/>
  <c r="AL72" i="16"/>
  <c r="AJ72" i="16"/>
  <c r="AI72" i="16"/>
  <c r="AW71" i="16"/>
  <c r="AT71" i="16"/>
  <c r="AS71" i="16"/>
  <c r="AQ71" i="16"/>
  <c r="AP71" i="16"/>
  <c r="AO71" i="16"/>
  <c r="AM71" i="16"/>
  <c r="AL71" i="16"/>
  <c r="AJ71" i="16"/>
  <c r="AI71" i="16"/>
  <c r="AW70" i="16"/>
  <c r="AT70" i="16"/>
  <c r="AS70" i="16"/>
  <c r="AQ70" i="16"/>
  <c r="AP70" i="16"/>
  <c r="AO70" i="16"/>
  <c r="AM70" i="16"/>
  <c r="AL70" i="16"/>
  <c r="AJ70" i="16"/>
  <c r="AI70" i="16"/>
  <c r="AW69" i="16"/>
  <c r="AT69" i="16"/>
  <c r="AS69" i="16"/>
  <c r="AQ69" i="16"/>
  <c r="AP69" i="16"/>
  <c r="AO69" i="16"/>
  <c r="AM69" i="16"/>
  <c r="AL69" i="16"/>
  <c r="AJ69" i="16"/>
  <c r="AI69" i="16"/>
  <c r="AW68" i="16"/>
  <c r="AT68" i="16"/>
  <c r="AS68" i="16"/>
  <c r="AQ68" i="16"/>
  <c r="AP68" i="16"/>
  <c r="AO68" i="16"/>
  <c r="AM68" i="16"/>
  <c r="AL68" i="16"/>
  <c r="AJ68" i="16"/>
  <c r="AI68" i="16"/>
  <c r="AW67" i="16"/>
  <c r="AT67" i="16"/>
  <c r="AS67" i="16"/>
  <c r="AQ67" i="16"/>
  <c r="AP67" i="16"/>
  <c r="AO67" i="16"/>
  <c r="AM67" i="16"/>
  <c r="AL67" i="16"/>
  <c r="AJ67" i="16"/>
  <c r="AI67" i="16"/>
  <c r="AW60" i="16"/>
  <c r="AT60" i="16"/>
  <c r="AS60" i="16"/>
  <c r="AQ60" i="16"/>
  <c r="AP60" i="16"/>
  <c r="AO60" i="16"/>
  <c r="AM60" i="16"/>
  <c r="AL60" i="16"/>
  <c r="AJ60" i="16"/>
  <c r="AI60" i="16"/>
  <c r="AW59" i="16"/>
  <c r="AT59" i="16"/>
  <c r="AS59" i="16"/>
  <c r="AQ59" i="16"/>
  <c r="AP59" i="16"/>
  <c r="AO59" i="16"/>
  <c r="AM59" i="16"/>
  <c r="AL59" i="16"/>
  <c r="AJ59" i="16"/>
  <c r="AI59" i="16"/>
  <c r="AW58" i="16"/>
  <c r="AT58" i="16"/>
  <c r="AS58" i="16"/>
  <c r="AQ58" i="16"/>
  <c r="AP58" i="16"/>
  <c r="AO58" i="16"/>
  <c r="AM58" i="16"/>
  <c r="AL58" i="16"/>
  <c r="AJ58" i="16"/>
  <c r="AI58" i="16"/>
  <c r="AW57" i="16"/>
  <c r="AT57" i="16"/>
  <c r="AS57" i="16"/>
  <c r="AQ57" i="16"/>
  <c r="AP57" i="16"/>
  <c r="AO57" i="16"/>
  <c r="AM57" i="16"/>
  <c r="AL57" i="16"/>
  <c r="AJ57" i="16"/>
  <c r="AI57" i="16"/>
  <c r="AW56" i="16"/>
  <c r="AT56" i="16"/>
  <c r="AS56" i="16"/>
  <c r="AQ56" i="16"/>
  <c r="AP56" i="16"/>
  <c r="AO56" i="16"/>
  <c r="AM56" i="16"/>
  <c r="AL56" i="16"/>
  <c r="AJ56" i="16"/>
  <c r="AI56" i="16"/>
  <c r="AW55" i="16"/>
  <c r="AT55" i="16"/>
  <c r="AS55" i="16"/>
  <c r="AQ55" i="16"/>
  <c r="AP55" i="16"/>
  <c r="AO55" i="16"/>
  <c r="AM55" i="16"/>
  <c r="AL55" i="16"/>
  <c r="AJ55" i="16"/>
  <c r="AI55" i="16"/>
  <c r="AW48" i="16"/>
  <c r="AT48" i="16"/>
  <c r="AS48" i="16"/>
  <c r="AQ48" i="16"/>
  <c r="AP48" i="16"/>
  <c r="AO48" i="16"/>
  <c r="AM48" i="16"/>
  <c r="AL48" i="16"/>
  <c r="AJ48" i="16"/>
  <c r="AI48" i="16"/>
  <c r="AW47" i="16"/>
  <c r="AT47" i="16"/>
  <c r="AS47" i="16"/>
  <c r="AQ47" i="16"/>
  <c r="AP47" i="16"/>
  <c r="AO47" i="16"/>
  <c r="AM47" i="16"/>
  <c r="AL47" i="16"/>
  <c r="AJ47" i="16"/>
  <c r="AI47" i="16"/>
  <c r="AW46" i="16"/>
  <c r="AT46" i="16"/>
  <c r="AS46" i="16"/>
  <c r="AQ46" i="16"/>
  <c r="AP46" i="16"/>
  <c r="AO46" i="16"/>
  <c r="AM46" i="16"/>
  <c r="AL46" i="16"/>
  <c r="AJ46" i="16"/>
  <c r="AI46" i="16"/>
  <c r="AW45" i="16"/>
  <c r="AT45" i="16"/>
  <c r="AS45" i="16"/>
  <c r="AQ45" i="16"/>
  <c r="AP45" i="16"/>
  <c r="AO45" i="16"/>
  <c r="AM45" i="16"/>
  <c r="AL45" i="16"/>
  <c r="AJ45" i="16"/>
  <c r="AI45" i="16"/>
  <c r="AW44" i="16"/>
  <c r="AT44" i="16"/>
  <c r="AS44" i="16"/>
  <c r="AQ44" i="16"/>
  <c r="AP44" i="16"/>
  <c r="AO44" i="16"/>
  <c r="AM44" i="16"/>
  <c r="AL44" i="16"/>
  <c r="AJ44" i="16"/>
  <c r="AI44" i="16"/>
  <c r="AW43" i="16"/>
  <c r="AT43" i="16"/>
  <c r="AS43" i="16"/>
  <c r="AQ43" i="16"/>
  <c r="AP43" i="16"/>
  <c r="AO43" i="16"/>
  <c r="AM43" i="16"/>
  <c r="AL43" i="16"/>
  <c r="AJ43" i="16"/>
  <c r="AI43" i="16"/>
  <c r="AE41" i="16"/>
  <c r="AD41" i="16"/>
  <c r="AC41" i="16"/>
  <c r="AB41" i="16"/>
  <c r="AA41" i="16"/>
  <c r="Z41" i="16"/>
  <c r="Y41" i="16"/>
  <c r="X41" i="16"/>
  <c r="W41" i="16"/>
  <c r="V41" i="16"/>
  <c r="U41" i="16"/>
  <c r="T41" i="16"/>
  <c r="S41" i="16"/>
  <c r="R41" i="16"/>
  <c r="Q41" i="16"/>
  <c r="P41" i="16"/>
  <c r="O41" i="16"/>
  <c r="N41" i="16"/>
  <c r="M41" i="16"/>
  <c r="L41" i="16"/>
  <c r="K41" i="16"/>
  <c r="J41" i="16"/>
  <c r="I41" i="16"/>
  <c r="H41" i="16"/>
  <c r="G41" i="16"/>
  <c r="F41" i="16"/>
  <c r="E41" i="16"/>
  <c r="D41" i="16"/>
  <c r="C41" i="16"/>
  <c r="B41" i="16"/>
  <c r="AW36" i="16"/>
  <c r="AT36" i="16"/>
  <c r="AS36" i="16"/>
  <c r="AQ36" i="16"/>
  <c r="AP36" i="16"/>
  <c r="AO36" i="16"/>
  <c r="AM36" i="16"/>
  <c r="AL36" i="16"/>
  <c r="AJ36" i="16"/>
  <c r="AI36" i="16"/>
  <c r="AW35" i="16"/>
  <c r="AT35" i="16"/>
  <c r="AS35" i="16"/>
  <c r="AQ35" i="16"/>
  <c r="AP35" i="16"/>
  <c r="AO35" i="16"/>
  <c r="AM35" i="16"/>
  <c r="AL35" i="16"/>
  <c r="AJ35" i="16"/>
  <c r="AI35" i="16"/>
  <c r="AW34" i="16"/>
  <c r="AT34" i="16"/>
  <c r="AS34" i="16"/>
  <c r="AQ34" i="16"/>
  <c r="AP34" i="16"/>
  <c r="AO34" i="16"/>
  <c r="AM34" i="16"/>
  <c r="AL34" i="16"/>
  <c r="AJ34" i="16"/>
  <c r="AI34" i="16"/>
  <c r="AW33" i="16"/>
  <c r="AT33" i="16"/>
  <c r="AS33" i="16"/>
  <c r="AQ33" i="16"/>
  <c r="AP33" i="16"/>
  <c r="AO33" i="16"/>
  <c r="AM33" i="16"/>
  <c r="AL33" i="16"/>
  <c r="AJ33" i="16"/>
  <c r="AI33" i="16"/>
  <c r="AW32" i="16"/>
  <c r="AT32" i="16"/>
  <c r="AS32" i="16"/>
  <c r="AQ32" i="16"/>
  <c r="AP32" i="16"/>
  <c r="AO32" i="16"/>
  <c r="AM32" i="16"/>
  <c r="AL32" i="16"/>
  <c r="AJ32" i="16"/>
  <c r="AI32" i="16"/>
  <c r="AW31" i="16"/>
  <c r="AT31" i="16"/>
  <c r="AS31" i="16"/>
  <c r="AQ31" i="16"/>
  <c r="AP31" i="16"/>
  <c r="AO31" i="16"/>
  <c r="AM31" i="16"/>
  <c r="AL31" i="16"/>
  <c r="AJ31" i="16"/>
  <c r="AI31" i="16"/>
  <c r="AF29" i="16"/>
  <c r="AE29" i="16"/>
  <c r="AD29" i="16"/>
  <c r="AC29" i="16"/>
  <c r="AB29" i="16"/>
  <c r="AA29" i="16"/>
  <c r="Z29" i="16"/>
  <c r="Y29" i="16"/>
  <c r="X29" i="16"/>
  <c r="W29" i="16"/>
  <c r="V29" i="16"/>
  <c r="U29" i="16"/>
  <c r="T29" i="16"/>
  <c r="S29" i="16"/>
  <c r="R29" i="16"/>
  <c r="Q29" i="16"/>
  <c r="P29" i="16"/>
  <c r="O29" i="16"/>
  <c r="N29" i="16"/>
  <c r="M29" i="16"/>
  <c r="L29" i="16"/>
  <c r="K29" i="16"/>
  <c r="J29" i="16"/>
  <c r="I29" i="16"/>
  <c r="H29" i="16"/>
  <c r="G29" i="16"/>
  <c r="F29" i="16"/>
  <c r="E29" i="16"/>
  <c r="D29" i="16"/>
  <c r="C29" i="16"/>
  <c r="B29" i="16"/>
  <c r="AW24" i="16"/>
  <c r="AT24" i="16"/>
  <c r="AS24" i="16"/>
  <c r="AQ24" i="16"/>
  <c r="AP24" i="16"/>
  <c r="AO24" i="16"/>
  <c r="AM24" i="16"/>
  <c r="AL24" i="16"/>
  <c r="AJ24" i="16"/>
  <c r="AI24" i="16"/>
  <c r="AW23" i="16"/>
  <c r="AT23" i="16"/>
  <c r="AS23" i="16"/>
  <c r="AQ23" i="16"/>
  <c r="AP23" i="16"/>
  <c r="AO23" i="16"/>
  <c r="AM23" i="16"/>
  <c r="AL23" i="16"/>
  <c r="AJ23" i="16"/>
  <c r="AI23" i="16"/>
  <c r="AW22" i="16"/>
  <c r="AT22" i="16"/>
  <c r="AS22" i="16"/>
  <c r="AQ22" i="16"/>
  <c r="AP22" i="16"/>
  <c r="AO22" i="16"/>
  <c r="AM22" i="16"/>
  <c r="AL22" i="16"/>
  <c r="AJ22" i="16"/>
  <c r="AI22" i="16"/>
  <c r="AW21" i="16"/>
  <c r="AT21" i="16"/>
  <c r="AS21" i="16"/>
  <c r="AQ21" i="16"/>
  <c r="AP21" i="16"/>
  <c r="AO21" i="16"/>
  <c r="AM21" i="16"/>
  <c r="AL21" i="16"/>
  <c r="AJ21" i="16"/>
  <c r="AI21" i="16"/>
  <c r="AW20" i="16"/>
  <c r="AT20" i="16"/>
  <c r="AS20" i="16"/>
  <c r="AQ20" i="16"/>
  <c r="AP20" i="16"/>
  <c r="AO20" i="16"/>
  <c r="AM20" i="16"/>
  <c r="AL20" i="16"/>
  <c r="AJ20" i="16"/>
  <c r="AI20" i="16"/>
  <c r="AW19" i="16"/>
  <c r="AT19" i="16"/>
  <c r="AS19" i="16"/>
  <c r="AQ19" i="16"/>
  <c r="AP19" i="16"/>
  <c r="AO19" i="16"/>
  <c r="AM19" i="16"/>
  <c r="AL19" i="16"/>
  <c r="AJ19" i="16"/>
  <c r="AI19" i="16"/>
  <c r="AC17" i="16"/>
  <c r="AB17" i="16"/>
  <c r="AA17" i="16"/>
  <c r="Z17" i="16"/>
  <c r="Y17" i="16"/>
  <c r="X17" i="16"/>
  <c r="W17" i="16"/>
  <c r="V17" i="16"/>
  <c r="U17" i="16"/>
  <c r="T17" i="16"/>
  <c r="S17" i="16"/>
  <c r="R17" i="16"/>
  <c r="Q17" i="16"/>
  <c r="P17" i="16"/>
  <c r="O17" i="16"/>
  <c r="N17" i="16"/>
  <c r="M17" i="16"/>
  <c r="L17" i="16"/>
  <c r="K17" i="16"/>
  <c r="J17" i="16"/>
  <c r="I17" i="16"/>
  <c r="H17" i="16"/>
  <c r="G17" i="16"/>
  <c r="F17" i="16"/>
  <c r="E17" i="16"/>
  <c r="D17" i="16"/>
  <c r="C17" i="16"/>
  <c r="B17" i="16"/>
  <c r="AF5" i="16"/>
  <c r="AE5" i="16"/>
  <c r="AD5" i="16"/>
  <c r="AC5" i="16"/>
  <c r="AB5" i="16"/>
  <c r="AA5" i="16"/>
  <c r="Z5" i="16"/>
  <c r="Y5" i="16"/>
  <c r="X5" i="16"/>
  <c r="W5" i="16"/>
  <c r="V5" i="16"/>
  <c r="U5" i="16"/>
  <c r="T5" i="16"/>
  <c r="S5" i="16"/>
  <c r="R5" i="16"/>
  <c r="Q5" i="16"/>
  <c r="P5" i="16"/>
  <c r="O5" i="16"/>
  <c r="N5" i="16"/>
  <c r="M5" i="16"/>
  <c r="L5" i="16"/>
  <c r="K5" i="16"/>
  <c r="J5" i="16"/>
  <c r="I5" i="16"/>
  <c r="H5" i="16"/>
  <c r="G5" i="16"/>
  <c r="F5" i="16"/>
  <c r="E5" i="16"/>
  <c r="D5" i="16"/>
  <c r="C5" i="16"/>
  <c r="B5" i="16"/>
  <c r="D10" i="22" l="1"/>
  <c r="D13" i="22"/>
  <c r="D15" i="22"/>
  <c r="D11" i="21"/>
  <c r="D18" i="23"/>
  <c r="D16" i="23"/>
  <c r="D19" i="23"/>
  <c r="D19" i="22"/>
  <c r="D18" i="22"/>
  <c r="D11" i="22"/>
  <c r="D18" i="21"/>
  <c r="D10" i="21"/>
  <c r="D12" i="21"/>
  <c r="D13" i="21"/>
  <c r="D14" i="21"/>
  <c r="D15" i="21"/>
  <c r="D16" i="21"/>
  <c r="D19" i="21"/>
  <c r="D10" i="20"/>
  <c r="D12" i="20"/>
  <c r="D13" i="20"/>
  <c r="D14" i="20"/>
  <c r="D15" i="20"/>
  <c r="D16" i="20"/>
  <c r="D18" i="20"/>
  <c r="D19" i="20"/>
  <c r="D11" i="20"/>
  <c r="D10" i="18"/>
  <c r="D10" i="19"/>
  <c r="D12" i="18"/>
  <c r="D12" i="19"/>
  <c r="D14" i="18"/>
  <c r="D14" i="19"/>
  <c r="D15" i="18"/>
  <c r="D15" i="19"/>
  <c r="D11" i="18"/>
  <c r="D11" i="19"/>
  <c r="D19" i="18"/>
  <c r="D19" i="19"/>
  <c r="D16" i="18"/>
  <c r="D16" i="19"/>
  <c r="D18" i="18"/>
  <c r="D18" i="19"/>
  <c r="D13" i="18"/>
  <c r="D13" i="19"/>
  <c r="AK79" i="16"/>
  <c r="AU19" i="11"/>
  <c r="AR84" i="16"/>
  <c r="AU83" i="16"/>
  <c r="AR80" i="16"/>
  <c r="AU79" i="16"/>
  <c r="AN23" i="11"/>
  <c r="AU23" i="11"/>
  <c r="AU67" i="16"/>
  <c r="AU69" i="16"/>
  <c r="AR70" i="16"/>
  <c r="AU71" i="16"/>
  <c r="AU91" i="16"/>
  <c r="AR92" i="16"/>
  <c r="AU95" i="16"/>
  <c r="AR96" i="16"/>
  <c r="AU105" i="16"/>
  <c r="AR106" i="16"/>
  <c r="AU115" i="16"/>
  <c r="AR116" i="16"/>
  <c r="AU119" i="16"/>
  <c r="AR120" i="16"/>
  <c r="AU129" i="16"/>
  <c r="AR130" i="16"/>
  <c r="AU139" i="16"/>
  <c r="AR140" i="16"/>
  <c r="AU143" i="16"/>
  <c r="AR145" i="16"/>
  <c r="AK24" i="11"/>
  <c r="AR23" i="11"/>
  <c r="AK23" i="11"/>
  <c r="AN22" i="11"/>
  <c r="AU21" i="11"/>
  <c r="AR19" i="11"/>
  <c r="AN35" i="11"/>
  <c r="AN31" i="11"/>
  <c r="AR21" i="11"/>
  <c r="AN34" i="11"/>
  <c r="AN33" i="11"/>
  <c r="AU24" i="11"/>
  <c r="AR22" i="11"/>
  <c r="AN21" i="11"/>
  <c r="AU20" i="11"/>
  <c r="AK19" i="11"/>
  <c r="AN79" i="16"/>
  <c r="AN24" i="11"/>
  <c r="AK22" i="11"/>
  <c r="AN20" i="11"/>
  <c r="AU84" i="16"/>
  <c r="AR83" i="16"/>
  <c r="AU82" i="16"/>
  <c r="AR81" i="16"/>
  <c r="AU80" i="16"/>
  <c r="AR79" i="16"/>
  <c r="AN67" i="16"/>
  <c r="AN69" i="16"/>
  <c r="AK70" i="16"/>
  <c r="AN71" i="16"/>
  <c r="AK72" i="16"/>
  <c r="AN91" i="16"/>
  <c r="AK92" i="16"/>
  <c r="AN93" i="16"/>
  <c r="AK94" i="16"/>
  <c r="AN95" i="16"/>
  <c r="AK96" i="16"/>
  <c r="AN103" i="16"/>
  <c r="AK104" i="16"/>
  <c r="AN105" i="16"/>
  <c r="AK106" i="16"/>
  <c r="AN107" i="16"/>
  <c r="AK108" i="16"/>
  <c r="AN115" i="16"/>
  <c r="AK116" i="16"/>
  <c r="AN117" i="16"/>
  <c r="AK118" i="16"/>
  <c r="AN119" i="16"/>
  <c r="AK120" i="16"/>
  <c r="AN127" i="16"/>
  <c r="AK128" i="16"/>
  <c r="AN129" i="16"/>
  <c r="AK130" i="16"/>
  <c r="AN131" i="16"/>
  <c r="AK132" i="16"/>
  <c r="AN139" i="16"/>
  <c r="AK140" i="16"/>
  <c r="AN141" i="16"/>
  <c r="AK142" i="16"/>
  <c r="AN143" i="16"/>
  <c r="AK145" i="16"/>
  <c r="AU144" i="16"/>
  <c r="AR24" i="11"/>
  <c r="AU22" i="11"/>
  <c r="AK21" i="11"/>
  <c r="AR20" i="11"/>
  <c r="AN19" i="11"/>
  <c r="AN36" i="11"/>
  <c r="AN32" i="11"/>
  <c r="AK67" i="16"/>
  <c r="AR68" i="16"/>
  <c r="AK69" i="16"/>
  <c r="AN70" i="16"/>
  <c r="AK71" i="16"/>
  <c r="AN72" i="16"/>
  <c r="AR72" i="16"/>
  <c r="AK91" i="16"/>
  <c r="AN92" i="16"/>
  <c r="AK93" i="16"/>
  <c r="AU93" i="16"/>
  <c r="AN94" i="16"/>
  <c r="AR94" i="16"/>
  <c r="AK95" i="16"/>
  <c r="AN96" i="16"/>
  <c r="AK103" i="16"/>
  <c r="B13" i="20" s="1"/>
  <c r="AU103" i="16"/>
  <c r="AN104" i="16"/>
  <c r="AR104" i="16"/>
  <c r="AK105" i="16"/>
  <c r="AN106" i="16"/>
  <c r="AK107" i="16"/>
  <c r="AU107" i="16"/>
  <c r="AN108" i="16"/>
  <c r="AR108" i="16"/>
  <c r="AK115" i="16"/>
  <c r="B14" i="20" s="1"/>
  <c r="AN116" i="16"/>
  <c r="AK117" i="16"/>
  <c r="AU117" i="16"/>
  <c r="AN118" i="16"/>
  <c r="AR118" i="16"/>
  <c r="AK119" i="16"/>
  <c r="AN120" i="16"/>
  <c r="AK127" i="16"/>
  <c r="AU127" i="16"/>
  <c r="AN128" i="16"/>
  <c r="AR128" i="16"/>
  <c r="AR67" i="16"/>
  <c r="E10" i="20" s="1"/>
  <c r="AR69" i="16"/>
  <c r="AU70" i="16"/>
  <c r="AR71" i="16"/>
  <c r="AU72" i="16"/>
  <c r="AR91" i="16"/>
  <c r="AU92" i="16"/>
  <c r="AR93" i="16"/>
  <c r="AU94" i="16"/>
  <c r="AR95" i="16"/>
  <c r="AU96" i="16"/>
  <c r="AR103" i="16"/>
  <c r="E13" i="20" s="1"/>
  <c r="AU104" i="16"/>
  <c r="AR105" i="16"/>
  <c r="AU106" i="16"/>
  <c r="AR107" i="16"/>
  <c r="AU108" i="16"/>
  <c r="AR115" i="16"/>
  <c r="E14" i="20" s="1"/>
  <c r="AU116" i="16"/>
  <c r="AR117" i="16"/>
  <c r="AU118" i="16"/>
  <c r="AR119" i="16"/>
  <c r="AU120" i="16"/>
  <c r="AR127" i="16"/>
  <c r="AU128" i="16"/>
  <c r="AR129" i="16"/>
  <c r="AU130" i="16"/>
  <c r="AR131" i="16"/>
  <c r="AU132" i="16"/>
  <c r="AR139" i="16"/>
  <c r="AU140" i="16"/>
  <c r="AR141" i="16"/>
  <c r="AU142" i="16"/>
  <c r="AR143" i="16"/>
  <c r="AR82" i="16"/>
  <c r="AU81" i="16"/>
  <c r="AN144" i="16"/>
  <c r="AK84" i="16"/>
  <c r="AN83" i="16"/>
  <c r="AK82" i="16"/>
  <c r="AN81" i="16"/>
  <c r="AK80" i="16"/>
  <c r="AK129" i="16"/>
  <c r="AN130" i="16"/>
  <c r="AK131" i="16"/>
  <c r="AU131" i="16"/>
  <c r="AN132" i="16"/>
  <c r="AR132" i="16"/>
  <c r="AK139" i="16"/>
  <c r="B16" i="20" s="1"/>
  <c r="AN140" i="16"/>
  <c r="AK141" i="16"/>
  <c r="AU141" i="16"/>
  <c r="AN142" i="16"/>
  <c r="AR142" i="16"/>
  <c r="AK143" i="16"/>
  <c r="AN145" i="16"/>
  <c r="AR144" i="16"/>
  <c r="AK144" i="16"/>
  <c r="AK20" i="11"/>
  <c r="AN84" i="16"/>
  <c r="AK83" i="16"/>
  <c r="AN82" i="16"/>
  <c r="AK81" i="16"/>
  <c r="AN80" i="16"/>
  <c r="AU68" i="16"/>
  <c r="AK68" i="16"/>
  <c r="AN68" i="16"/>
  <c r="AV12" i="16"/>
  <c r="AV11" i="16"/>
  <c r="AV8" i="16"/>
  <c r="AV7" i="16"/>
  <c r="AV10" i="16"/>
  <c r="AV9" i="16"/>
  <c r="AV46" i="16"/>
  <c r="AV58" i="16"/>
  <c r="AV44" i="16"/>
  <c r="AV48" i="16"/>
  <c r="AV56" i="16"/>
  <c r="AV60" i="16"/>
  <c r="AV45" i="16"/>
  <c r="AV55" i="16"/>
  <c r="AV59" i="16"/>
  <c r="AV20" i="16"/>
  <c r="AV32" i="16"/>
  <c r="AV36" i="16"/>
  <c r="AV43" i="16"/>
  <c r="AV47" i="16"/>
  <c r="AV57" i="16"/>
  <c r="AV33" i="16"/>
  <c r="AV31" i="16"/>
  <c r="AV35" i="16"/>
  <c r="AV34" i="16"/>
  <c r="AV22" i="16"/>
  <c r="AV21" i="16"/>
  <c r="AV24" i="16"/>
  <c r="AV19" i="16"/>
  <c r="AV23" i="16"/>
  <c r="AQ31" i="11"/>
  <c r="AQ44" i="11"/>
  <c r="AQ45" i="11"/>
  <c r="AQ46" i="11"/>
  <c r="AQ47" i="11"/>
  <c r="AQ48" i="11"/>
  <c r="AQ43" i="11"/>
  <c r="AQ56" i="11"/>
  <c r="AQ57" i="11"/>
  <c r="AQ58" i="11"/>
  <c r="AQ59" i="11"/>
  <c r="AQ60" i="11"/>
  <c r="AQ55" i="11"/>
  <c r="AS70" i="11"/>
  <c r="AS71" i="11"/>
  <c r="AS72" i="11"/>
  <c r="AQ72" i="11"/>
  <c r="AQ68" i="11"/>
  <c r="AQ69" i="11"/>
  <c r="AQ70" i="11"/>
  <c r="AQ71" i="11"/>
  <c r="AQ67" i="11"/>
  <c r="AQ80" i="11"/>
  <c r="AQ81" i="11"/>
  <c r="AQ82" i="11"/>
  <c r="AQ83" i="11"/>
  <c r="AQ84" i="11"/>
  <c r="AQ79" i="11"/>
  <c r="AQ92" i="11"/>
  <c r="AQ93" i="11"/>
  <c r="AQ94" i="11"/>
  <c r="AQ95" i="11"/>
  <c r="AQ96" i="11"/>
  <c r="AQ91" i="11"/>
  <c r="AQ104" i="11"/>
  <c r="AQ105" i="11"/>
  <c r="AQ106" i="11"/>
  <c r="AQ107" i="11"/>
  <c r="AQ108" i="11"/>
  <c r="AQ103" i="11"/>
  <c r="AQ116" i="11"/>
  <c r="AQ117" i="11"/>
  <c r="AQ118" i="11"/>
  <c r="AQ119" i="11"/>
  <c r="AQ120" i="11"/>
  <c r="AQ115" i="11"/>
  <c r="AQ140" i="11"/>
  <c r="AQ141" i="11"/>
  <c r="AQ142" i="11"/>
  <c r="AQ143" i="11"/>
  <c r="AQ144" i="11"/>
  <c r="AQ139" i="11"/>
  <c r="AQ128" i="11"/>
  <c r="AQ129" i="11"/>
  <c r="AQ130" i="11"/>
  <c r="AQ131" i="11"/>
  <c r="AQ132" i="11"/>
  <c r="AQ127" i="11"/>
  <c r="AW144" i="11"/>
  <c r="AW143" i="11"/>
  <c r="AW142" i="11"/>
  <c r="AW141" i="11"/>
  <c r="AW140" i="11"/>
  <c r="AW139" i="11"/>
  <c r="AW132" i="11"/>
  <c r="AW131" i="11"/>
  <c r="AW130" i="11"/>
  <c r="AW129" i="11"/>
  <c r="AW128" i="11"/>
  <c r="AW127" i="11"/>
  <c r="AW120" i="11"/>
  <c r="AW119" i="11"/>
  <c r="AW118" i="11"/>
  <c r="AW117" i="11"/>
  <c r="AW116" i="11"/>
  <c r="AW115" i="11"/>
  <c r="AW108" i="11"/>
  <c r="AW107" i="11"/>
  <c r="AW106" i="11"/>
  <c r="AW105" i="11"/>
  <c r="AW104" i="11"/>
  <c r="AW103" i="11"/>
  <c r="AW96" i="11"/>
  <c r="AW95" i="11"/>
  <c r="AW94" i="11"/>
  <c r="AW93" i="11"/>
  <c r="AW92" i="11"/>
  <c r="AW91" i="11"/>
  <c r="AW84" i="11"/>
  <c r="AW83" i="11"/>
  <c r="AW82" i="11"/>
  <c r="AW81" i="11"/>
  <c r="AW80" i="11"/>
  <c r="AW79" i="11"/>
  <c r="AW72" i="11"/>
  <c r="AW71" i="11"/>
  <c r="AW70" i="11"/>
  <c r="AW69" i="11"/>
  <c r="AW68" i="11"/>
  <c r="AW67" i="11"/>
  <c r="AW60" i="11"/>
  <c r="AW59" i="11"/>
  <c r="AW58" i="11"/>
  <c r="AW57" i="11"/>
  <c r="AW56" i="11"/>
  <c r="AW55" i="11"/>
  <c r="AW48" i="11"/>
  <c r="AW47" i="11"/>
  <c r="AW46" i="11"/>
  <c r="AW45" i="11"/>
  <c r="AW44" i="11"/>
  <c r="AW43" i="11"/>
  <c r="AW36" i="11"/>
  <c r="AW35" i="11"/>
  <c r="AW34" i="11"/>
  <c r="AW33" i="11"/>
  <c r="AW32" i="11"/>
  <c r="AW31" i="11"/>
  <c r="AW20" i="11"/>
  <c r="AW21" i="11"/>
  <c r="AW22" i="11"/>
  <c r="AW23" i="11"/>
  <c r="AW24" i="11"/>
  <c r="AW19" i="11"/>
  <c r="E18" i="21" l="1"/>
  <c r="C19" i="22"/>
  <c r="F13" i="21"/>
  <c r="B18" i="23"/>
  <c r="E16" i="23"/>
  <c r="C16" i="23"/>
  <c r="C19" i="23"/>
  <c r="F16" i="23"/>
  <c r="C18" i="23"/>
  <c r="F11" i="22"/>
  <c r="E16" i="22"/>
  <c r="E14" i="22"/>
  <c r="E12" i="22"/>
  <c r="C16" i="22"/>
  <c r="C14" i="22"/>
  <c r="C12" i="22"/>
  <c r="E18" i="23"/>
  <c r="F10" i="22"/>
  <c r="F18" i="23"/>
  <c r="B16" i="23"/>
  <c r="F18" i="22"/>
  <c r="C11" i="22"/>
  <c r="F14" i="22"/>
  <c r="B12" i="22"/>
  <c r="F15" i="22"/>
  <c r="F16" i="22"/>
  <c r="C18" i="22"/>
  <c r="B11" i="22"/>
  <c r="B16" i="22"/>
  <c r="B15" i="22"/>
  <c r="F15" i="21"/>
  <c r="B14" i="22"/>
  <c r="B13" i="22"/>
  <c r="B18" i="22"/>
  <c r="E18" i="22"/>
  <c r="F13" i="22"/>
  <c r="E15" i="22"/>
  <c r="E13" i="22"/>
  <c r="E10" i="22"/>
  <c r="F12" i="22"/>
  <c r="B10" i="22"/>
  <c r="C15" i="22"/>
  <c r="C13" i="22"/>
  <c r="C10" i="22"/>
  <c r="E11" i="22"/>
  <c r="C19" i="21"/>
  <c r="F18" i="21"/>
  <c r="C11" i="21"/>
  <c r="F10" i="21"/>
  <c r="C12" i="21"/>
  <c r="E16" i="21"/>
  <c r="E12" i="20"/>
  <c r="E14" i="21"/>
  <c r="C18" i="21"/>
  <c r="C16" i="21"/>
  <c r="F16" i="21"/>
  <c r="F14" i="21"/>
  <c r="C14" i="21"/>
  <c r="F12" i="21"/>
  <c r="B16" i="21"/>
  <c r="B14" i="21"/>
  <c r="B12" i="21"/>
  <c r="F11" i="21"/>
  <c r="B18" i="21"/>
  <c r="E10" i="21"/>
  <c r="E15" i="21"/>
  <c r="C15" i="21"/>
  <c r="B11" i="21"/>
  <c r="C13" i="21"/>
  <c r="E12" i="21"/>
  <c r="E13" i="21"/>
  <c r="E11" i="21"/>
  <c r="C10" i="21"/>
  <c r="B15" i="21"/>
  <c r="B13" i="21"/>
  <c r="B10" i="21"/>
  <c r="B12" i="20"/>
  <c r="B18" i="20"/>
  <c r="C19" i="20"/>
  <c r="F16" i="20"/>
  <c r="F12" i="20"/>
  <c r="C16" i="20"/>
  <c r="C14" i="20"/>
  <c r="C11" i="20"/>
  <c r="B11" i="20"/>
  <c r="F10" i="20"/>
  <c r="E16" i="20"/>
  <c r="F15" i="20"/>
  <c r="C12" i="20"/>
  <c r="B15" i="20"/>
  <c r="C18" i="20"/>
  <c r="C10" i="20"/>
  <c r="F14" i="20"/>
  <c r="E15" i="20"/>
  <c r="F13" i="20"/>
  <c r="B10" i="20"/>
  <c r="C15" i="20"/>
  <c r="C13" i="20"/>
  <c r="E11" i="20"/>
  <c r="E18" i="20"/>
  <c r="F11" i="20"/>
  <c r="F18" i="20"/>
  <c r="C16" i="18"/>
  <c r="C16" i="19"/>
  <c r="C12" i="18"/>
  <c r="C12" i="19"/>
  <c r="E18" i="18"/>
  <c r="E18" i="19"/>
  <c r="E16" i="18"/>
  <c r="E16" i="19"/>
  <c r="E12" i="18"/>
  <c r="E12" i="19"/>
  <c r="F10" i="18"/>
  <c r="F10" i="19"/>
  <c r="F16" i="18"/>
  <c r="F16" i="19"/>
  <c r="F14" i="18"/>
  <c r="F14" i="19"/>
  <c r="F12" i="18"/>
  <c r="F12" i="19"/>
  <c r="C15" i="18"/>
  <c r="C15" i="19"/>
  <c r="C19" i="18"/>
  <c r="C19" i="19"/>
  <c r="B16" i="18"/>
  <c r="B16" i="19"/>
  <c r="B14" i="18"/>
  <c r="B14" i="19"/>
  <c r="B12" i="18"/>
  <c r="B12" i="19"/>
  <c r="F11" i="18"/>
  <c r="F11" i="19"/>
  <c r="E11" i="18"/>
  <c r="E11" i="19"/>
  <c r="E15" i="18"/>
  <c r="E15" i="19"/>
  <c r="C10" i="18"/>
  <c r="C10" i="19"/>
  <c r="C11" i="18"/>
  <c r="C11" i="19"/>
  <c r="B11" i="18"/>
  <c r="B11" i="19"/>
  <c r="C14" i="18"/>
  <c r="C14" i="19"/>
  <c r="E13" i="18"/>
  <c r="E13" i="19"/>
  <c r="C18" i="18"/>
  <c r="C18" i="19"/>
  <c r="E14" i="18"/>
  <c r="E14" i="19"/>
  <c r="B10" i="18"/>
  <c r="B10" i="19"/>
  <c r="B18" i="18"/>
  <c r="B18" i="19"/>
  <c r="F15" i="18"/>
  <c r="F15" i="19"/>
  <c r="F13" i="18"/>
  <c r="F13" i="19"/>
  <c r="C13" i="18"/>
  <c r="C13" i="19"/>
  <c r="E10" i="18"/>
  <c r="E10" i="19"/>
  <c r="B15" i="18"/>
  <c r="B15" i="19"/>
  <c r="B13" i="18"/>
  <c r="B13" i="19"/>
  <c r="F18" i="18"/>
  <c r="F18" i="19"/>
  <c r="AV84" i="16"/>
  <c r="AV120" i="16"/>
  <c r="AV106" i="16"/>
  <c r="AV79" i="16"/>
  <c r="AV139" i="16"/>
  <c r="AV71" i="16"/>
  <c r="AV144" i="16"/>
  <c r="AV131" i="16"/>
  <c r="AV70" i="16"/>
  <c r="AV23" i="11"/>
  <c r="AV21" i="11"/>
  <c r="AV83" i="16"/>
  <c r="AV117" i="16"/>
  <c r="AV82" i="16"/>
  <c r="AV141" i="16"/>
  <c r="AV105" i="16"/>
  <c r="AV91" i="16"/>
  <c r="AV24" i="11"/>
  <c r="AV22" i="11"/>
  <c r="AV145" i="16"/>
  <c r="AV80" i="16"/>
  <c r="AV95" i="16"/>
  <c r="AV19" i="11"/>
  <c r="AV142" i="16"/>
  <c r="AV108" i="16"/>
  <c r="AV94" i="16"/>
  <c r="AV128" i="16"/>
  <c r="AV143" i="16"/>
  <c r="AV132" i="16"/>
  <c r="AV129" i="16"/>
  <c r="AV81" i="16"/>
  <c r="AV130" i="16"/>
  <c r="AV118" i="16"/>
  <c r="AV96" i="16"/>
  <c r="AV93" i="16"/>
  <c r="AV72" i="16"/>
  <c r="AV69" i="16"/>
  <c r="AV104" i="16"/>
  <c r="AV127" i="16"/>
  <c r="AV115" i="16"/>
  <c r="AV107" i="16"/>
  <c r="AV140" i="16"/>
  <c r="AV67" i="16"/>
  <c r="AV92" i="16"/>
  <c r="AV116" i="16"/>
  <c r="AV20" i="11"/>
  <c r="AV119" i="16"/>
  <c r="AV103" i="16"/>
  <c r="AV68" i="16"/>
  <c r="AT140" i="11"/>
  <c r="AT141" i="11"/>
  <c r="AT142" i="11"/>
  <c r="AT143" i="11"/>
  <c r="AT144" i="11"/>
  <c r="AT139" i="11"/>
  <c r="AS140" i="11"/>
  <c r="AS141" i="11"/>
  <c r="AS142" i="11"/>
  <c r="AS143" i="11"/>
  <c r="AS144" i="11"/>
  <c r="AS139" i="11"/>
  <c r="AT128" i="11"/>
  <c r="AT129" i="11"/>
  <c r="AT130" i="11"/>
  <c r="AT131" i="11"/>
  <c r="AT132" i="11"/>
  <c r="AT127" i="11"/>
  <c r="AS128" i="11"/>
  <c r="AS129" i="11"/>
  <c r="AS130" i="11"/>
  <c r="AS131" i="11"/>
  <c r="AS132" i="11"/>
  <c r="AS127" i="11"/>
  <c r="AT116" i="11"/>
  <c r="AT117" i="11"/>
  <c r="AT118" i="11"/>
  <c r="AT119" i="11"/>
  <c r="AT120" i="11"/>
  <c r="AT115" i="11"/>
  <c r="AS116" i="11"/>
  <c r="AS117" i="11"/>
  <c r="AS118" i="11"/>
  <c r="AS119" i="11"/>
  <c r="AS120" i="11"/>
  <c r="AS115" i="11"/>
  <c r="AT104" i="11"/>
  <c r="AT105" i="11"/>
  <c r="AT106" i="11"/>
  <c r="AT107" i="11"/>
  <c r="AT108" i="11"/>
  <c r="AT103" i="11"/>
  <c r="AS104" i="11"/>
  <c r="AS105" i="11"/>
  <c r="AS106" i="11"/>
  <c r="AS107" i="11"/>
  <c r="AS108" i="11"/>
  <c r="AS103" i="11"/>
  <c r="AT92" i="11"/>
  <c r="AT93" i="11"/>
  <c r="AT94" i="11"/>
  <c r="AT95" i="11"/>
  <c r="AT96" i="11"/>
  <c r="AT91" i="11"/>
  <c r="AS92" i="11"/>
  <c r="AS93" i="11"/>
  <c r="AS94" i="11"/>
  <c r="AS95" i="11"/>
  <c r="AS96" i="11"/>
  <c r="AS91" i="11"/>
  <c r="AT80" i="11"/>
  <c r="AT81" i="11"/>
  <c r="AT82" i="11"/>
  <c r="AT83" i="11"/>
  <c r="AT84" i="11"/>
  <c r="AT79" i="11"/>
  <c r="AS80" i="11"/>
  <c r="AS81" i="11"/>
  <c r="AS82" i="11"/>
  <c r="AS83" i="11"/>
  <c r="AS84" i="11"/>
  <c r="AS79" i="11"/>
  <c r="AT68" i="11"/>
  <c r="AT69" i="11"/>
  <c r="AT70" i="11"/>
  <c r="AU70" i="11" s="1"/>
  <c r="AT71" i="11"/>
  <c r="AU71" i="11" s="1"/>
  <c r="AT72" i="11"/>
  <c r="AU72" i="11" s="1"/>
  <c r="AT67" i="11"/>
  <c r="AS68" i="11"/>
  <c r="AS69" i="11"/>
  <c r="AS67" i="11"/>
  <c r="AT56" i="11"/>
  <c r="AT57" i="11"/>
  <c r="AT58" i="11"/>
  <c r="AT59" i="11"/>
  <c r="AT60" i="11"/>
  <c r="AT55" i="11"/>
  <c r="AS56" i="11"/>
  <c r="AS57" i="11"/>
  <c r="AS58" i="11"/>
  <c r="AS59" i="11"/>
  <c r="AS60" i="11"/>
  <c r="AS55" i="11"/>
  <c r="AT44" i="11"/>
  <c r="AT45" i="11"/>
  <c r="AT46" i="11"/>
  <c r="AT47" i="11"/>
  <c r="AT48" i="11"/>
  <c r="AT43" i="11"/>
  <c r="AS44" i="11"/>
  <c r="AS45" i="11"/>
  <c r="AS46" i="11"/>
  <c r="AS47" i="11"/>
  <c r="AS48" i="11"/>
  <c r="AS43" i="11"/>
  <c r="AT32" i="11"/>
  <c r="AT33" i="11"/>
  <c r="AT34" i="11"/>
  <c r="AT35" i="11"/>
  <c r="AT36" i="11"/>
  <c r="AT31" i="11"/>
  <c r="AQ32" i="11"/>
  <c r="AS32" i="11"/>
  <c r="AQ33" i="11"/>
  <c r="AS33" i="11"/>
  <c r="AQ34" i="11"/>
  <c r="AS34" i="11"/>
  <c r="AQ35" i="11"/>
  <c r="AS35" i="11"/>
  <c r="AQ36" i="11"/>
  <c r="AS36" i="11"/>
  <c r="AS31" i="11"/>
  <c r="G18" i="23" l="1"/>
  <c r="G16" i="23"/>
  <c r="G12" i="22"/>
  <c r="G14" i="22"/>
  <c r="G18" i="22"/>
  <c r="G10" i="22"/>
  <c r="G16" i="22"/>
  <c r="G15" i="22"/>
  <c r="G13" i="22"/>
  <c r="G12" i="20"/>
  <c r="G11" i="22"/>
  <c r="G14" i="21"/>
  <c r="G10" i="21"/>
  <c r="G13" i="21"/>
  <c r="G11" i="21"/>
  <c r="G15" i="21"/>
  <c r="G18" i="21"/>
  <c r="G16" i="21"/>
  <c r="G12" i="21"/>
  <c r="G13" i="20"/>
  <c r="G10" i="20"/>
  <c r="G16" i="20"/>
  <c r="G14" i="20"/>
  <c r="G11" i="20"/>
  <c r="G18" i="20"/>
  <c r="G15" i="20"/>
  <c r="G15" i="18"/>
  <c r="G11" i="19"/>
  <c r="G16" i="19"/>
  <c r="G12" i="18"/>
  <c r="G13" i="18"/>
  <c r="G14" i="18"/>
  <c r="G11" i="18"/>
  <c r="G12" i="19"/>
  <c r="G15" i="19"/>
  <c r="G10" i="19"/>
  <c r="G14" i="19"/>
  <c r="G13" i="19"/>
  <c r="G18" i="19"/>
  <c r="AU33" i="11"/>
  <c r="AU48" i="11"/>
  <c r="AU44" i="11"/>
  <c r="AU60" i="11"/>
  <c r="AU56" i="11"/>
  <c r="AU69" i="11"/>
  <c r="AU79" i="11"/>
  <c r="AU81" i="11"/>
  <c r="AU91" i="11"/>
  <c r="AU93" i="11"/>
  <c r="AU103" i="11"/>
  <c r="AU105" i="11"/>
  <c r="AU115" i="11"/>
  <c r="AU117" i="11"/>
  <c r="AU127" i="11"/>
  <c r="AU129" i="11"/>
  <c r="AU139" i="11"/>
  <c r="AU141" i="11"/>
  <c r="AU36" i="11"/>
  <c r="AU34" i="11"/>
  <c r="AU32" i="11"/>
  <c r="AU67" i="11"/>
  <c r="AU31" i="11"/>
  <c r="AU43" i="11"/>
  <c r="AU45" i="11"/>
  <c r="AU55" i="11"/>
  <c r="AU57" i="11"/>
  <c r="AU82" i="11"/>
  <c r="AU94" i="11"/>
  <c r="AU106" i="11"/>
  <c r="AU118" i="11"/>
  <c r="AU130" i="11"/>
  <c r="AU142" i="11"/>
  <c r="AU46" i="11"/>
  <c r="AU58" i="11"/>
  <c r="AU83" i="11"/>
  <c r="AU95" i="11"/>
  <c r="AU107" i="11"/>
  <c r="AU119" i="11"/>
  <c r="AU131" i="11"/>
  <c r="AU143" i="11"/>
  <c r="AU35" i="11"/>
  <c r="AU47" i="11"/>
  <c r="AU59" i="11"/>
  <c r="F21" i="23" s="1"/>
  <c r="AU68" i="11"/>
  <c r="AU84" i="11"/>
  <c r="AU80" i="11"/>
  <c r="AU96" i="11"/>
  <c r="AU92" i="11"/>
  <c r="AU108" i="11"/>
  <c r="AU104" i="11"/>
  <c r="AU120" i="11"/>
  <c r="AU116" i="11"/>
  <c r="AU132" i="11"/>
  <c r="AU128" i="11"/>
  <c r="AU144" i="11"/>
  <c r="AU140" i="11"/>
  <c r="G10" i="18"/>
  <c r="G16" i="18"/>
  <c r="G18" i="18"/>
  <c r="AT8" i="11"/>
  <c r="AT9" i="11"/>
  <c r="AT10" i="11"/>
  <c r="AT11" i="11"/>
  <c r="AT12" i="11"/>
  <c r="AT7" i="11"/>
  <c r="AQ8" i="11"/>
  <c r="AQ9" i="11"/>
  <c r="AQ10" i="11"/>
  <c r="AQ11" i="11"/>
  <c r="AQ12" i="11"/>
  <c r="AQ7" i="11"/>
  <c r="AS8" i="11"/>
  <c r="AS9" i="11"/>
  <c r="AS10" i="11"/>
  <c r="AS11" i="11"/>
  <c r="AS12" i="11"/>
  <c r="AS7" i="11"/>
  <c r="AM140" i="11"/>
  <c r="AM141" i="11"/>
  <c r="AM142" i="11"/>
  <c r="AM143" i="11"/>
  <c r="AM144" i="11"/>
  <c r="AM139" i="11"/>
  <c r="AJ140" i="11"/>
  <c r="AJ141" i="11"/>
  <c r="AJ142" i="11"/>
  <c r="AJ143" i="11"/>
  <c r="AJ144" i="11"/>
  <c r="AJ139" i="11"/>
  <c r="AL139" i="11"/>
  <c r="AO139" i="11"/>
  <c r="AP139" i="11"/>
  <c r="AR139" i="11" s="1"/>
  <c r="AL140" i="11"/>
  <c r="AO140" i="11"/>
  <c r="AP140" i="11"/>
  <c r="AR140" i="11" s="1"/>
  <c r="AL141" i="11"/>
  <c r="AO141" i="11"/>
  <c r="AP141" i="11"/>
  <c r="AR141" i="11" s="1"/>
  <c r="AL142" i="11"/>
  <c r="AO142" i="11"/>
  <c r="AP142" i="11"/>
  <c r="AR142" i="11" s="1"/>
  <c r="AL143" i="11"/>
  <c r="AO143" i="11"/>
  <c r="AP143" i="11"/>
  <c r="AR143" i="11" s="1"/>
  <c r="AL144" i="11"/>
  <c r="AO144" i="11"/>
  <c r="AP144" i="11"/>
  <c r="AR144" i="11" s="1"/>
  <c r="AI140" i="11"/>
  <c r="AI141" i="11"/>
  <c r="AK141" i="11" s="1"/>
  <c r="AI142" i="11"/>
  <c r="AK142" i="11" s="1"/>
  <c r="AI143" i="11"/>
  <c r="AK143" i="11" s="1"/>
  <c r="AI144" i="11"/>
  <c r="AK144" i="11" s="1"/>
  <c r="AI139" i="11"/>
  <c r="AK139" i="11" s="1"/>
  <c r="AM128" i="11"/>
  <c r="AM129" i="11"/>
  <c r="AM130" i="11"/>
  <c r="AM131" i="11"/>
  <c r="AM132" i="11"/>
  <c r="AM127" i="11"/>
  <c r="AJ128" i="11"/>
  <c r="AJ129" i="11"/>
  <c r="AJ130" i="11"/>
  <c r="AJ131" i="11"/>
  <c r="AJ132" i="11"/>
  <c r="AJ127" i="11"/>
  <c r="AL127" i="11"/>
  <c r="AO127" i="11"/>
  <c r="AP127" i="11"/>
  <c r="AR127" i="11" s="1"/>
  <c r="AL128" i="11"/>
  <c r="AO128" i="11"/>
  <c r="AP128" i="11"/>
  <c r="AR128" i="11" s="1"/>
  <c r="AL129" i="11"/>
  <c r="AO129" i="11"/>
  <c r="AP129" i="11"/>
  <c r="AR129" i="11" s="1"/>
  <c r="AL130" i="11"/>
  <c r="AO130" i="11"/>
  <c r="AP130" i="11"/>
  <c r="AR130" i="11" s="1"/>
  <c r="AL131" i="11"/>
  <c r="AO131" i="11"/>
  <c r="AP131" i="11"/>
  <c r="AR131" i="11" s="1"/>
  <c r="AL132" i="11"/>
  <c r="AO132" i="11"/>
  <c r="AP132" i="11"/>
  <c r="AR132" i="11" s="1"/>
  <c r="AI128" i="11"/>
  <c r="AI129" i="11"/>
  <c r="AK129" i="11" s="1"/>
  <c r="AI130" i="11"/>
  <c r="AI131" i="11"/>
  <c r="AK131" i="11" s="1"/>
  <c r="AI132" i="11"/>
  <c r="AI127" i="11"/>
  <c r="AK127" i="11" s="1"/>
  <c r="AM116" i="11"/>
  <c r="AM117" i="11"/>
  <c r="AM118" i="11"/>
  <c r="AM119" i="11"/>
  <c r="AM120" i="11"/>
  <c r="AM115" i="11"/>
  <c r="AJ116" i="11"/>
  <c r="AJ117" i="11"/>
  <c r="AJ118" i="11"/>
  <c r="AJ119" i="11"/>
  <c r="AJ120" i="11"/>
  <c r="AJ115" i="11"/>
  <c r="AL115" i="11"/>
  <c r="AO115" i="11"/>
  <c r="AP115" i="11"/>
  <c r="AR115" i="11" s="1"/>
  <c r="AL116" i="11"/>
  <c r="AO116" i="11"/>
  <c r="AP116" i="11"/>
  <c r="AR116" i="11" s="1"/>
  <c r="AL117" i="11"/>
  <c r="AO117" i="11"/>
  <c r="AP117" i="11"/>
  <c r="AR117" i="11" s="1"/>
  <c r="AL118" i="11"/>
  <c r="AO118" i="11"/>
  <c r="AP118" i="11"/>
  <c r="AR118" i="11" s="1"/>
  <c r="AL119" i="11"/>
  <c r="AO119" i="11"/>
  <c r="AP119" i="11"/>
  <c r="AR119" i="11" s="1"/>
  <c r="AL120" i="11"/>
  <c r="AO120" i="11"/>
  <c r="AP120" i="11"/>
  <c r="AR120" i="11" s="1"/>
  <c r="AI116" i="11"/>
  <c r="AI117" i="11"/>
  <c r="AK117" i="11" s="1"/>
  <c r="AI118" i="11"/>
  <c r="AI119" i="11"/>
  <c r="AK119" i="11" s="1"/>
  <c r="AI120" i="11"/>
  <c r="AI115" i="11"/>
  <c r="AK115" i="11" s="1"/>
  <c r="AM104" i="11"/>
  <c r="AM105" i="11"/>
  <c r="AM106" i="11"/>
  <c r="AM107" i="11"/>
  <c r="AM108" i="11"/>
  <c r="AJ104" i="11"/>
  <c r="AJ105" i="11"/>
  <c r="AJ106" i="11"/>
  <c r="AJ107" i="11"/>
  <c r="AJ108" i="11"/>
  <c r="AM103" i="11"/>
  <c r="AJ103" i="11"/>
  <c r="AL103" i="11"/>
  <c r="AO103" i="11"/>
  <c r="AP103" i="11"/>
  <c r="AR103" i="11" s="1"/>
  <c r="AL104" i="11"/>
  <c r="AO104" i="11"/>
  <c r="AP104" i="11"/>
  <c r="AR104" i="11" s="1"/>
  <c r="AL105" i="11"/>
  <c r="AO105" i="11"/>
  <c r="AP105" i="11"/>
  <c r="AR105" i="11" s="1"/>
  <c r="AL106" i="11"/>
  <c r="AO106" i="11"/>
  <c r="AP106" i="11"/>
  <c r="AR106" i="11" s="1"/>
  <c r="AL107" i="11"/>
  <c r="AO107" i="11"/>
  <c r="AP107" i="11"/>
  <c r="AR107" i="11" s="1"/>
  <c r="AL108" i="11"/>
  <c r="AO108" i="11"/>
  <c r="AP108" i="11"/>
  <c r="AR108" i="11" s="1"/>
  <c r="AI104" i="11"/>
  <c r="AI105" i="11"/>
  <c r="AI106" i="11"/>
  <c r="AI107" i="11"/>
  <c r="AI108" i="11"/>
  <c r="AI103" i="11"/>
  <c r="AK103" i="11" s="1"/>
  <c r="AM92" i="11"/>
  <c r="AM93" i="11"/>
  <c r="AM94" i="11"/>
  <c r="AM95" i="11"/>
  <c r="AM96" i="11"/>
  <c r="AJ92" i="11"/>
  <c r="AJ93" i="11"/>
  <c r="AJ94" i="11"/>
  <c r="AJ95" i="11"/>
  <c r="AJ96" i="11"/>
  <c r="AM91" i="11"/>
  <c r="AJ91" i="11"/>
  <c r="AL91" i="11"/>
  <c r="AO91" i="11"/>
  <c r="AP91" i="11"/>
  <c r="AR91" i="11" s="1"/>
  <c r="AL92" i="11"/>
  <c r="AO92" i="11"/>
  <c r="AP92" i="11"/>
  <c r="AR92" i="11" s="1"/>
  <c r="AL93" i="11"/>
  <c r="AO93" i="11"/>
  <c r="AP93" i="11"/>
  <c r="AR93" i="11" s="1"/>
  <c r="AL94" i="11"/>
  <c r="AO94" i="11"/>
  <c r="AP94" i="11"/>
  <c r="AR94" i="11" s="1"/>
  <c r="AL95" i="11"/>
  <c r="AO95" i="11"/>
  <c r="AP95" i="11"/>
  <c r="AR95" i="11" s="1"/>
  <c r="AL96" i="11"/>
  <c r="AO96" i="11"/>
  <c r="AP96" i="11"/>
  <c r="AR96" i="11" s="1"/>
  <c r="AI92" i="11"/>
  <c r="AI93" i="11"/>
  <c r="AI94" i="11"/>
  <c r="AI95" i="11"/>
  <c r="AI96" i="11"/>
  <c r="AI91" i="11"/>
  <c r="AK91" i="11" s="1"/>
  <c r="AM80" i="11"/>
  <c r="AM81" i="11"/>
  <c r="AM82" i="11"/>
  <c r="AM83" i="11"/>
  <c r="AM84" i="11"/>
  <c r="AM79" i="11"/>
  <c r="AJ84" i="11"/>
  <c r="AJ80" i="11"/>
  <c r="AJ81" i="11"/>
  <c r="AJ82" i="11"/>
  <c r="AJ83" i="11"/>
  <c r="AJ79" i="11"/>
  <c r="AL79" i="11"/>
  <c r="AO79" i="11"/>
  <c r="AP79" i="11"/>
  <c r="AR79" i="11" s="1"/>
  <c r="AL80" i="11"/>
  <c r="AO80" i="11"/>
  <c r="AP80" i="11"/>
  <c r="AR80" i="11" s="1"/>
  <c r="AL81" i="11"/>
  <c r="AO81" i="11"/>
  <c r="AP81" i="11"/>
  <c r="AR81" i="11" s="1"/>
  <c r="AL82" i="11"/>
  <c r="AO82" i="11"/>
  <c r="AP82" i="11"/>
  <c r="AR82" i="11" s="1"/>
  <c r="AL83" i="11"/>
  <c r="AO83" i="11"/>
  <c r="AP83" i="11"/>
  <c r="AR83" i="11" s="1"/>
  <c r="AL84" i="11"/>
  <c r="AO84" i="11"/>
  <c r="AP84" i="11"/>
  <c r="AR84" i="11" s="1"/>
  <c r="AI80" i="11"/>
  <c r="AI81" i="11"/>
  <c r="AI82" i="11"/>
  <c r="AI83" i="11"/>
  <c r="AI84" i="11"/>
  <c r="AI79" i="11"/>
  <c r="AM68" i="11"/>
  <c r="AM69" i="11"/>
  <c r="AM70" i="11"/>
  <c r="AM71" i="11"/>
  <c r="AM72" i="11"/>
  <c r="AM67" i="11"/>
  <c r="AJ68" i="11"/>
  <c r="AJ69" i="11"/>
  <c r="AJ70" i="11"/>
  <c r="AJ71" i="11"/>
  <c r="AJ72" i="11"/>
  <c r="AJ67" i="11"/>
  <c r="AL67" i="11"/>
  <c r="AO67" i="11"/>
  <c r="AP67" i="11"/>
  <c r="AR67" i="11" s="1"/>
  <c r="AL68" i="11"/>
  <c r="AO68" i="11"/>
  <c r="AP68" i="11"/>
  <c r="AR68" i="11" s="1"/>
  <c r="AL69" i="11"/>
  <c r="AO69" i="11"/>
  <c r="AP69" i="11"/>
  <c r="AR69" i="11" s="1"/>
  <c r="AL70" i="11"/>
  <c r="AO70" i="11"/>
  <c r="AP70" i="11"/>
  <c r="AR70" i="11" s="1"/>
  <c r="AL71" i="11"/>
  <c r="AO71" i="11"/>
  <c r="AP71" i="11"/>
  <c r="AR71" i="11" s="1"/>
  <c r="AL72" i="11"/>
  <c r="AO72" i="11"/>
  <c r="AP72" i="11"/>
  <c r="AR72" i="11" s="1"/>
  <c r="AI68" i="11"/>
  <c r="AK68" i="11" s="1"/>
  <c r="AI69" i="11"/>
  <c r="AK69" i="11" s="1"/>
  <c r="AI70" i="11"/>
  <c r="AI71" i="11"/>
  <c r="AK71" i="11" s="1"/>
  <c r="AI72" i="11"/>
  <c r="AK72" i="11" s="1"/>
  <c r="AI67" i="11"/>
  <c r="AM56" i="11"/>
  <c r="AM57" i="11"/>
  <c r="AM58" i="11"/>
  <c r="AM59" i="11"/>
  <c r="AM60" i="11"/>
  <c r="AM55" i="11"/>
  <c r="AJ60" i="11"/>
  <c r="AJ56" i="11"/>
  <c r="AJ57" i="11"/>
  <c r="AJ58" i="11"/>
  <c r="AJ59" i="11"/>
  <c r="AJ55" i="11"/>
  <c r="AL55" i="11"/>
  <c r="AO55" i="11"/>
  <c r="AP55" i="11"/>
  <c r="AR55" i="11" s="1"/>
  <c r="AL56" i="11"/>
  <c r="AO56" i="11"/>
  <c r="AP56" i="11"/>
  <c r="AR56" i="11" s="1"/>
  <c r="AL57" i="11"/>
  <c r="AO57" i="11"/>
  <c r="AP57" i="11"/>
  <c r="AR57" i="11" s="1"/>
  <c r="AL58" i="11"/>
  <c r="AO58" i="11"/>
  <c r="AP58" i="11"/>
  <c r="AR58" i="11" s="1"/>
  <c r="AL59" i="11"/>
  <c r="AO59" i="11"/>
  <c r="AP59" i="11"/>
  <c r="AR59" i="11" s="1"/>
  <c r="AL60" i="11"/>
  <c r="AO60" i="11"/>
  <c r="AP60" i="11"/>
  <c r="AR60" i="11" s="1"/>
  <c r="AI56" i="11"/>
  <c r="AI57" i="11"/>
  <c r="AI58" i="11"/>
  <c r="AI59" i="11"/>
  <c r="AI60" i="11"/>
  <c r="AI55" i="11"/>
  <c r="AM44" i="11"/>
  <c r="AM45" i="11"/>
  <c r="AM46" i="11"/>
  <c r="AM47" i="11"/>
  <c r="AM48" i="11"/>
  <c r="AJ44" i="11"/>
  <c r="AJ45" i="11"/>
  <c r="AJ46" i="11"/>
  <c r="AJ47" i="11"/>
  <c r="AJ48" i="11"/>
  <c r="AM43" i="11"/>
  <c r="AJ43" i="11"/>
  <c r="AL43" i="11"/>
  <c r="AO43" i="11"/>
  <c r="AP43" i="11"/>
  <c r="AR43" i="11" s="1"/>
  <c r="AL44" i="11"/>
  <c r="AO44" i="11"/>
  <c r="AP44" i="11"/>
  <c r="AR44" i="11" s="1"/>
  <c r="AL45" i="11"/>
  <c r="AO45" i="11"/>
  <c r="AP45" i="11"/>
  <c r="AR45" i="11" s="1"/>
  <c r="AL46" i="11"/>
  <c r="AO46" i="11"/>
  <c r="AP46" i="11"/>
  <c r="AR46" i="11" s="1"/>
  <c r="AL47" i="11"/>
  <c r="AO47" i="11"/>
  <c r="AP47" i="11"/>
  <c r="AR47" i="11" s="1"/>
  <c r="AL48" i="11"/>
  <c r="AO48" i="11"/>
  <c r="AP48" i="11"/>
  <c r="AR48" i="11" s="1"/>
  <c r="AI44" i="11"/>
  <c r="AI45" i="11"/>
  <c r="AI46" i="11"/>
  <c r="AI47" i="11"/>
  <c r="AI48" i="11"/>
  <c r="AI43" i="11"/>
  <c r="AK43" i="11" s="1"/>
  <c r="AJ32" i="11"/>
  <c r="AJ33" i="11"/>
  <c r="AJ34" i="11"/>
  <c r="AJ35" i="11"/>
  <c r="AJ36" i="11"/>
  <c r="AJ31" i="11"/>
  <c r="AP31" i="11"/>
  <c r="AR31" i="11" s="1"/>
  <c r="AP32" i="11"/>
  <c r="AR32" i="11" s="1"/>
  <c r="AP33" i="11"/>
  <c r="AR33" i="11" s="1"/>
  <c r="AP34" i="11"/>
  <c r="AR34" i="11" s="1"/>
  <c r="AP35" i="11"/>
  <c r="AR35" i="11" s="1"/>
  <c r="AP36" i="11"/>
  <c r="AR36" i="11" s="1"/>
  <c r="AI32" i="11"/>
  <c r="AI33" i="11"/>
  <c r="AI34" i="11"/>
  <c r="AI35" i="11"/>
  <c r="AI36" i="11"/>
  <c r="AI31" i="11"/>
  <c r="AJ12" i="11"/>
  <c r="AP8" i="11"/>
  <c r="AP9" i="11"/>
  <c r="AP10" i="11"/>
  <c r="AP11" i="11"/>
  <c r="AP12" i="11"/>
  <c r="AO8" i="11"/>
  <c r="AO9" i="11"/>
  <c r="AO10" i="11"/>
  <c r="AO11" i="11"/>
  <c r="AO12" i="11"/>
  <c r="AM8" i="11"/>
  <c r="AM9" i="11"/>
  <c r="AM10" i="11"/>
  <c r="AM11" i="11"/>
  <c r="AM12" i="11"/>
  <c r="AL8" i="11"/>
  <c r="AL9" i="11"/>
  <c r="AL10" i="11"/>
  <c r="AL11" i="11"/>
  <c r="AL12" i="11"/>
  <c r="AJ8" i="11"/>
  <c r="AJ9" i="11"/>
  <c r="AJ10" i="11"/>
  <c r="AJ11" i="11"/>
  <c r="AI8" i="11"/>
  <c r="AI9" i="11"/>
  <c r="AI10" i="11"/>
  <c r="AI11" i="11"/>
  <c r="AI12" i="11"/>
  <c r="AP7" i="11"/>
  <c r="AO7" i="11"/>
  <c r="AL7" i="11"/>
  <c r="AM7" i="11"/>
  <c r="AJ7" i="11"/>
  <c r="AK7" i="11" s="1"/>
  <c r="AK79" i="11" l="1"/>
  <c r="AK84" i="11"/>
  <c r="AK36" i="11"/>
  <c r="AV36" i="11" s="1"/>
  <c r="F21" i="21"/>
  <c r="AK35" i="11"/>
  <c r="AU11" i="11"/>
  <c r="AU9" i="11"/>
  <c r="AK60" i="11"/>
  <c r="AK55" i="11"/>
  <c r="AK32" i="11"/>
  <c r="J19" i="23" s="1"/>
  <c r="E19" i="23"/>
  <c r="D17" i="23"/>
  <c r="F19" i="23"/>
  <c r="E20" i="23"/>
  <c r="E21" i="23"/>
  <c r="D20" i="23"/>
  <c r="D21" i="23"/>
  <c r="F20" i="23"/>
  <c r="E19" i="22"/>
  <c r="D20" i="22"/>
  <c r="D21" i="22"/>
  <c r="F21" i="22"/>
  <c r="F19" i="22"/>
  <c r="D17" i="22"/>
  <c r="E20" i="22"/>
  <c r="E21" i="22"/>
  <c r="AK130" i="11"/>
  <c r="F20" i="22"/>
  <c r="AU10" i="11"/>
  <c r="D20" i="21"/>
  <c r="D21" i="21"/>
  <c r="D17" i="21"/>
  <c r="E20" i="21"/>
  <c r="E21" i="21"/>
  <c r="E19" i="21"/>
  <c r="F19" i="21"/>
  <c r="F20" i="21"/>
  <c r="AK132" i="11"/>
  <c r="AU12" i="11"/>
  <c r="F17" i="23" s="1"/>
  <c r="E19" i="20"/>
  <c r="F19" i="20"/>
  <c r="E21" i="20"/>
  <c r="F21" i="20"/>
  <c r="E20" i="20"/>
  <c r="D17" i="20"/>
  <c r="D20" i="20"/>
  <c r="D21" i="20"/>
  <c r="F20" i="20"/>
  <c r="AU7" i="11"/>
  <c r="AK120" i="11"/>
  <c r="D17" i="19"/>
  <c r="AK118" i="11"/>
  <c r="D20" i="18"/>
  <c r="D20" i="19"/>
  <c r="F20" i="18"/>
  <c r="F20" i="19"/>
  <c r="E19" i="18"/>
  <c r="E19" i="19"/>
  <c r="F19" i="18"/>
  <c r="F19" i="19"/>
  <c r="F21" i="18"/>
  <c r="F21" i="19"/>
  <c r="D21" i="18"/>
  <c r="D21" i="19"/>
  <c r="E20" i="18"/>
  <c r="E20" i="19"/>
  <c r="E21" i="18"/>
  <c r="E21" i="19"/>
  <c r="AK9" i="11"/>
  <c r="AK70" i="11"/>
  <c r="D17" i="18"/>
  <c r="AK33" i="11"/>
  <c r="B19" i="23" s="1"/>
  <c r="AK31" i="11"/>
  <c r="AK104" i="11"/>
  <c r="AN141" i="11"/>
  <c r="AV141" i="11" s="1"/>
  <c r="AK34" i="11"/>
  <c r="AK67" i="11"/>
  <c r="AK116" i="11"/>
  <c r="AK128" i="11"/>
  <c r="AN132" i="11"/>
  <c r="AN128" i="11"/>
  <c r="AN144" i="11"/>
  <c r="AV144" i="11" s="1"/>
  <c r="AN140" i="11"/>
  <c r="AK108" i="11"/>
  <c r="AK48" i="11"/>
  <c r="AK44" i="11"/>
  <c r="AN45" i="11"/>
  <c r="AN57" i="11"/>
  <c r="AN69" i="11"/>
  <c r="AV69" i="11" s="1"/>
  <c r="AN81" i="11"/>
  <c r="AK96" i="11"/>
  <c r="AK92" i="11"/>
  <c r="AN93" i="11"/>
  <c r="AN105" i="11"/>
  <c r="AN117" i="11"/>
  <c r="AV117" i="11" s="1"/>
  <c r="AN129" i="11"/>
  <c r="AV129" i="11" s="1"/>
  <c r="AU8" i="11"/>
  <c r="AK47" i="11"/>
  <c r="AK95" i="11"/>
  <c r="AK107" i="11"/>
  <c r="AN56" i="11"/>
  <c r="AN72" i="11"/>
  <c r="AV72" i="11" s="1"/>
  <c r="AN68" i="11"/>
  <c r="AV68" i="11" s="1"/>
  <c r="AK81" i="11"/>
  <c r="AN84" i="11"/>
  <c r="AV84" i="11" s="1"/>
  <c r="AN80" i="11"/>
  <c r="AN96" i="11"/>
  <c r="AN92" i="11"/>
  <c r="AN108" i="11"/>
  <c r="AN104" i="11"/>
  <c r="AN120" i="11"/>
  <c r="AN116" i="11"/>
  <c r="AK140" i="11"/>
  <c r="AN48" i="11"/>
  <c r="AN44" i="11"/>
  <c r="AK57" i="11"/>
  <c r="AN60" i="11"/>
  <c r="AN11" i="11"/>
  <c r="AR10" i="11"/>
  <c r="AN46" i="11"/>
  <c r="AK59" i="11"/>
  <c r="AN58" i="11"/>
  <c r="AN70" i="11"/>
  <c r="AK83" i="11"/>
  <c r="AN82" i="11"/>
  <c r="AN94" i="11"/>
  <c r="AN106" i="11"/>
  <c r="AN118" i="11"/>
  <c r="AN130" i="11"/>
  <c r="AN142" i="11"/>
  <c r="AV142" i="11" s="1"/>
  <c r="AK11" i="11"/>
  <c r="AK58" i="11"/>
  <c r="AN55" i="11"/>
  <c r="AN67" i="11"/>
  <c r="AK82" i="11"/>
  <c r="AN79" i="11"/>
  <c r="AV79" i="11" s="1"/>
  <c r="AN115" i="11"/>
  <c r="AV115" i="11" s="1"/>
  <c r="AN127" i="11"/>
  <c r="AV127" i="11" s="1"/>
  <c r="AN139" i="11"/>
  <c r="AV139" i="11" s="1"/>
  <c r="AK12" i="11"/>
  <c r="AN9" i="11"/>
  <c r="AV35" i="11"/>
  <c r="AK45" i="11"/>
  <c r="AK93" i="11"/>
  <c r="AK105" i="11"/>
  <c r="AK8" i="11"/>
  <c r="AR11" i="11"/>
  <c r="AK56" i="11"/>
  <c r="AK80" i="11"/>
  <c r="AN10" i="11"/>
  <c r="AK46" i="11"/>
  <c r="AN47" i="11"/>
  <c r="AN43" i="11"/>
  <c r="AN59" i="11"/>
  <c r="AN71" i="11"/>
  <c r="AV71" i="11" s="1"/>
  <c r="AN83" i="11"/>
  <c r="AK94" i="11"/>
  <c r="AN95" i="11"/>
  <c r="AN91" i="11"/>
  <c r="AV91" i="11" s="1"/>
  <c r="AK106" i="11"/>
  <c r="AN107" i="11"/>
  <c r="AN103" i="11"/>
  <c r="AV103" i="11" s="1"/>
  <c r="AN119" i="11"/>
  <c r="AV119" i="11" s="1"/>
  <c r="AN131" i="11"/>
  <c r="AV131" i="11" s="1"/>
  <c r="AN143" i="11"/>
  <c r="AV143" i="11" s="1"/>
  <c r="AK10" i="11"/>
  <c r="AR9" i="11"/>
  <c r="AR12" i="11"/>
  <c r="AR8" i="11"/>
  <c r="AN12" i="11"/>
  <c r="AN8" i="11"/>
  <c r="AR7" i="11"/>
  <c r="AN7" i="11"/>
  <c r="AV60" i="11" l="1"/>
  <c r="C21" i="23"/>
  <c r="B21" i="23"/>
  <c r="F17" i="21"/>
  <c r="F17" i="22"/>
  <c r="F22" i="22" s="1"/>
  <c r="J19" i="21"/>
  <c r="E17" i="20"/>
  <c r="E22" i="20" s="1"/>
  <c r="B19" i="18"/>
  <c r="G19" i="18" s="1"/>
  <c r="F22" i="23"/>
  <c r="J19" i="22"/>
  <c r="AV32" i="11"/>
  <c r="D22" i="23"/>
  <c r="D22" i="22"/>
  <c r="G19" i="23"/>
  <c r="C20" i="23"/>
  <c r="B20" i="23"/>
  <c r="AV132" i="11"/>
  <c r="E17" i="23"/>
  <c r="E22" i="23" s="1"/>
  <c r="B17" i="23"/>
  <c r="C17" i="23"/>
  <c r="G21" i="23"/>
  <c r="J21" i="22"/>
  <c r="J21" i="23"/>
  <c r="J20" i="22"/>
  <c r="J20" i="23"/>
  <c r="F17" i="20"/>
  <c r="F22" i="20" s="1"/>
  <c r="C17" i="22"/>
  <c r="AV130" i="11"/>
  <c r="B17" i="22"/>
  <c r="B20" i="22"/>
  <c r="B21" i="22"/>
  <c r="C21" i="22"/>
  <c r="D22" i="21"/>
  <c r="C20" i="22"/>
  <c r="E17" i="22"/>
  <c r="E22" i="22" s="1"/>
  <c r="AV33" i="11"/>
  <c r="B19" i="22"/>
  <c r="G19" i="22" s="1"/>
  <c r="C20" i="21"/>
  <c r="F22" i="21"/>
  <c r="E17" i="21"/>
  <c r="E22" i="21" s="1"/>
  <c r="C17" i="21"/>
  <c r="C21" i="21"/>
  <c r="B17" i="20"/>
  <c r="B17" i="21"/>
  <c r="B21" i="20"/>
  <c r="B21" i="21"/>
  <c r="AV34" i="11"/>
  <c r="B19" i="21"/>
  <c r="G19" i="21" s="1"/>
  <c r="B20" i="20"/>
  <c r="B20" i="21"/>
  <c r="F17" i="19"/>
  <c r="F22" i="19" s="1"/>
  <c r="C17" i="20"/>
  <c r="D22" i="20"/>
  <c r="AV43" i="11"/>
  <c r="C20" i="20"/>
  <c r="D22" i="19"/>
  <c r="AV55" i="11"/>
  <c r="C21" i="20"/>
  <c r="AV31" i="11"/>
  <c r="B19" i="20"/>
  <c r="AV120" i="11"/>
  <c r="AV118" i="11"/>
  <c r="D22" i="18"/>
  <c r="B19" i="19"/>
  <c r="G19" i="19" s="1"/>
  <c r="E17" i="19"/>
  <c r="E22" i="19" s="1"/>
  <c r="B17" i="18"/>
  <c r="B17" i="19"/>
  <c r="B20" i="19"/>
  <c r="C17" i="18"/>
  <c r="C17" i="19"/>
  <c r="C20" i="18"/>
  <c r="C20" i="19"/>
  <c r="C21" i="18"/>
  <c r="C21" i="19"/>
  <c r="B21" i="18"/>
  <c r="B21" i="19"/>
  <c r="F17" i="18"/>
  <c r="F22" i="18" s="1"/>
  <c r="AV70" i="11"/>
  <c r="E17" i="18"/>
  <c r="E22" i="18" s="1"/>
  <c r="B20" i="18"/>
  <c r="AV116" i="11"/>
  <c r="AV140" i="11"/>
  <c r="AV104" i="11"/>
  <c r="AV67" i="11"/>
  <c r="AV128" i="11"/>
  <c r="AV57" i="11"/>
  <c r="AV92" i="11"/>
  <c r="AV108" i="11"/>
  <c r="AV59" i="11"/>
  <c r="AV93" i="11"/>
  <c r="AV48" i="11"/>
  <c r="AV81" i="11"/>
  <c r="AV105" i="11"/>
  <c r="AV47" i="11"/>
  <c r="AV45" i="11"/>
  <c r="AV80" i="11"/>
  <c r="AV96" i="11"/>
  <c r="AV95" i="11"/>
  <c r="AV44" i="11"/>
  <c r="AV11" i="11"/>
  <c r="AV107" i="11"/>
  <c r="AV94" i="11"/>
  <c r="AV106" i="11"/>
  <c r="AV58" i="11"/>
  <c r="AV12" i="11"/>
  <c r="AV46" i="11"/>
  <c r="AV83" i="11"/>
  <c r="AV9" i="11"/>
  <c r="AV82" i="11"/>
  <c r="AV10" i="11"/>
  <c r="AV56" i="11"/>
  <c r="AV8" i="11"/>
  <c r="AV7" i="11"/>
  <c r="G21" i="21" l="1"/>
  <c r="J22" i="20"/>
  <c r="C4" i="20" s="1"/>
  <c r="C6" i="20" s="1"/>
  <c r="C22" i="23"/>
  <c r="D4" i="23" s="1"/>
  <c r="B22" i="23"/>
  <c r="D2" i="23" s="1"/>
  <c r="E2" i="23" s="1"/>
  <c r="G20" i="23"/>
  <c r="J22" i="22"/>
  <c r="G17" i="23"/>
  <c r="J22" i="23"/>
  <c r="B4" i="23" s="1"/>
  <c r="C4" i="23" s="1"/>
  <c r="C6" i="23" s="1"/>
  <c r="C22" i="22"/>
  <c r="D4" i="22" s="1"/>
  <c r="E4" i="22" s="1"/>
  <c r="G20" i="22"/>
  <c r="G20" i="21"/>
  <c r="G17" i="22"/>
  <c r="G21" i="22"/>
  <c r="B22" i="22"/>
  <c r="D2" i="22" s="1"/>
  <c r="G21" i="20"/>
  <c r="C22" i="21"/>
  <c r="D4" i="21" s="1"/>
  <c r="E4" i="21" s="1"/>
  <c r="G20" i="20"/>
  <c r="G17" i="20"/>
  <c r="J22" i="21"/>
  <c r="G17" i="21"/>
  <c r="B22" i="21"/>
  <c r="D2" i="21" s="1"/>
  <c r="G20" i="18"/>
  <c r="C22" i="20"/>
  <c r="D4" i="20" s="1"/>
  <c r="E4" i="20" s="1"/>
  <c r="G19" i="20"/>
  <c r="B22" i="20"/>
  <c r="D2" i="20" s="1"/>
  <c r="G21" i="18"/>
  <c r="C22" i="18"/>
  <c r="D4" i="18" s="1"/>
  <c r="G21" i="19"/>
  <c r="J22" i="19"/>
  <c r="B4" i="19" s="1"/>
  <c r="C4" i="19" s="1"/>
  <c r="C6" i="19" s="1"/>
  <c r="G20" i="19"/>
  <c r="C22" i="19"/>
  <c r="D4" i="19" s="1"/>
  <c r="G17" i="19"/>
  <c r="B22" i="19"/>
  <c r="D2" i="19" s="1"/>
  <c r="J22" i="18"/>
  <c r="B4" i="18" s="1"/>
  <c r="C4" i="18" s="1"/>
  <c r="B22" i="18"/>
  <c r="D2" i="18" s="1"/>
  <c r="G17" i="18"/>
  <c r="D6" i="23" l="1"/>
  <c r="E4" i="23"/>
  <c r="E6" i="23" s="1"/>
  <c r="G22" i="23"/>
  <c r="G22" i="21"/>
  <c r="G22" i="22"/>
  <c r="D6" i="22"/>
  <c r="E2" i="22"/>
  <c r="E6" i="22" s="1"/>
  <c r="G22" i="20"/>
  <c r="D6" i="21"/>
  <c r="E2" i="21"/>
  <c r="E6" i="21" s="1"/>
  <c r="E4" i="18"/>
  <c r="G22" i="18"/>
  <c r="D6" i="20"/>
  <c r="E2" i="20"/>
  <c r="E6" i="20" s="1"/>
  <c r="E4" i="19"/>
  <c r="D6" i="19"/>
  <c r="E2" i="19"/>
  <c r="G22" i="19"/>
  <c r="C6" i="18"/>
  <c r="D6" i="18"/>
  <c r="E2" i="18"/>
  <c r="E6" i="18" l="1"/>
  <c r="E6" i="19"/>
</calcChain>
</file>

<file path=xl/sharedStrings.xml><?xml version="1.0" encoding="utf-8"?>
<sst xmlns="http://schemas.openxmlformats.org/spreadsheetml/2006/main" count="2608" uniqueCount="136">
  <si>
    <t>Nbre de
jours</t>
  </si>
  <si>
    <t>Total</t>
  </si>
  <si>
    <t>Nom- Prénom</t>
  </si>
  <si>
    <t>RTT</t>
  </si>
  <si>
    <t>NB de jours de congés Payés</t>
  </si>
  <si>
    <t>Solde</t>
  </si>
  <si>
    <t>RTT*</t>
  </si>
  <si>
    <t xml:space="preserve">Report RTT année précédente </t>
  </si>
  <si>
    <t>RTT Acquis</t>
  </si>
  <si>
    <t>Janvier</t>
  </si>
  <si>
    <t>Février</t>
  </si>
  <si>
    <t>Mars</t>
  </si>
  <si>
    <t>Avril</t>
  </si>
  <si>
    <t>Mai</t>
  </si>
  <si>
    <t>Juin</t>
  </si>
  <si>
    <t>Juillet</t>
  </si>
  <si>
    <t>Août</t>
  </si>
  <si>
    <t>Septembre</t>
  </si>
  <si>
    <t>Octobre</t>
  </si>
  <si>
    <t>Novembre</t>
  </si>
  <si>
    <t>Décembre</t>
  </si>
  <si>
    <t>Report année -2</t>
  </si>
  <si>
    <t>Pris</t>
  </si>
  <si>
    <t>Soufiane Karfaoui</t>
  </si>
  <si>
    <t>Nom de l’employé</t>
  </si>
  <si>
    <t>M</t>
  </si>
  <si>
    <t>Calendrier des absences des employés</t>
  </si>
  <si>
    <t>C</t>
  </si>
  <si>
    <t>Maladie</t>
  </si>
  <si>
    <t>Dates d’absence</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</si>
  <si>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</si>
  <si>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</si>
  <si>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</si>
  <si>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</si>
  <si>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</si>
  <si>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</si>
  <si>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</si>
  <si>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</si>
  <si>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</si>
  <si>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</si>
  <si>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</si>
  <si>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</si>
  <si>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</si>
  <si>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</si>
  <si>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</si>
  <si>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</si>
  <si>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</si>
  <si>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</si>
  <si>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</si>
  <si>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</si>
  <si>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</si>
  <si>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</si>
  <si>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</si>
  <si>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</si>
  <si>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</si>
  <si>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</si>
  <si>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</si>
  <si>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</si>
  <si>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</si>
  <si>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</si>
  <si>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</si>
  <si>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Luca Frenda</t>
  </si>
  <si>
    <t>Silvia Cecutti</t>
  </si>
  <si>
    <t>Philippe Fernandes</t>
  </si>
  <si>
    <t>Malgorzata Solarz</t>
  </si>
  <si>
    <t>Jolanda Mechielsen</t>
  </si>
  <si>
    <t>Sans Solde</t>
  </si>
  <si>
    <t>SS</t>
  </si>
  <si>
    <t>A</t>
  </si>
  <si>
    <t>Autre</t>
  </si>
  <si>
    <t>R</t>
  </si>
  <si>
    <t>c</t>
  </si>
  <si>
    <t>m</t>
  </si>
  <si>
    <t>Aout</t>
  </si>
  <si>
    <t>r</t>
  </si>
  <si>
    <t>a</t>
  </si>
  <si>
    <t>CP</t>
  </si>
  <si>
    <t>1/2 CP</t>
  </si>
  <si>
    <t>1/2 RTT</t>
  </si>
  <si>
    <t>Motif d’absence</t>
  </si>
  <si>
    <t>C0,5</t>
  </si>
  <si>
    <t>R0,5</t>
  </si>
  <si>
    <t>ss</t>
  </si>
  <si>
    <t>A0,5</t>
  </si>
  <si>
    <t>S0,5</t>
  </si>
  <si>
    <t>1/2 Sans Solde</t>
  </si>
  <si>
    <t>1/2 Autre</t>
  </si>
  <si>
    <t>TR</t>
  </si>
  <si>
    <t>r0,5</t>
  </si>
  <si>
    <t>a0,5</t>
  </si>
  <si>
    <t>s0,5</t>
  </si>
  <si>
    <t xml:space="preserve">Récap </t>
  </si>
  <si>
    <t>TR à déduire</t>
  </si>
  <si>
    <t>Mois</t>
  </si>
  <si>
    <t>N°</t>
  </si>
  <si>
    <t>Type</t>
  </si>
  <si>
    <t>Nom</t>
  </si>
  <si>
    <t>Du</t>
  </si>
  <si>
    <t>Au</t>
  </si>
  <si>
    <t>Remarque</t>
  </si>
  <si>
    <t>Etat</t>
  </si>
  <si>
    <t>SS2</t>
  </si>
  <si>
    <t>en attente</t>
  </si>
  <si>
    <t>accepté</t>
  </si>
  <si>
    <t>Date demande</t>
  </si>
  <si>
    <t>Destinataire</t>
  </si>
  <si>
    <t>Valideur</t>
  </si>
  <si>
    <t>Nb de jours</t>
  </si>
  <si>
    <t>Jours Fériés 2018</t>
  </si>
  <si>
    <t>30/01/2018</t>
  </si>
  <si>
    <t>Code calendrier</t>
  </si>
  <si>
    <t>Retour vers demandes</t>
  </si>
  <si>
    <t>Vers Calendrier 2017</t>
  </si>
  <si>
    <t>Vers Calendrier 2018</t>
  </si>
  <si>
    <t>Date Validation</t>
  </si>
  <si>
    <t>Mail</t>
  </si>
  <si>
    <t xml:space="preserve">Validé par </t>
  </si>
  <si>
    <t>Valideurs</t>
  </si>
  <si>
    <t/>
  </si>
  <si>
    <t>onglet</t>
  </si>
  <si>
    <t>toto</t>
  </si>
  <si>
    <t>tata</t>
  </si>
  <si>
    <t>titi</t>
  </si>
  <si>
    <t>tutu</t>
  </si>
  <si>
    <t>tete</t>
  </si>
  <si>
    <t>tyty</t>
  </si>
  <si>
    <t>toto@gmail.com</t>
  </si>
  <si>
    <t>tata@gmail.com</t>
  </si>
  <si>
    <t>titi@gmail.com</t>
  </si>
  <si>
    <t>tutu@gmail.com</t>
  </si>
  <si>
    <t>tete@gmail.com</t>
  </si>
  <si>
    <t>tyty@gmail.com</t>
  </si>
  <si>
    <t xml:space="preserve">Mail </t>
  </si>
  <si>
    <t>12/02/2018</t>
  </si>
  <si>
    <t>16/02/2018</t>
  </si>
  <si>
    <t>27/02/2018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</si>
</sst>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d/mm/yy;@"/>
    <numFmt numFmtId="165" formatCode="0;0;"/>
    <numFmt numFmtId="166" formatCode="_(* #,##0.00_);_(* \(#,##0.00\);_(* &quot;-&quot;??_);_(@_)"/>
    <numFmt numFmtId="167" formatCode="#,##0_ ;\-#,##0\ "/>
    <numFmt numFmtId="168" formatCode="ddd"/>
  </numFmts>
  <fonts count="28" x14ac:knownFonts="1">
    <font>
      <sz val="11"/>
      <color theme="1"/>
      <name val="Calibri"/>
      <family val="2"/>
      <scheme val="minor"/>
    </font>
    <font>
      <sz val="11"/>
      <color theme="0"/>
      <name val="Calibri"/>
      <family val="2"/>
      <scheme val="minor"/>
    </font>
    <font>
      <sz val="11"/>
      <color theme="1"/>
      <name val="Calibri"/>
      <family val="2"/>
      <scheme val="minor"/>
    </font>
    <font>
      <sz val="18"/>
      <color theme="3"/>
      <name val="Cambria"/>
      <family val="2"/>
      <scheme val="major"/>
    </font>
    <font>
      <b/>
      <sz val="13"/>
      <color theme="3"/>
      <name val="Calibri"/>
      <family val="2"/>
      <scheme val="minor"/>
    </font>
    <font>
      <b/>
      <sz val="11"/>
      <color theme="3"/>
      <name val="Calibri"/>
      <family val="2"/>
      <scheme val="minor"/>
    </font>
    <font>
      <sz val="10"/>
      <name val="Arial"/>
      <family val="2"/>
    </font>
    <font>
      <sz val="10"/>
      <name val="Century Gothic"/>
      <family val="2"/>
    </font>
    <font>
      <sz val="11"/>
      <color theme="4" tint="-0.499984740745262"/>
      <name val="Calibri"/>
      <family val="2"/>
      <scheme val="minor"/>
    </font>
    <font>
      <sz val="11"/>
      <color theme="1"/>
      <name val="Century Gothic"/>
      <family val="2"/>
    </font>
    <font>
      <sz val="11"/>
      <name val="Century Gothic"/>
      <family val="2"/>
    </font>
    <font>
      <b/>
      <sz val="26"/>
      <color theme="3"/>
      <name val="Century Gothic"/>
      <family val="2"/>
    </font>
    <font>
      <b/>
      <sz val="13"/>
      <color theme="0"/>
      <name val="Century Gothic"/>
      <family val="2"/>
    </font>
    <font>
      <sz val="11"/>
      <color theme="3"/>
      <name val="Century Gothic"/>
      <family val="2"/>
    </font>
    <font>
      <b/>
      <sz val="24"/>
      <color theme="0"/>
      <name val="Century Gothic"/>
      <family val="2"/>
    </font>
    <font>
      <sz val="10"/>
      <color theme="1"/>
      <name val="Century Gothic"/>
      <family val="2"/>
    </font>
    <font>
      <b/>
      <sz val="10"/>
      <color theme="3"/>
      <name val="Century Gothic"/>
      <family val="2"/>
    </font>
    <font>
      <b/>
      <sz val="10"/>
      <color theme="0"/>
      <name val="Century Gothic"/>
      <family val="2"/>
    </font>
    <font>
      <sz val="10"/>
      <color theme="3"/>
      <name val="Century Gothic"/>
      <family val="2"/>
    </font>
    <font>
      <sz val="10"/>
      <color theme="0"/>
      <name val="Century Gothic"/>
      <family val="2"/>
    </font>
    <font>
      <sz val="11"/>
      <color theme="0"/>
      <name val="Century Gothic"/>
      <family val="2"/>
    </font>
    <font>
      <sz val="10"/>
      <name val="Arial"/>
      <family val="2"/>
    </font>
    <font>
      <u/>
      <sz val="11"/>
      <color theme="10"/>
      <name val="Calibri"/>
      <family val="2"/>
      <scheme val="minor"/>
    </font>
    <font>
      <b/>
      <sz val="18"/>
      <color rgb="FF000080"/>
      <name val="Century Gothic"/>
      <family val="2"/>
    </font>
    <font>
      <sz val="11"/>
      <color rgb="FF333333"/>
      <name val="Arial"/>
      <family val="2"/>
    </font>
    <font>
      <b/>
      <sz val="11"/>
      <color rgb="FF333333"/>
      <name val="Arial"/>
      <family val="2"/>
    </font>
    <font>
      <u/>
      <sz val="11"/>
      <color theme="0"/>
      <name val="Century Gothic"/>
      <family val="2"/>
    </font>
    <font>
      <u/>
      <sz val="10"/>
      <color theme="0"/>
      <name val="Century Gothic"/>
      <family val="2"/>
    </font>
  </fonts>
  <fills count="25">
    <fill>
      <patternFill patternType="none"/>
    </fill>
    <fill>
      <patternFill patternType="gray125"/>
    </fill>
    <fill>
      <patternFill patternType="solid">
        <fgColor theme="4"/>
      </patternFill>
    </fill>
    <fill>
      <patternFill patternType="solid">
        <fgColor theme="4" tint="0.39997558519241921"/>
        <bgColor indexed="65"/>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bgColor indexed="64"/>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39997558519241921"/>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0" tint="-0.34998626667073579"/>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tint="-4.9989318521683403E-2"/>
        <bgColor theme="4" tint="0.79992065187536243"/>
      </patternFill>
    </fill>
    <fill>
      <patternFill patternType="solid">
        <fgColor theme="0" tint="-0.14996795556505021"/>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8"/>
      </patternFill>
    </fill>
    <fill>
      <patternFill patternType="solid">
        <fgColor rgb="FF00B0F0"/>
        <bgColor indexed="64"/>
      </patternFill>
    </fill>
  </fills>
  <borders count="27">
    <border>
      <left/>
      <right/>
      <top/>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ck">
        <color theme="4" tint="0.499984740745262"/>
      </bottom>
      <diagonal/>
    </border>
    <border>
      <left/>
      <right/>
      <top/>
      <bottom style="medium">
        <color theme="4" tint="0.39997558519241921"/>
      </bottom>
      <diagonal/>
    </border>
    <border>
      <left style="thin">
        <color theme="0"/>
      </left>
      <right style="thin">
        <color theme="0"/>
      </right>
      <top/>
      <bottom/>
      <diagonal/>
    </border>
    <border>
      <left/>
      <right/>
      <top style="thin">
        <color theme="2" tint="-9.9917600024414813E-2"/>
      </top>
      <bottom style="thin">
        <color theme="2" tint="-9.9917600024414813E-2"/>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right style="thin">
        <color theme="0"/>
      </right>
      <top style="thin">
        <color theme="0"/>
      </top>
      <bottom/>
      <diagonal/>
    </border>
    <border>
      <left style="medium">
        <color theme="3"/>
      </left>
      <right style="medium">
        <color theme="3"/>
      </right>
      <top style="medium">
        <color theme="3"/>
      </top>
      <bottom/>
      <diagonal/>
    </border>
    <border>
      <left style="medium">
        <color theme="3"/>
      </left>
      <right style="medium">
        <color theme="3"/>
      </right>
      <top style="thin">
        <color theme="0"/>
      </top>
      <bottom style="thin">
        <color theme="0"/>
      </bottom>
      <diagonal/>
    </border>
    <border>
      <left style="medium">
        <color theme="3"/>
      </left>
      <right style="medium">
        <color theme="3"/>
      </right>
      <top style="thin">
        <color theme="0"/>
      </top>
      <bottom style="medium">
        <color theme="3"/>
      </bottom>
      <diagonal/>
    </border>
    <border>
      <left/>
      <right/>
      <top style="thin">
        <color theme="0"/>
      </top>
      <bottom/>
      <diagonal/>
    </border>
    <border>
      <left style="thin">
        <color theme="0"/>
      </left>
      <right style="thin">
        <color theme="0"/>
      </right>
      <top style="thin">
        <color theme="0"/>
      </top>
      <bottom/>
      <diagonal/>
    </border>
    <border>
      <left/>
      <right/>
      <top style="thin">
        <color theme="0"/>
      </top>
      <bottom style="thin">
        <color theme="0"/>
      </bottom>
      <diagonal/>
    </border>
    <border>
      <left style="medium">
        <color theme="3"/>
      </left>
      <right/>
      <top style="medium">
        <color theme="3"/>
      </top>
      <bottom/>
      <diagonal/>
    </border>
    <border>
      <left style="medium">
        <color theme="3"/>
      </left>
      <right/>
      <top style="thin">
        <color theme="0"/>
      </top>
      <bottom style="thin">
        <color theme="0"/>
      </bottom>
      <diagonal/>
    </border>
    <border>
      <left style="medium">
        <color theme="3"/>
      </left>
      <right/>
      <top style="thin">
        <color theme="0"/>
      </top>
      <bottom style="medium">
        <color theme="3"/>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16">
    <xf numFmtId="0" fontId="0" fillId="0" borderId="0"/>
    <xf numFmtId="0" fontId="1" fillId="2" borderId="0" applyNumberFormat="0" applyBorder="0" applyAlignment="0" applyProtection="0"/>
    <xf numFmtId="0" fontId="1" fillId="3" borderId="0" applyNumberFormat="0" applyBorder="0" applyAlignment="0" applyProtection="0"/>
    <xf numFmtId="0" fontId="3" fillId="0" borderId="0" applyNumberFormat="0" applyFill="0" applyBorder="0" applyAlignment="0" applyProtection="0"/>
    <xf numFmtId="0" fontId="4" fillId="0" borderId="7" applyNumberFormat="0" applyFill="0" applyAlignment="0" applyProtection="0"/>
    <xf numFmtId="0" fontId="5" fillId="0" borderId="8" applyNumberFormat="0" applyFill="0" applyAlignment="0" applyProtection="0"/>
    <xf numFmtId="0" fontId="2" fillId="7" borderId="0" applyNumberFormat="0" applyBorder="0" applyAlignment="0" applyProtection="0"/>
    <xf numFmtId="0" fontId="2" fillId="8" borderId="0" applyNumberFormat="0" applyBorder="0" applyAlignment="0" applyProtection="0"/>
    <xf numFmtId="0" fontId="1"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6" fillId="0" borderId="0"/>
    <xf numFmtId="0" fontId="8" fillId="0" borderId="0">
      <alignment horizontal="center"/>
    </xf>
    <xf numFmtId="0" fontId="2" fillId="0" borderId="0" applyNumberFormat="0" applyFill="0" applyBorder="0">
      <alignment horizontal="left" vertical="center" wrapText="1" indent="2"/>
    </xf>
    <xf numFmtId="166" fontId="21" fillId="0" borderId="0" applyFont="0" applyFill="0" applyBorder="0" applyAlignment="0" applyProtection="0"/>
    <xf numFmtId="0" fontId="22" fillId="0" borderId="0" applyNumberFormat="0" applyFill="0" applyBorder="0" applyAlignment="0" applyProtection="0"/>
  </cellStyleXfs>
  <cellXfs count="143">
    <xf numFmtId="0" fontId="0" fillId="0" borderId="0" xfId="0"/>
    <xf numFmtId="0" fontId="9" fillId="0" borderId="0" xfId="0" applyFont="1"/>
    <xf numFmtId="0" fontId="10" fillId="13" borderId="0" xfId="2" applyFont="1" applyFill="1" applyBorder="1" applyAlignment="1" applyProtection="1">
      <alignment horizontal="center" vertical="center"/>
    </xf>
    <xf numFmtId="0" fontId="9" fillId="0" borderId="0" xfId="7" applyFont="1" applyFill="1" applyBorder="1" applyAlignment="1" applyProtection="1">
      <alignment vertical="center"/>
    </xf>
    <xf numFmtId="0" fontId="9" fillId="0" borderId="0" xfId="7" applyFont="1" applyFill="1" applyAlignment="1" applyProtection="1">
      <alignment horizontal="left" vertical="center"/>
    </xf>
    <xf numFmtId="0" fontId="9" fillId="0" borderId="0" xfId="7" applyFont="1" applyFill="1" applyAlignment="1" applyProtection="1">
      <alignment vertical="center"/>
    </xf>
    <xf numFmtId="0" fontId="9" fillId="7" borderId="0" xfId="6" applyFont="1" applyAlignment="1" applyProtection="1">
      <alignment horizontal="center" vertical="center"/>
    </xf>
    <xf numFmtId="0" fontId="9" fillId="0" borderId="0" xfId="0" applyFont="1" applyBorder="1"/>
    <xf numFmtId="0" fontId="9" fillId="9" borderId="0" xfId="8" applyFont="1" applyAlignment="1" applyProtection="1">
      <alignment horizontal="center" vertical="center"/>
    </xf>
    <xf numFmtId="165" fontId="9" fillId="10" borderId="0" xfId="9" applyNumberFormat="1" applyFont="1" applyAlignment="1" applyProtection="1">
      <alignment horizontal="center" vertical="center"/>
    </xf>
    <xf numFmtId="165" fontId="9" fillId="11" borderId="0" xfId="10" applyNumberFormat="1" applyFont="1" applyAlignment="1" applyProtection="1">
      <alignment horizontal="center" vertical="center"/>
    </xf>
    <xf numFmtId="0" fontId="9" fillId="0" borderId="0" xfId="0" applyFont="1" applyAlignment="1" applyProtection="1">
      <alignment horizontal="left" vertical="center"/>
    </xf>
    <xf numFmtId="0" fontId="12" fillId="0" borderId="0" xfId="4" applyFont="1" applyBorder="1" applyAlignment="1" applyProtection="1">
      <alignment horizontal="center" vertical="center"/>
    </xf>
    <xf numFmtId="0" fontId="13" fillId="0" borderId="0" xfId="0" applyFont="1" applyAlignment="1" applyProtection="1">
      <alignment horizontal="center" vertical="center"/>
    </xf>
    <xf numFmtId="0" fontId="14" fillId="6" borderId="7" xfId="4" applyFont="1" applyFill="1" applyAlignment="1" applyProtection="1">
      <alignment horizontal="center" vertical="center"/>
    </xf>
    <xf numFmtId="0" fontId="10" fillId="14" borderId="0" xfId="2" applyFont="1" applyFill="1" applyAlignment="1" applyProtection="1">
      <alignment horizontal="center" vertical="center"/>
    </xf>
    <xf numFmtId="0" fontId="9" fillId="17" borderId="0" xfId="6" applyFont="1" applyFill="1" applyBorder="1" applyAlignment="1" applyProtection="1">
      <alignment horizontal="center" vertical="center"/>
    </xf>
    <xf numFmtId="0" fontId="14" fillId="6" borderId="7" xfId="4" applyFont="1" applyFill="1" applyAlignment="1" applyProtection="1">
      <alignment horizontal="center" vertical="center"/>
    </xf>
    <xf numFmtId="0" fontId="15" fillId="0" borderId="0" xfId="0" applyFont="1"/>
    <xf numFmtId="0" fontId="16" fillId="0" borderId="8" xfId="5" applyFont="1" applyAlignment="1" applyProtection="1">
      <alignment horizontal="right" vertical="center" indent="1"/>
    </xf>
    <xf numFmtId="0" fontId="7" fillId="13" borderId="0" xfId="2" applyFont="1" applyFill="1" applyBorder="1" applyAlignment="1" applyProtection="1">
      <alignment horizontal="center" vertical="center"/>
    </xf>
    <xf numFmtId="0" fontId="15" fillId="0" borderId="0" xfId="7" applyFont="1" applyFill="1" applyBorder="1" applyAlignment="1" applyProtection="1">
      <alignment vertical="center"/>
    </xf>
    <xf numFmtId="0" fontId="7" fillId="14" borderId="0" xfId="2" applyFont="1" applyFill="1" applyAlignment="1" applyProtection="1">
      <alignment horizontal="center" vertical="center"/>
    </xf>
    <xf numFmtId="0" fontId="15" fillId="0" borderId="0" xfId="0" applyFont="1" applyAlignment="1">
      <alignment vertical="center"/>
    </xf>
    <xf numFmtId="0" fontId="15" fillId="7" borderId="0" xfId="6" applyFont="1" applyAlignment="1" applyProtection="1">
      <alignment horizontal="center" vertical="center"/>
    </xf>
    <xf numFmtId="0" fontId="15" fillId="0" borderId="0" xfId="7" applyFont="1" applyFill="1" applyAlignment="1" applyProtection="1">
      <alignment horizontal="left" vertical="center"/>
    </xf>
    <xf numFmtId="0" fontId="15" fillId="17" borderId="0" xfId="6" applyFont="1" applyFill="1" applyBorder="1" applyAlignment="1" applyProtection="1">
      <alignment horizontal="center" vertical="center"/>
    </xf>
    <xf numFmtId="0" fontId="15" fillId="0" borderId="0" xfId="0" applyFont="1" applyBorder="1" applyAlignment="1">
      <alignment vertical="center"/>
    </xf>
    <xf numFmtId="0" fontId="15" fillId="9" borderId="0" xfId="8" applyFont="1" applyAlignment="1" applyProtection="1">
      <alignment horizontal="center" vertical="center"/>
    </xf>
    <xf numFmtId="165" fontId="15" fillId="10" borderId="0" xfId="9" applyNumberFormat="1" applyFont="1" applyAlignment="1" applyProtection="1">
      <alignment horizontal="center" vertical="center"/>
    </xf>
    <xf numFmtId="0" fontId="15" fillId="0" borderId="0" xfId="7" applyFont="1" applyFill="1" applyAlignment="1" applyProtection="1">
      <alignment vertical="center"/>
    </xf>
    <xf numFmtId="165" fontId="15" fillId="18" borderId="0" xfId="9" applyNumberFormat="1" applyFont="1" applyFill="1" applyAlignment="1" applyProtection="1">
      <alignment horizontal="center" vertical="center"/>
    </xf>
    <xf numFmtId="165" fontId="15" fillId="11" borderId="0" xfId="10" applyNumberFormat="1" applyFont="1" applyAlignment="1" applyProtection="1">
      <alignment horizontal="center" vertical="center"/>
    </xf>
    <xf numFmtId="0" fontId="15" fillId="0" borderId="0" xfId="0" applyFont="1" applyAlignment="1" applyProtection="1">
      <alignment horizontal="left" vertical="center"/>
    </xf>
    <xf numFmtId="0" fontId="15" fillId="19" borderId="0" xfId="0" applyFont="1" applyFill="1" applyAlignment="1" applyProtection="1">
      <alignment horizontal="left" vertical="center"/>
    </xf>
    <xf numFmtId="0" fontId="17" fillId="0" borderId="0" xfId="4" applyFont="1" applyBorder="1" applyAlignment="1" applyProtection="1">
      <alignment horizontal="center" vertical="center"/>
    </xf>
    <xf numFmtId="0" fontId="18" fillId="0" borderId="0" xfId="0" applyFont="1" applyAlignment="1" applyProtection="1">
      <alignment horizontal="center" vertical="center"/>
    </xf>
    <xf numFmtId="0" fontId="18" fillId="14" borderId="13" xfId="7" applyFont="1" applyFill="1" applyBorder="1" applyAlignment="1" applyProtection="1">
      <alignment horizontal="left" vertical="center" indent="1"/>
    </xf>
    <xf numFmtId="0" fontId="15" fillId="0" borderId="14" xfId="0" applyFont="1" applyFill="1" applyBorder="1" applyAlignment="1" applyProtection="1">
      <alignment horizontal="center" vertical="center"/>
    </xf>
    <xf numFmtId="0" fontId="15" fillId="0" borderId="9" xfId="0" applyFont="1" applyFill="1" applyBorder="1" applyAlignment="1" applyProtection="1">
      <alignment horizontal="center" vertical="center"/>
    </xf>
    <xf numFmtId="0" fontId="7" fillId="13" borderId="11" xfId="2" applyFont="1" applyFill="1" applyBorder="1" applyAlignment="1" applyProtection="1">
      <alignment horizontal="center" vertical="center"/>
    </xf>
    <xf numFmtId="0" fontId="7" fillId="14" borderId="11" xfId="2" applyFont="1" applyFill="1" applyBorder="1" applyAlignment="1" applyProtection="1">
      <alignment horizontal="center" vertical="center"/>
    </xf>
    <xf numFmtId="0" fontId="15" fillId="7" borderId="11" xfId="6" applyFont="1" applyBorder="1" applyAlignment="1" applyProtection="1">
      <alignment horizontal="center" vertical="center"/>
    </xf>
    <xf numFmtId="0" fontId="15" fillId="17" borderId="11" xfId="6" applyFont="1" applyFill="1" applyBorder="1" applyAlignment="1" applyProtection="1">
      <alignment horizontal="center" vertical="center"/>
    </xf>
    <xf numFmtId="0" fontId="15" fillId="9" borderId="11" xfId="8" applyFont="1" applyBorder="1" applyAlignment="1" applyProtection="1">
      <alignment horizontal="center" vertical="center"/>
    </xf>
    <xf numFmtId="165" fontId="15" fillId="10" borderId="11" xfId="9" applyNumberFormat="1" applyFont="1" applyBorder="1" applyAlignment="1" applyProtection="1">
      <alignment horizontal="center" vertical="center"/>
    </xf>
    <xf numFmtId="165" fontId="15" fillId="11" borderId="12" xfId="10" applyNumberFormat="1" applyFont="1" applyBorder="1" applyAlignment="1" applyProtection="1">
      <alignment horizontal="center" vertical="center"/>
    </xf>
    <xf numFmtId="0" fontId="19" fillId="6" borderId="11" xfId="0" applyFont="1" applyFill="1" applyBorder="1" applyAlignment="1">
      <alignment horizontal="center"/>
    </xf>
    <xf numFmtId="0" fontId="18" fillId="0" borderId="15" xfId="13" applyFont="1" applyFill="1" applyBorder="1">
      <alignment horizontal="left" vertical="center" wrapText="1" indent="2"/>
    </xf>
    <xf numFmtId="0" fontId="18" fillId="12" borderId="11" xfId="0" applyFont="1" applyFill="1" applyBorder="1" applyAlignment="1" applyProtection="1">
      <alignment horizontal="center" vertical="center"/>
    </xf>
    <xf numFmtId="0" fontId="18" fillId="0" borderId="11" xfId="0" applyFont="1" applyFill="1" applyBorder="1" applyAlignment="1" applyProtection="1">
      <alignment horizontal="center" vertical="center"/>
    </xf>
    <xf numFmtId="0" fontId="18" fillId="15" borderId="11" xfId="0" applyFont="1" applyFill="1" applyBorder="1" applyAlignment="1">
      <alignment horizontal="center" vertical="center"/>
    </xf>
    <xf numFmtId="0" fontId="18" fillId="15" borderId="18" xfId="0" applyFont="1" applyFill="1" applyBorder="1" applyAlignment="1">
      <alignment horizontal="center" vertical="center"/>
    </xf>
    <xf numFmtId="0" fontId="18" fillId="16" borderId="11" xfId="0" applyFont="1" applyFill="1" applyBorder="1" applyAlignment="1">
      <alignment horizontal="center" vertical="center"/>
    </xf>
    <xf numFmtId="0" fontId="18" fillId="16" borderId="18" xfId="0" applyFont="1" applyFill="1" applyBorder="1" applyAlignment="1">
      <alignment horizontal="center" vertical="center"/>
    </xf>
    <xf numFmtId="0" fontId="18" fillId="16" borderId="19" xfId="0" applyFont="1" applyFill="1" applyBorder="1" applyAlignment="1">
      <alignment horizontal="center" vertical="center"/>
    </xf>
    <xf numFmtId="0" fontId="15" fillId="0" borderId="0" xfId="0"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0" fontId="19" fillId="6" borderId="17" xfId="0" applyFont="1" applyFill="1" applyBorder="1" applyAlignment="1">
      <alignment horizontal="center"/>
    </xf>
    <xf numFmtId="0" fontId="18" fillId="14" borderId="16" xfId="0" applyFont="1" applyFill="1" applyBorder="1" applyAlignment="1" applyProtection="1">
      <alignment horizontal="left" vertical="center" indent="1"/>
    </xf>
    <xf numFmtId="0" fontId="19" fillId="0" borderId="0" xfId="0" applyFont="1" applyFill="1" applyBorder="1" applyAlignment="1" applyProtection="1">
      <alignment horizontal="center" vertical="center"/>
    </xf>
    <xf numFmtId="0" fontId="9" fillId="0" borderId="0" xfId="0" applyFont="1" applyAlignment="1">
      <alignment wrapText="1"/>
    </xf>
    <xf numFmtId="0" fontId="20" fillId="2" borderId="3" xfId="1" applyFont="1" applyBorder="1" applyAlignment="1">
      <alignment horizontal="center" vertical="center" wrapText="1"/>
    </xf>
    <xf numFmtId="0" fontId="9" fillId="0" borderId="0" xfId="0" applyFont="1" applyBorder="1" applyAlignment="1">
      <alignment horizontal="center" vertical="center"/>
    </xf>
    <xf numFmtId="0" fontId="15" fillId="20" borderId="0" xfId="0" applyFont="1" applyFill="1" applyAlignment="1" applyProtection="1">
      <alignment horizontal="left" vertical="center"/>
    </xf>
    <xf numFmtId="0" fontId="18" fillId="0" borderId="21" xfId="0" applyFont="1" applyFill="1" applyBorder="1" applyAlignment="1" applyProtection="1">
      <alignment horizontal="center" vertical="center"/>
    </xf>
    <xf numFmtId="0" fontId="18" fillId="15" borderId="22" xfId="0" applyFont="1" applyFill="1" applyBorder="1" applyAlignment="1">
      <alignment horizontal="center" vertical="center"/>
    </xf>
    <xf numFmtId="0" fontId="18" fillId="16" borderId="22" xfId="0" applyFont="1" applyFill="1" applyBorder="1" applyAlignment="1">
      <alignment horizontal="center" vertical="center"/>
    </xf>
    <xf numFmtId="0" fontId="18" fillId="16" borderId="20" xfId="0" applyFont="1" applyFill="1" applyBorder="1" applyAlignment="1">
      <alignment horizontal="center" vertical="center"/>
    </xf>
    <xf numFmtId="0" fontId="18" fillId="15" borderId="20" xfId="0" applyFont="1" applyFill="1" applyBorder="1" applyAlignment="1">
      <alignment horizontal="center" vertical="center"/>
    </xf>
    <xf numFmtId="165" fontId="15" fillId="21" borderId="0" xfId="9" applyNumberFormat="1" applyFont="1" applyFill="1" applyAlignment="1" applyProtection="1">
      <alignment horizontal="center" vertical="center"/>
    </xf>
    <xf numFmtId="0" fontId="15" fillId="0" borderId="0" xfId="0" applyFont="1" applyAlignment="1">
      <alignment wrapText="1"/>
    </xf>
    <xf numFmtId="0" fontId="18" fillId="15" borderId="19" xfId="0" applyFont="1" applyFill="1" applyBorder="1" applyAlignment="1">
      <alignment horizontal="center" vertical="center"/>
    </xf>
    <xf numFmtId="0" fontId="9" fillId="5" borderId="2" xfId="0" applyFont="1" applyFill="1" applyBorder="1" applyAlignment="1">
      <alignment horizontal="center" wrapText="1"/>
    </xf>
    <xf numFmtId="0" fontId="9" fillId="22" borderId="2" xfId="0" applyFont="1" applyFill="1" applyBorder="1" applyAlignment="1">
      <alignment horizontal="center" wrapText="1"/>
    </xf>
    <xf numFmtId="0" fontId="9" fillId="22" borderId="1" xfId="0" applyFont="1" applyFill="1" applyBorder="1" applyAlignment="1">
      <alignment horizontal="center"/>
    </xf>
    <xf numFmtId="0" fontId="19" fillId="6" borderId="23" xfId="0" applyFont="1" applyFill="1" applyBorder="1" applyAlignment="1">
      <alignment horizontal="center"/>
    </xf>
    <xf numFmtId="0" fontId="18" fillId="15" borderId="24" xfId="0" applyFont="1" applyFill="1" applyBorder="1" applyAlignment="1">
      <alignment horizontal="center" vertical="center"/>
    </xf>
    <xf numFmtId="0" fontId="18" fillId="16" borderId="24" xfId="0" applyFont="1" applyFill="1" applyBorder="1" applyAlignment="1">
      <alignment horizontal="center" vertical="center"/>
    </xf>
    <xf numFmtId="0" fontId="18" fillId="16" borderId="25" xfId="0" applyFont="1" applyFill="1" applyBorder="1" applyAlignment="1">
      <alignment horizontal="center" vertical="center"/>
    </xf>
    <xf numFmtId="0" fontId="18" fillId="15" borderId="25" xfId="0" applyFont="1" applyFill="1" applyBorder="1" applyAlignment="1">
      <alignment horizontal="center" vertical="center"/>
    </xf>
    <xf numFmtId="0" fontId="19" fillId="6" borderId="23" xfId="0" applyFont="1" applyFill="1" applyBorder="1" applyAlignment="1">
      <alignment horizontal="center" wrapText="1"/>
    </xf>
    <xf numFmtId="0" fontId="18" fillId="15" borderId="24" xfId="0" applyFont="1" applyFill="1" applyBorder="1" applyAlignment="1">
      <alignment horizontal="center" vertical="center" wrapText="1"/>
    </xf>
    <xf numFmtId="0" fontId="18" fillId="16" borderId="24" xfId="0" applyFont="1" applyFill="1" applyBorder="1" applyAlignment="1">
      <alignment horizontal="center" vertical="center" wrapText="1"/>
    </xf>
    <xf numFmtId="0" fontId="18" fillId="16" borderId="25" xfId="0" applyFont="1" applyFill="1" applyBorder="1" applyAlignment="1">
      <alignment horizontal="center" vertical="center" wrapText="1"/>
    </xf>
    <xf numFmtId="0" fontId="9" fillId="5" borderId="3" xfId="0" applyFont="1" applyFill="1" applyBorder="1" applyAlignment="1">
      <alignment horizontal="left"/>
    </xf>
    <xf numFmtId="0" fontId="9" fillId="5" borderId="3" xfId="0" applyFont="1" applyFill="1" applyBorder="1" applyAlignment="1"/>
    <xf numFmtId="0" fontId="9" fillId="4" borderId="4" xfId="0" applyFont="1" applyFill="1" applyBorder="1" applyAlignment="1"/>
    <xf numFmtId="0" fontId="9" fillId="4" borderId="3" xfId="0" applyFont="1" applyFill="1" applyBorder="1" applyAlignment="1"/>
    <xf numFmtId="0" fontId="20" fillId="6" borderId="3" xfId="0" applyFont="1" applyFill="1" applyBorder="1" applyAlignment="1"/>
    <xf numFmtId="0" fontId="20" fillId="6" borderId="2" xfId="0" applyFont="1" applyFill="1" applyBorder="1" applyAlignment="1">
      <alignment horizontal="center" wrapText="1"/>
    </xf>
    <xf numFmtId="0" fontId="9" fillId="5" borderId="3" xfId="0" applyFont="1" applyFill="1" applyBorder="1" applyAlignment="1">
      <alignment horizontal="center"/>
    </xf>
    <xf numFmtId="0" fontId="9" fillId="4" borderId="3" xfId="0" applyFont="1" applyFill="1" applyBorder="1" applyAlignment="1">
      <alignment horizontal="center"/>
    </xf>
    <xf numFmtId="0" fontId="20" fillId="6" borderId="3" xfId="0" applyFont="1" applyFill="1" applyBorder="1" applyAlignment="1">
      <alignment horizontal="center"/>
    </xf>
    <xf numFmtId="0" fontId="9" fillId="0" borderId="6" xfId="0" applyFont="1" applyBorder="1" applyAlignment="1">
      <alignment horizontal="center" vertical="center" wrapText="1"/>
    </xf>
    <xf numFmtId="0" fontId="9" fillId="0" borderId="3" xfId="0" applyFont="1" applyBorder="1" applyAlignment="1">
      <alignment horizontal="center" vertical="center"/>
    </xf>
    <xf numFmtId="0" fontId="7" fillId="13" borderId="3" xfId="2" applyFont="1" applyFill="1" applyBorder="1" applyAlignment="1">
      <alignment horizontal="center" vertical="center"/>
    </xf>
    <xf numFmtId="0" fontId="19" fillId="7" borderId="3" xfId="6" applyFont="1" applyFill="1" applyBorder="1" applyAlignment="1">
      <alignment horizontal="center" vertical="center"/>
    </xf>
    <xf numFmtId="0" fontId="15" fillId="9" borderId="3" xfId="8" applyFont="1" applyFill="1" applyBorder="1" applyAlignment="1">
      <alignment horizontal="center" vertical="center"/>
    </xf>
    <xf numFmtId="165" fontId="19" fillId="10" borderId="3" xfId="9" applyNumberFormat="1" applyFont="1" applyFill="1" applyBorder="1" applyAlignment="1">
      <alignment horizontal="center" vertical="center"/>
    </xf>
    <xf numFmtId="165" fontId="19" fillId="11" borderId="3" xfId="10" applyNumberFormat="1" applyFont="1" applyFill="1" applyBorder="1" applyAlignment="1">
      <alignment horizontal="center" vertical="center"/>
    </xf>
    <xf numFmtId="0" fontId="20" fillId="2" borderId="4" xfId="1" applyFont="1" applyBorder="1" applyAlignment="1">
      <alignment horizontal="center" vertical="center" wrapText="1"/>
    </xf>
    <xf numFmtId="0" fontId="9" fillId="0" borderId="10" xfId="13" applyFont="1" applyFill="1" applyBorder="1" applyAlignment="1">
      <alignment vertical="center" wrapText="1"/>
    </xf>
    <xf numFmtId="0" fontId="9" fillId="0" borderId="0" xfId="0" applyFont="1" applyAlignment="1"/>
    <xf numFmtId="165" fontId="9" fillId="18" borderId="0" xfId="9" applyNumberFormat="1" applyFont="1" applyFill="1" applyAlignment="1" applyProtection="1">
      <alignment horizontal="center" vertical="center"/>
    </xf>
    <xf numFmtId="0" fontId="9" fillId="19" borderId="0" xfId="0" applyFont="1" applyFill="1" applyAlignment="1">
      <alignment horizontal="center"/>
    </xf>
    <xf numFmtId="0" fontId="9" fillId="0" borderId="0" xfId="0" applyFont="1" applyAlignment="1">
      <alignment horizontal="center"/>
    </xf>
    <xf numFmtId="0" fontId="22" fillId="0" borderId="0" xfId="15"/>
    <xf numFmtId="164" fontId="9" fillId="0" borderId="0" xfId="0" applyNumberFormat="1" applyFont="1" applyAlignment="1">
      <alignment horizontal="center"/>
    </xf>
    <xf numFmtId="0" fontId="20" fillId="2" borderId="26" xfId="1" applyFont="1" applyBorder="1" applyAlignment="1">
      <alignment horizontal="center" vertical="center" wrapText="1"/>
    </xf>
    <xf numFmtId="164" fontId="20" fillId="2" borderId="26" xfId="1" applyNumberFormat="1" applyFont="1" applyBorder="1" applyAlignment="1">
      <alignment horizontal="center" vertical="center" wrapText="1"/>
    </xf>
    <xf numFmtId="167" fontId="9" fillId="0" borderId="26" xfId="14" applyNumberFormat="1" applyFont="1" applyBorder="1" applyAlignment="1" applyProtection="1">
      <alignment horizontal="right"/>
    </xf>
    <xf numFmtId="164" fontId="9" fillId="0" borderId="26" xfId="14" applyNumberFormat="1" applyFont="1" applyBorder="1" applyAlignment="1" applyProtection="1">
      <alignment horizontal="center"/>
    </xf>
    <xf numFmtId="0" fontId="9" fillId="0" borderId="26" xfId="0" applyFont="1" applyBorder="1" applyAlignment="1">
      <alignment horizontal="center" vertical="center"/>
    </xf>
    <xf numFmtId="0" fontId="9" fillId="0" borderId="26" xfId="0" applyFont="1" applyBorder="1" applyAlignment="1">
      <alignment horizontal="left" vertical="center" indent="1"/>
    </xf>
    <xf numFmtId="0" fontId="9" fillId="0" borderId="26" xfId="0" applyFont="1" applyBorder="1" applyAlignment="1">
      <alignment horizontal="left" indent="1"/>
    </xf>
    <xf numFmtId="0" fontId="9" fillId="0" borderId="26" xfId="0" applyFont="1" applyBorder="1" applyAlignment="1">
      <alignment horizontal="center"/>
    </xf>
    <xf numFmtId="14" fontId="20" fillId="2" borderId="26" xfId="1" applyNumberFormat="1" applyFont="1" applyBorder="1" applyAlignment="1">
      <alignment horizontal="center" vertical="center" wrapText="1"/>
    </xf>
    <xf numFmtId="14" fontId="9" fillId="0" borderId="26" xfId="0" applyNumberFormat="1" applyFont="1" applyBorder="1" applyAlignment="1">
      <alignment horizontal="center" vertical="center"/>
    </xf>
    <xf numFmtId="14" fontId="9" fillId="0" borderId="26" xfId="0" applyNumberFormat="1" applyFont="1" applyBorder="1" applyAlignment="1">
      <alignment horizontal="center"/>
    </xf>
    <xf numFmtId="14" fontId="9" fillId="0" borderId="0" xfId="0" applyNumberFormat="1" applyFont="1" applyAlignment="1">
      <alignment horizontal="center"/>
    </xf>
    <xf numFmtId="16" fontId="24" fillId="0" borderId="0" xfId="0" applyNumberFormat="1" applyFont="1" applyAlignment="1">
      <alignment horizontal="left" vertical="center" wrapText="1" indent="1"/>
    </xf>
    <xf numFmtId="0" fontId="22" fillId="0" borderId="0" xfId="15" applyAlignment="1">
      <alignment vertical="center" wrapText="1"/>
    </xf>
    <xf numFmtId="0" fontId="25" fillId="0" borderId="0" xfId="0" applyFont="1" applyAlignment="1">
      <alignment horizontal="left" vertical="center" wrapText="1" indent="1"/>
    </xf>
    <xf numFmtId="0" fontId="24" fillId="0" borderId="0" xfId="0" applyFont="1" applyAlignment="1">
      <alignment horizontal="left" vertical="center" wrapText="1" indent="1"/>
    </xf>
    <xf numFmtId="0" fontId="9" fillId="0" borderId="0" xfId="0" applyFont="1" applyAlignment="1" applyProtection="1">
      <alignment horizontal="left" vertical="center" wrapText="1"/>
    </xf>
    <xf numFmtId="0" fontId="27" fillId="23" borderId="0" xfId="15" applyFont="1" applyFill="1" applyAlignment="1" applyProtection="1">
      <alignment horizontal="center" vertical="center" wrapText="1"/>
    </xf>
    <xf numFmtId="0" fontId="13" fillId="0" borderId="0" xfId="0" applyFont="1"/>
    <xf numFmtId="0" fontId="20" fillId="2" borderId="26" xfId="1" applyNumberFormat="1" applyFont="1" applyBorder="1" applyAlignment="1">
      <alignment horizontal="center" vertical="center" wrapText="1"/>
    </xf>
    <xf numFmtId="0" fontId="9" fillId="0" borderId="26" xfId="0" applyNumberFormat="1" applyFont="1" applyBorder="1" applyAlignment="1">
      <alignment horizontal="center" vertical="center"/>
    </xf>
    <xf numFmtId="0" fontId="9" fillId="0" borderId="0" xfId="0" applyNumberFormat="1" applyFont="1" applyAlignment="1">
      <alignment horizontal="center"/>
    </xf>
    <xf numFmtId="0" fontId="20" fillId="2" borderId="0" xfId="1" applyFont="1" applyBorder="1" applyAlignment="1">
      <alignment horizontal="center" vertical="center" wrapText="1"/>
    </xf>
    <xf numFmtId="14" fontId="9" fillId="0" borderId="26" xfId="14" applyNumberFormat="1" applyFont="1" applyBorder="1" applyAlignment="1" applyProtection="1">
      <alignment horizontal="center" vertical="center"/>
    </xf>
    <xf numFmtId="168" fontId="18" fillId="0" borderId="0" xfId="0" applyNumberFormat="1" applyFont="1" applyAlignment="1" applyProtection="1">
      <alignment horizontal="center" vertical="center"/>
    </xf>
    <xf numFmtId="0" fontId="18" fillId="0" borderId="16" xfId="0" applyFont="1" applyFill="1" applyBorder="1" applyAlignment="1" applyProtection="1">
      <alignment horizontal="left" vertical="center" wrapText="1" indent="2"/>
    </xf>
    <xf numFmtId="0" fontId="20" fillId="2" borderId="3" xfId="1" applyFont="1" applyBorder="1" applyAlignment="1">
      <alignment horizontal="center" vertical="center" wrapText="1"/>
    </xf>
    <xf numFmtId="0" fontId="9" fillId="5" borderId="5" xfId="0" applyFont="1" applyFill="1" applyBorder="1" applyAlignment="1">
      <alignment horizontal="center" vertical="center"/>
    </xf>
    <xf numFmtId="0" fontId="9" fillId="5" borderId="6"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14" fillId="6" borderId="7" xfId="4" applyFont="1" applyFill="1" applyAlignment="1" applyProtection="1">
      <alignment horizontal="center" vertical="center"/>
    </xf>
    <xf numFmtId="0" fontId="11" fillId="0" borderId="0" xfId="3" applyFont="1" applyBorder="1" applyAlignment="1" applyProtection="1">
      <alignment horizontal="center" vertical="top"/>
    </xf>
    <xf numFmtId="0" fontId="26" fillId="24" borderId="0" xfId="15" applyFont="1" applyFill="1" applyAlignment="1">
      <alignment horizontal="center" vertical="center"/>
    </xf>
  </cellXfs>
  <cellStyles count="16">
    <cellStyle name="20 % - Accent3" xfId="7" builtinId="38"/>
    <cellStyle name="40 % - Accent2" xfId="6" builtinId="35"/>
    <cellStyle name="40 % - Accent4" xfId="9" builtinId="43"/>
    <cellStyle name="40 % - Accent5" xfId="10" builtinId="47"/>
    <cellStyle name="60 % - Accent1" xfId="2" builtinId="32"/>
    <cellStyle name="60 % - Accent3" xfId="8" builtinId="40"/>
    <cellStyle name="Accent1" xfId="1" builtinId="29"/>
    <cellStyle name="Employé" xfId="13"/>
    <cellStyle name="Étiquette" xfId="12"/>
    <cellStyle name="Lien hypertexte" xfId="15" builtinId="8"/>
    <cellStyle name="Milliers 2" xfId="14"/>
    <cellStyle name="Normal" xfId="0" builtinId="0"/>
    <cellStyle name="Normal 2" xfId="11"/>
    <cellStyle name="Titre" xfId="3" builtinId="15"/>
    <cellStyle name="Titre 2" xfId="4" builtinId="17"/>
    <cellStyle name="Titre 3" xfId="5" builtinId="18"/>
  </cellStyles>
  <dxfs count="2807">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7" tint="0.79998168889431442"/>
        </patternFill>
      </fill>
    </dxf>
    <dxf>
      <fill>
        <patternFill>
          <bgColor theme="8" tint="0.79998168889431442"/>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7" tint="0.79998168889431442"/>
        </patternFill>
      </fill>
    </dxf>
    <dxf>
      <fill>
        <patternFill>
          <bgColor theme="8" tint="0.79998168889431442"/>
        </patternFill>
      </fill>
    </dxf>
    <dxf>
      <fill>
        <patternFill>
          <bgColor theme="3" tint="0.79998168889431442"/>
        </patternFill>
      </fill>
    </dxf>
    <dxf>
      <fill>
        <patternFill>
          <bgColor theme="3" tint="0.59996337778862885"/>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34998626667073579"/>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34998626667073579"/>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34998626667073579"/>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34998626667073579"/>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strike val="0"/>
        <outline val="0"/>
        <shadow val="0"/>
        <u val="none"/>
        <vertAlign val="baseline"/>
        <sz val="10"/>
        <color theme="3"/>
        <name val="Century Gothic"/>
        <scheme val="none"/>
      </font>
      <fill>
        <patternFill patternType="solid">
          <fgColor indexed="64"/>
          <bgColor theme="0" tint="-0.34998626667073579"/>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outline="0">
        <left/>
        <right style="thin">
          <color theme="0"/>
        </right>
        <top style="thin">
          <color theme="0"/>
        </top>
        <bottom style="thin">
          <color theme="0"/>
        </bottom>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outline="0">
        <left/>
        <right style="thin">
          <color theme="0"/>
        </right>
        <top style="thin">
          <color theme="0"/>
        </top>
        <bottom style="thin">
          <color theme="0"/>
        </bottom>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outline="0">
        <left/>
        <right style="thin">
          <color theme="0"/>
        </right>
        <top style="thin">
          <color theme="0"/>
        </top>
        <bottom style="thin">
          <color theme="0"/>
        </bottom>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name val="Century Gothic"/>
        <scheme val="none"/>
      </font>
      <border outline="0">
        <right style="thin">
          <color theme="0"/>
        </right>
      </border>
    </dxf>
    <dxf>
      <border>
        <top style="thin">
          <color rgb="FFFFFFFF"/>
        </top>
      </border>
    </dxf>
    <dxf>
      <font>
        <strike val="0"/>
        <outline val="0"/>
        <shadow val="0"/>
        <u val="none"/>
        <vertAlign val="baseline"/>
        <name val="Century Gothic"/>
        <scheme val="none"/>
      </font>
      <fill>
        <patternFill patternType="solid">
          <fgColor rgb="FF000000"/>
          <bgColor rgb="FFC5D9F1"/>
        </patternFill>
      </fill>
      <border diagonalUp="0" diagonalDown="0" outline="0">
        <left style="thin">
          <color rgb="FFFFFFFF"/>
        </left>
        <right style="thin">
          <color rgb="FFFFFFFF"/>
        </right>
        <top/>
        <bottom/>
      </border>
      <protection locked="1" hidden="0"/>
    </dxf>
    <dxf>
      <border diagonalUp="0" diagonalDown="0">
        <left style="thin">
          <color rgb="FFFFFFFF"/>
        </left>
        <right style="thin">
          <color rgb="FFFFFFFF"/>
        </right>
        <top style="thin">
          <color rgb="FFFFFFFF"/>
        </top>
        <bottom style="thin">
          <color rgb="FFFFFFFF"/>
        </bottom>
      </border>
    </dxf>
    <dxf>
      <font>
        <strike val="0"/>
        <outline val="0"/>
        <shadow val="0"/>
        <u val="none"/>
        <vertAlign val="baseline"/>
        <sz val="10"/>
        <name val="Century Gothic"/>
        <scheme val="none"/>
      </font>
      <protection locked="1" hidden="0"/>
    </dxf>
    <dxf>
      <border>
        <bottom style="thin">
          <color rgb="FFFFFFFF"/>
        </bottom>
      </border>
    </dxf>
    <dxf>
      <font>
        <strike val="0"/>
        <outline val="0"/>
        <shadow val="0"/>
        <u val="none"/>
        <vertAlign val="baseline"/>
        <sz val="10"/>
        <name val="Century Gothic"/>
        <scheme val="none"/>
      </font>
      <border diagonalUp="0" diagonalDown="0" outline="0">
        <left style="thin">
          <color theme="0"/>
        </left>
        <right style="thin">
          <color theme="0"/>
        </right>
        <top/>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outline="0">
        <left/>
        <right style="thin">
          <color theme="0"/>
        </right>
        <top style="thin">
          <color theme="0"/>
        </top>
        <bottom style="thin">
          <color theme="0"/>
        </bottom>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5"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font>
        <strike val="0"/>
        <outline val="0"/>
        <shadow val="0"/>
        <u val="none"/>
        <vertAlign val="baseline"/>
        <sz val="10"/>
        <name val="Century Gothic"/>
        <scheme val="none"/>
      </font>
      <numFmt numFmtId="165"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7" tint="0.79998168889431442"/>
        </patternFill>
      </fill>
    </dxf>
    <dxf>
      <fill>
        <patternFill>
          <bgColor theme="8" tint="0.79998168889431442"/>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1" indent="0" justifyLastLine="0" shrinkToFit="0" readingOrder="0"/>
      <border diagonalUp="0" diagonalDown="0">
        <left style="medium">
          <color theme="3"/>
        </left>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theme="3"/>
        </right>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outline="0">
        <left/>
        <right style="thin">
          <color theme="0"/>
        </right>
        <top style="thin">
          <color theme="0"/>
        </top>
        <bottom style="thin">
          <color theme="0"/>
        </bottom>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border outline="0">
        <bottom style="thin">
          <color theme="0"/>
        </bottom>
      </border>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left" vertical="center" textRotation="0" wrapText="1" indent="2"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top style="thin">
          <color theme="0"/>
        </top>
      </border>
    </dxf>
    <dxf>
      <font>
        <b val="0"/>
        <i val="0"/>
        <strike val="0"/>
        <condense val="0"/>
        <extend val="0"/>
        <outline val="0"/>
        <shadow val="0"/>
        <u val="none"/>
        <vertAlign val="baseline"/>
        <sz val="11"/>
        <color theme="1"/>
        <name val="Century Gothic"/>
        <scheme val="none"/>
      </font>
    </dxf>
    <dxf>
      <border diagonalUp="0" diagonalDown="0">
        <left style="thin">
          <color theme="0"/>
        </left>
        <right style="thin">
          <color theme="0"/>
        </right>
        <top style="thin">
          <color theme="0"/>
        </top>
        <bottom style="thin">
          <color theme="0"/>
        </bottom>
      </border>
    </dxf>
    <dxf>
      <font>
        <strike val="0"/>
        <outline val="0"/>
        <shadow val="0"/>
        <u val="none"/>
        <vertAlign val="baseline"/>
        <sz val="10"/>
        <name val="Century Gothic"/>
        <scheme val="none"/>
      </font>
      <protection locked="1" hidden="0"/>
    </dxf>
    <dxf>
      <border>
        <bottom style="thin">
          <color theme="0"/>
        </bottom>
      </border>
    </dxf>
    <dxf>
      <font>
        <strike val="0"/>
        <outline val="0"/>
        <shadow val="0"/>
        <u val="none"/>
        <vertAlign val="baseline"/>
        <sz val="10"/>
        <name val="Century Gothic"/>
        <scheme val="none"/>
      </font>
      <border diagonalUp="0" diagonalDown="0" outline="0">
        <left style="thin">
          <color theme="0"/>
        </left>
        <right style="thin">
          <color theme="0"/>
        </right>
        <top/>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theme="0"/>
        </top>
      </border>
    </dxf>
    <dxf>
      <font>
        <b val="0"/>
        <i val="0"/>
        <strike val="0"/>
        <condense val="0"/>
        <extend val="0"/>
        <outline val="0"/>
        <shadow val="0"/>
        <u val="none"/>
        <vertAlign val="baseline"/>
        <sz val="11"/>
        <color theme="3"/>
        <name val="Century Gothic"/>
        <scheme val="none"/>
      </font>
      <numFmt numFmtId="165"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font>
        <strike val="0"/>
        <outline val="0"/>
        <shadow val="0"/>
        <u val="none"/>
        <vertAlign val="baseline"/>
        <sz val="10"/>
        <name val="Century Gothic"/>
        <scheme val="none"/>
      </font>
      <numFmt numFmtId="165"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0" tint="-0.34998626667073579"/>
        </patternFill>
      </fill>
    </dxf>
    <dxf>
      <fill>
        <patternFill>
          <bgColor theme="0" tint="-0.34998626667073579"/>
        </patternFill>
      </fill>
    </dxf>
    <dxf>
      <fill>
        <patternFill>
          <bgColor theme="5" tint="0.59996337778862885"/>
        </patternFill>
      </fill>
    </dxf>
    <dxf>
      <fill>
        <patternFill>
          <bgColor theme="5" tint="0.79998168889431442"/>
        </patternFill>
      </fill>
    </dxf>
    <dxf>
      <fill>
        <patternFill>
          <bgColor theme="6" tint="0.39994506668294322"/>
        </patternFill>
      </fill>
    </dxf>
    <dxf>
      <fill>
        <patternFill>
          <bgColor theme="7" tint="0.59996337778862885"/>
        </patternFill>
      </fill>
    </dxf>
    <dxf>
      <fill>
        <patternFill>
          <bgColor theme="8"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bgColor theme="3" tint="0.79998168889431442"/>
        </patternFill>
      </fill>
    </dxf>
    <dxf>
      <fill>
        <patternFill>
          <bgColor theme="3" tint="0.59996337778862885"/>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4" defaultTableStyle="TableStyleMedium9" defaultPivotStyle="PivotStyleLight16">
    <tableStyle name="Tableau des absences des employés" pivot="0" count="13">
      <tableStyleElement type="wholeTable" dxfId="2806"/>
      <tableStyleElement type="headerRow" dxfId="2805"/>
      <tableStyleElement type="totalRow" dxfId="2804"/>
      <tableStyleElement type="firstColumn" dxfId="2803"/>
      <tableStyleElement type="lastColumn" dxfId="2802"/>
      <tableStyleElement type="firstRowStripe" dxfId="2801"/>
      <tableStyleElement type="secondRowStripe" dxfId="2800"/>
      <tableStyleElement type="firstColumnStripe" dxfId="2799"/>
      <tableStyleElement type="secondColumnStripe" dxfId="2798"/>
      <tableStyleElement type="firstHeaderCell" dxfId="2797"/>
      <tableStyleElement type="lastHeaderCell" dxfId="2796"/>
      <tableStyleElement type="firstTotalCell" dxfId="2795"/>
      <tableStyleElement type="lastTotalCell" dxfId="2794"/>
    </tableStyle>
    <tableStyle name="Tableau des absences des employés 2" pivot="0" count="13">
      <tableStyleElement type="wholeTable" dxfId="2793"/>
      <tableStyleElement type="headerRow" dxfId="2792"/>
      <tableStyleElement type="totalRow" dxfId="2791"/>
      <tableStyleElement type="firstColumn" dxfId="2790"/>
      <tableStyleElement type="lastColumn" dxfId="2789"/>
      <tableStyleElement type="firstRowStripe" dxfId="2788"/>
      <tableStyleElement type="secondRowStripe" dxfId="2787"/>
      <tableStyleElement type="firstColumnStripe" dxfId="2786"/>
      <tableStyleElement type="secondColumnStripe" dxfId="2785"/>
      <tableStyleElement type="firstHeaderCell" dxfId="2784"/>
      <tableStyleElement type="lastHeaderCell" dxfId="2783"/>
      <tableStyleElement type="firstTotalCell" dxfId="2782"/>
      <tableStyleElement type="lastTotalCell" dxfId="2781"/>
    </tableStyle>
    <tableStyle name="Tableau des absences des employés 3" pivot="0" count="13">
      <tableStyleElement type="wholeTable" dxfId="2780"/>
      <tableStyleElement type="headerRow" dxfId="2779"/>
      <tableStyleElement type="totalRow" dxfId="2778"/>
      <tableStyleElement type="firstColumn" dxfId="2777"/>
      <tableStyleElement type="lastColumn" dxfId="2776"/>
      <tableStyleElement type="firstRowStripe" dxfId="2775"/>
      <tableStyleElement type="secondRowStripe" dxfId="2774"/>
      <tableStyleElement type="firstColumnStripe" dxfId="2773"/>
      <tableStyleElement type="secondColumnStripe" dxfId="2772"/>
      <tableStyleElement type="firstHeaderCell" dxfId="2771"/>
      <tableStyleElement type="lastHeaderCell" dxfId="2770"/>
      <tableStyleElement type="firstTotalCell" dxfId="2769"/>
      <tableStyleElement type="lastTotalCell" dxfId="2768"/>
    </tableStyle>
    <tableStyle name="Tableau des absences des employés 4" pivot="0" count="13">
      <tableStyleElement type="wholeTable" dxfId="2767"/>
      <tableStyleElement type="headerRow" dxfId="2766"/>
      <tableStyleElement type="totalRow" dxfId="2765"/>
      <tableStyleElement type="firstColumn" dxfId="2764"/>
      <tableStyleElement type="lastColumn" dxfId="2763"/>
      <tableStyleElement type="firstRowStripe" dxfId="2762"/>
      <tableStyleElement type="secondRowStripe" dxfId="2761"/>
      <tableStyleElement type="firstColumnStripe" dxfId="2760"/>
      <tableStyleElement type="secondColumnStripe" dxfId="2759"/>
      <tableStyleElement type="firstHeaderCell" dxfId="2758"/>
      <tableStyleElement type="lastHeaderCell" dxfId="2757"/>
      <tableStyleElement type="firstTotalCell" dxfId="2756"/>
      <tableStyleElement type="lastTotalCell" dxfId="275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104775</xdr:colOff>
          <xdr:row>4</xdr:row>
          <xdr:rowOff>114300</xdr:rowOff>
        </xdr:from>
        <xdr:to>
          <xdr:col>18</xdr:col>
          <xdr:colOff>85725</xdr:colOff>
          <xdr:row>8</xdr:row>
          <xdr:rowOff>9525</xdr:rowOff>
        </xdr:to>
        <xdr:sp macro="" textlink="">
          <xdr:nvSpPr>
            <xdr:cNvPr id="22530" name="Button 2" hidden="1">
              <a:extLst>
                <a:ext uri="{63B3BB69-23CF-44E3-9099-C40C66FF867C}">
                  <a14:compatExt spid="_x0000_s2253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800" b="1" i="0" u="none" strike="noStrike" baseline="0">
                  <a:solidFill>
                    <a:srgbClr val="000080"/>
                  </a:solidFill>
                  <a:latin typeface="Century Gothic"/>
                </a:rPr>
                <a:t>Confirmation d'acceptation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95250</xdr:colOff>
          <xdr:row>7</xdr:row>
          <xdr:rowOff>104775</xdr:rowOff>
        </xdr:from>
        <xdr:to>
          <xdr:col>6</xdr:col>
          <xdr:colOff>609600</xdr:colOff>
          <xdr:row>10</xdr:row>
          <xdr:rowOff>28575</xdr:rowOff>
        </xdr:to>
        <xdr:sp macro="" textlink="">
          <xdr:nvSpPr>
            <xdr:cNvPr id="21507" name="Button 3" hidden="1">
              <a:extLst>
                <a:ext uri="{63B3BB69-23CF-44E3-9099-C40C66FF867C}">
                  <a14:compatExt spid="_x0000_s21507"/>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800" b="1" i="0" u="none" strike="noStrike" baseline="0">
                  <a:solidFill>
                    <a:srgbClr val="000080"/>
                  </a:solidFill>
                  <a:latin typeface="Century Gothic"/>
                </a:rPr>
                <a:t>Nouveau Congé</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landa%20Mechielsen\Desktop\Calendrier%20des%20absenc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Noms des employés"/>
      <sheetName val="Feuil1"/>
    </sheetNames>
    <sheetDataSet>
      <sheetData sheetId="0">
        <row r="2">
          <cell r="C2" t="str">
            <v>C</v>
          </cell>
          <cell r="F2" t="str">
            <v>P</v>
          </cell>
          <cell r="J2" t="str">
            <v>M</v>
          </cell>
        </row>
        <row r="4">
          <cell r="AH4">
            <v>2018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ables/table1.xml><?xml version="1.0" encoding="utf-8"?>
<table xmlns="http://schemas.openxmlformats.org/spreadsheetml/2006/main" id="6" name="Février" displayName="Février" ref="A18:AF24" totalsRowShown="0" headerRowDxfId="2336" dataDxfId="2335" totalsRowDxfId="2334" totalsRowBorderDxfId="2333">
  <tableColumns count="32">
    <tableColumn id="1" name="Nom de l’employé" dataDxfId="2332" totalsRowDxfId="2331" dataCellStyle="Employé"/>
    <tableColumn id="2" name="1" dataDxfId="2330" totalsRowDxfId="2329"/>
    <tableColumn id="3" name="2" dataDxfId="2328" totalsRowDxfId="2327"/>
    <tableColumn id="4" name="3" dataDxfId="2326" totalsRowDxfId="2325"/>
    <tableColumn id="5" name="4" dataDxfId="2324" totalsRowDxfId="2323"/>
    <tableColumn id="6" name="5" dataDxfId="2322" totalsRowDxfId="2321"/>
    <tableColumn id="7" name="6" dataDxfId="2320" totalsRowDxfId="2319"/>
    <tableColumn id="8" name="7" dataDxfId="2318" totalsRowDxfId="2317"/>
    <tableColumn id="9" name="8" dataDxfId="2316" totalsRowDxfId="2315"/>
    <tableColumn id="10" name="9" dataDxfId="2314" totalsRowDxfId="2313"/>
    <tableColumn id="11" name="10" dataDxfId="2312" totalsRowDxfId="2311"/>
    <tableColumn id="12" name="11" dataDxfId="2310" totalsRowDxfId="2309"/>
    <tableColumn id="13" name="12" dataDxfId="2308" totalsRowDxfId="2307"/>
    <tableColumn id="14" name="13" dataDxfId="2306" totalsRowDxfId="2305"/>
    <tableColumn id="15" name="14" dataDxfId="2304" totalsRowDxfId="2303"/>
    <tableColumn id="16" name="15" dataDxfId="2302" totalsRowDxfId="2301"/>
    <tableColumn id="17" name="16" dataDxfId="2300" totalsRowDxfId="2299"/>
    <tableColumn id="18" name="17" dataDxfId="2298" totalsRowDxfId="2297"/>
    <tableColumn id="19" name="18" dataDxfId="2296" totalsRowDxfId="2295"/>
    <tableColumn id="20" name="19" dataDxfId="2294" totalsRowDxfId="2293"/>
    <tableColumn id="21" name="20" dataDxfId="2292" totalsRowDxfId="2291"/>
    <tableColumn id="22" name="21" dataDxfId="2290" totalsRowDxfId="2289"/>
    <tableColumn id="23" name="22" dataDxfId="2288" totalsRowDxfId="2287"/>
    <tableColumn id="24" name="23" dataDxfId="2286" totalsRowDxfId="2285"/>
    <tableColumn id="25" name="24" dataDxfId="2284" totalsRowDxfId="2283"/>
    <tableColumn id="26" name="25" dataDxfId="2282" totalsRowDxfId="2281"/>
    <tableColumn id="27" name="26" dataDxfId="2280" totalsRowDxfId="2279"/>
    <tableColumn id="28" name="27" dataDxfId="2278" totalsRowDxfId="2277"/>
    <tableColumn id="29" name="28" dataDxfId="2276" totalsRowDxfId="2275"/>
    <tableColumn id="30" name="29" dataDxfId="2274" totalsRowDxfId="2273"/>
    <tableColumn id="31" name="30" dataDxfId="2272" totalsRowDxfId="2271"/>
    <tableColumn id="32" name="31" dataDxfId="2270" totalsRowDxfId="2269"/>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9" name="Janvier" displayName="Janvier" ref="A6:AF13" totalsRowCount="1" headerRowDxfId="2268" dataDxfId="2266" totalsRowDxfId="2264" headerRowBorderDxfId="2267" tableBorderDxfId="2265" totalsRowBorderDxfId="2263">
  <tableColumns count="32">
    <tableColumn id="1" name="Nom de l’employé" totalsRowFunction="custom" dataDxfId="2262" totalsRowDxfId="2261" dataCellStyle="Employé">
      <totalsRowFormula>RIGHT(CELL("nomfichier",A1),4)</totalsRowFormula>
    </tableColumn>
    <tableColumn id="2" name="1" dataDxfId="2260" totalsRowDxfId="2259"/>
    <tableColumn id="3" name="2" dataDxfId="2258" totalsRowDxfId="2257"/>
    <tableColumn id="4" name="3" dataDxfId="2256" totalsRowDxfId="2255"/>
    <tableColumn id="5" name="4" dataDxfId="2254" totalsRowDxfId="2253"/>
    <tableColumn id="6" name="5" dataDxfId="2252" totalsRowDxfId="2251"/>
    <tableColumn id="7" name="6" dataDxfId="2250" totalsRowDxfId="2249"/>
    <tableColumn id="8" name="7" dataDxfId="2248" totalsRowDxfId="2247"/>
    <tableColumn id="9" name="8" dataDxfId="2246" totalsRowDxfId="2245"/>
    <tableColumn id="10" name="9" dataDxfId="2244" totalsRowDxfId="2243"/>
    <tableColumn id="11" name="10" dataDxfId="2242" totalsRowDxfId="2241"/>
    <tableColumn id="12" name="11" dataDxfId="2240" totalsRowDxfId="2239"/>
    <tableColumn id="13" name="12" dataDxfId="2238" totalsRowDxfId="2237"/>
    <tableColumn id="14" name="13" dataDxfId="2236" totalsRowDxfId="2235"/>
    <tableColumn id="15" name="14" dataDxfId="2234" totalsRowDxfId="2233"/>
    <tableColumn id="16" name="15" dataDxfId="2232" totalsRowDxfId="2231"/>
    <tableColumn id="17" name="16" dataDxfId="2230" totalsRowDxfId="2229"/>
    <tableColumn id="18" name="17" dataDxfId="2228" totalsRowDxfId="2227"/>
    <tableColumn id="19" name="18" dataDxfId="2226" totalsRowDxfId="2225"/>
    <tableColumn id="20" name="19" dataDxfId="2224" totalsRowDxfId="2223"/>
    <tableColumn id="21" name="20" dataDxfId="2222" totalsRowDxfId="2221"/>
    <tableColumn id="22" name="21" dataDxfId="2220" totalsRowDxfId="2219"/>
    <tableColumn id="23" name="22" dataDxfId="2218" totalsRowDxfId="2217"/>
    <tableColumn id="24" name="23" dataDxfId="2216" totalsRowDxfId="2215"/>
    <tableColumn id="25" name="24" dataDxfId="2214" totalsRowDxfId="2213"/>
    <tableColumn id="26" name="25" dataDxfId="2212" totalsRowDxfId="2211"/>
    <tableColumn id="27" name="26" dataDxfId="2210" totalsRowDxfId="2209"/>
    <tableColumn id="28" name="27" dataDxfId="2208" totalsRowDxfId="2207"/>
    <tableColumn id="29" name="28" dataDxfId="2206" totalsRowDxfId="2205"/>
    <tableColumn id="30" name="29" dataDxfId="2204" totalsRowDxfId="2203"/>
    <tableColumn id="31" name="30" dataDxfId="2202" totalsRowDxfId="2201"/>
    <tableColumn id="32" name="31" dataDxfId="2200" totalsRowDxfId="2199"/>
  </tableColumns>
  <tableStyleInfo name="Tableau des absences des employés 4"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10" name="Mars" displayName="Mars" ref="A30:AF36" totalsRowShown="0" headerRowDxfId="2198" dataDxfId="2197" totalsRowDxfId="2195" tableBorderDxfId="2196" totalsRowBorderDxfId="2194">
  <tableColumns count="32">
    <tableColumn id="1" name="Nom de l’employé" dataDxfId="2193" totalsRowDxfId="2192" dataCellStyle="Employé"/>
    <tableColumn id="2" name="1" dataDxfId="2191" totalsRowDxfId="2190"/>
    <tableColumn id="3" name="2" dataDxfId="2189" totalsRowDxfId="2188"/>
    <tableColumn id="4" name="3" dataDxfId="2187" totalsRowDxfId="2186"/>
    <tableColumn id="5" name="4" dataDxfId="2185" totalsRowDxfId="2184"/>
    <tableColumn id="6" name="5" dataDxfId="2183" totalsRowDxfId="2182"/>
    <tableColumn id="7" name="6" dataDxfId="2181" totalsRowDxfId="2180"/>
    <tableColumn id="8" name="7" dataDxfId="2179" totalsRowDxfId="2178"/>
    <tableColumn id="9" name="8" dataDxfId="2177" totalsRowDxfId="2176"/>
    <tableColumn id="10" name="9" dataDxfId="2175" totalsRowDxfId="2174"/>
    <tableColumn id="11" name="10" dataDxfId="2173" totalsRowDxfId="2172"/>
    <tableColumn id="12" name="11" dataDxfId="2171" totalsRowDxfId="2170"/>
    <tableColumn id="13" name="12" dataDxfId="2169" totalsRowDxfId="2168"/>
    <tableColumn id="14" name="13" dataDxfId="2167" totalsRowDxfId="2166"/>
    <tableColumn id="15" name="14" dataDxfId="2165" totalsRowDxfId="2164"/>
    <tableColumn id="16" name="15" dataDxfId="2163" totalsRowDxfId="2162"/>
    <tableColumn id="17" name="16" dataDxfId="2161" totalsRowDxfId="2160"/>
    <tableColumn id="18" name="17" dataDxfId="2159" totalsRowDxfId="2158"/>
    <tableColumn id="19" name="18" dataDxfId="2157" totalsRowDxfId="2156"/>
    <tableColumn id="20" name="19" dataDxfId="2155" totalsRowDxfId="2154"/>
    <tableColumn id="21" name="20" dataDxfId="2153" totalsRowDxfId="2152"/>
    <tableColumn id="22" name="21" dataDxfId="2151" totalsRowDxfId="2150"/>
    <tableColumn id="23" name="22" dataDxfId="2149" totalsRowDxfId="2148"/>
    <tableColumn id="24" name="23" dataDxfId="2147" totalsRowDxfId="2146"/>
    <tableColumn id="25" name="24" dataDxfId="2145" totalsRowDxfId="2144"/>
    <tableColumn id="26" name="25" dataDxfId="2143" totalsRowDxfId="2142"/>
    <tableColumn id="27" name="26" dataDxfId="2141" totalsRowDxfId="2140"/>
    <tableColumn id="28" name="27" dataDxfId="2139" totalsRowDxfId="2138"/>
    <tableColumn id="29" name="28" dataDxfId="2137" totalsRowDxfId="2136"/>
    <tableColumn id="30" name="29" dataDxfId="2135" totalsRowDxfId="2134"/>
    <tableColumn id="31" name="30" dataDxfId="2133" totalsRowDxfId="2132"/>
    <tableColumn id="32" name="31" dataDxfId="2131" totalsRowDxfId="2130"/>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id="11" name="Avril" displayName="Avril" ref="A42:AF48" totalsRowShown="0" headerRowDxfId="2129" dataDxfId="2128" totalsRowDxfId="2126" tableBorderDxfId="2127" totalsRowBorderDxfId="2125">
  <tableColumns count="32">
    <tableColumn id="1" name="Nom de l’employé" dataDxfId="2124" totalsRowDxfId="2123" dataCellStyle="Employé"/>
    <tableColumn id="2" name="1" dataDxfId="2122" totalsRowDxfId="2121"/>
    <tableColumn id="3" name="2" dataDxfId="2120" totalsRowDxfId="2119"/>
    <tableColumn id="4" name="3" dataDxfId="2118" totalsRowDxfId="2117"/>
    <tableColumn id="5" name="4" dataDxfId="2116" totalsRowDxfId="2115"/>
    <tableColumn id="6" name="5" dataDxfId="2114" totalsRowDxfId="2113"/>
    <tableColumn id="7" name="6" dataDxfId="2112" totalsRowDxfId="2111"/>
    <tableColumn id="8" name="7" dataDxfId="2110" totalsRowDxfId="2109"/>
    <tableColumn id="9" name="8" dataDxfId="2108" totalsRowDxfId="2107"/>
    <tableColumn id="10" name="9" dataDxfId="2106" totalsRowDxfId="2105"/>
    <tableColumn id="11" name="10" dataDxfId="2104" totalsRowDxfId="2103"/>
    <tableColumn id="12" name="11" dataDxfId="2102" totalsRowDxfId="2101"/>
    <tableColumn id="13" name="12" dataDxfId="2100" totalsRowDxfId="2099"/>
    <tableColumn id="14" name="13" dataDxfId="2098" totalsRowDxfId="2097"/>
    <tableColumn id="15" name="14" dataDxfId="2096" totalsRowDxfId="2095"/>
    <tableColumn id="16" name="15" dataDxfId="2094" totalsRowDxfId="2093"/>
    <tableColumn id="17" name="16" dataDxfId="2092" totalsRowDxfId="2091"/>
    <tableColumn id="18" name="17" dataDxfId="2090" totalsRowDxfId="2089"/>
    <tableColumn id="19" name="18" dataDxfId="2088" totalsRowDxfId="2087"/>
    <tableColumn id="20" name="19" dataDxfId="2086" totalsRowDxfId="2085"/>
    <tableColumn id="21" name="20" dataDxfId="2084" totalsRowDxfId="2083"/>
    <tableColumn id="22" name="21" dataDxfId="2082" totalsRowDxfId="2081"/>
    <tableColumn id="23" name="22" dataDxfId="2080" totalsRowDxfId="2079"/>
    <tableColumn id="24" name="23" dataDxfId="2078" totalsRowDxfId="2077"/>
    <tableColumn id="25" name="24" dataDxfId="2076" totalsRowDxfId="2075"/>
    <tableColumn id="26" name="25" dataDxfId="2074" totalsRowDxfId="2073"/>
    <tableColumn id="27" name="26" dataDxfId="2072" totalsRowDxfId="2071"/>
    <tableColumn id="28" name="27" dataDxfId="2070" totalsRowDxfId="2069"/>
    <tableColumn id="29" name="28" dataDxfId="2068" totalsRowDxfId="2067"/>
    <tableColumn id="30" name="29" dataDxfId="2066" totalsRowDxfId="2065"/>
    <tableColumn id="31" name="30" dataDxfId="2064" totalsRowDxfId="2063"/>
    <tableColumn id="32" name="31" dataDxfId="2062" totalsRowDxfId="2061"/>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id="12" name="Mai" displayName="Mai" ref="A54:AF60" totalsRowShown="0" headerRowDxfId="2060" dataDxfId="2059" totalsRowDxfId="2057" tableBorderDxfId="2058" totalsRowBorderDxfId="2056">
  <tableColumns count="32">
    <tableColumn id="1" name="Nom de l’employé" dataDxfId="2055" totalsRowDxfId="2054" dataCellStyle="Employé"/>
    <tableColumn id="2" name="1" dataDxfId="2053" totalsRowDxfId="2052"/>
    <tableColumn id="3" name="2" dataDxfId="2051" totalsRowDxfId="2050"/>
    <tableColumn id="4" name="3" dataDxfId="2049" totalsRowDxfId="2048"/>
    <tableColumn id="5" name="4" dataDxfId="2047" totalsRowDxfId="2046"/>
    <tableColumn id="6" name="5" dataDxfId="2045" totalsRowDxfId="2044"/>
    <tableColumn id="7" name="6" dataDxfId="2043" totalsRowDxfId="2042"/>
    <tableColumn id="8" name="7" dataDxfId="2041" totalsRowDxfId="2040"/>
    <tableColumn id="9" name="8" dataDxfId="2039" totalsRowDxfId="2038"/>
    <tableColumn id="10" name="9" dataDxfId="2037" totalsRowDxfId="2036"/>
    <tableColumn id="11" name="10" dataDxfId="2035" totalsRowDxfId="2034"/>
    <tableColumn id="12" name="11" dataDxfId="2033" totalsRowDxfId="2032"/>
    <tableColumn id="13" name="12" dataDxfId="2031" totalsRowDxfId="2030"/>
    <tableColumn id="14" name="13" dataDxfId="2029" totalsRowDxfId="2028"/>
    <tableColumn id="15" name="14" dataDxfId="2027" totalsRowDxfId="2026"/>
    <tableColumn id="16" name="15" dataDxfId="2025" totalsRowDxfId="2024"/>
    <tableColumn id="17" name="16" dataDxfId="2023" totalsRowDxfId="2022"/>
    <tableColumn id="18" name="17" dataDxfId="2021" totalsRowDxfId="2020"/>
    <tableColumn id="19" name="18" dataDxfId="2019" totalsRowDxfId="2018"/>
    <tableColumn id="20" name="19" dataDxfId="2017" totalsRowDxfId="2016"/>
    <tableColumn id="21" name="20" dataDxfId="2015" totalsRowDxfId="2014"/>
    <tableColumn id="22" name="21" dataDxfId="2013" totalsRowDxfId="2012"/>
    <tableColumn id="23" name="22" dataDxfId="2011" totalsRowDxfId="2010"/>
    <tableColumn id="24" name="23" dataDxfId="2009" totalsRowDxfId="2008"/>
    <tableColumn id="25" name="24" dataDxfId="2007" totalsRowDxfId="2006"/>
    <tableColumn id="26" name="25" dataDxfId="2005" totalsRowDxfId="2004"/>
    <tableColumn id="27" name="26" dataDxfId="2003" totalsRowDxfId="2002"/>
    <tableColumn id="28" name="27" dataDxfId="2001" totalsRowDxfId="2000"/>
    <tableColumn id="29" name="28" dataDxfId="1999" totalsRowDxfId="1998"/>
    <tableColumn id="30" name="29" dataDxfId="1997" totalsRowDxfId="1996"/>
    <tableColumn id="31" name="30" dataDxfId="1995" totalsRowDxfId="1994"/>
    <tableColumn id="32" name="31" dataDxfId="1993" totalsRowDxfId="1992"/>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id="1" name="Juin" displayName="Juin" ref="A66:AF72" totalsRowShown="0" headerRowDxfId="1991" dataDxfId="1990" totalsRowDxfId="1988" tableBorderDxfId="1989" totalsRowBorderDxfId="1987">
  <tableColumns count="32">
    <tableColumn id="1" name="Nom de l’employé" dataDxfId="1986" totalsRowDxfId="1985" dataCellStyle="Employé"/>
    <tableColumn id="2" name="1" dataDxfId="1984" totalsRowDxfId="1983"/>
    <tableColumn id="3" name="2" dataDxfId="1982" totalsRowDxfId="1981"/>
    <tableColumn id="4" name="3" dataDxfId="1980" totalsRowDxfId="1979"/>
    <tableColumn id="5" name="4" dataDxfId="1978" totalsRowDxfId="1977"/>
    <tableColumn id="6" name="5" dataDxfId="1976" totalsRowDxfId="1975"/>
    <tableColumn id="7" name="6" dataDxfId="1974" totalsRowDxfId="1973"/>
    <tableColumn id="8" name="7" dataDxfId="1972" totalsRowDxfId="1971"/>
    <tableColumn id="9" name="8" dataDxfId="1970" totalsRowDxfId="1969"/>
    <tableColumn id="10" name="9" dataDxfId="1968" totalsRowDxfId="1967"/>
    <tableColumn id="11" name="10" dataDxfId="1966" totalsRowDxfId="1965"/>
    <tableColumn id="12" name="11" dataDxfId="1964" totalsRowDxfId="1963"/>
    <tableColumn id="13" name="12" dataDxfId="1962" totalsRowDxfId="1961"/>
    <tableColumn id="14" name="13" dataDxfId="1960" totalsRowDxfId="1959"/>
    <tableColumn id="15" name="14" dataDxfId="1958" totalsRowDxfId="1957"/>
    <tableColumn id="16" name="15" dataDxfId="1956" totalsRowDxfId="1955"/>
    <tableColumn id="17" name="16" dataDxfId="1954" totalsRowDxfId="1953"/>
    <tableColumn id="18" name="17" dataDxfId="1952" totalsRowDxfId="1951"/>
    <tableColumn id="19" name="18" dataDxfId="1950" totalsRowDxfId="1949"/>
    <tableColumn id="20" name="19" dataDxfId="1948" totalsRowDxfId="1947"/>
    <tableColumn id="21" name="20" dataDxfId="1946" totalsRowDxfId="1945"/>
    <tableColumn id="22" name="21" dataDxfId="1944" totalsRowDxfId="1943"/>
    <tableColumn id="23" name="22" dataDxfId="1942" totalsRowDxfId="1941"/>
    <tableColumn id="24" name="23" dataDxfId="1940" totalsRowDxfId="1939"/>
    <tableColumn id="25" name="24" dataDxfId="1938" totalsRowDxfId="1937"/>
    <tableColumn id="26" name="25" dataDxfId="1936" totalsRowDxfId="1935"/>
    <tableColumn id="27" name="26" dataDxfId="1934" totalsRowDxfId="1933"/>
    <tableColumn id="28" name="27" dataDxfId="1932" totalsRowDxfId="1931"/>
    <tableColumn id="29" name="28" dataDxfId="1930" totalsRowDxfId="1929"/>
    <tableColumn id="30" name="29" dataDxfId="1928" totalsRowDxfId="1927"/>
    <tableColumn id="31" name="30" dataDxfId="1926" totalsRowDxfId="1925"/>
    <tableColumn id="32" name="31" dataDxfId="1924" totalsRowDxfId="1923"/>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id="3" name="Juillet" displayName="Juillet" ref="A78:AF84" totalsRowShown="0" headerRowDxfId="1922" dataDxfId="1921" totalsRowDxfId="1919" tableBorderDxfId="1920" totalsRowBorderDxfId="1918">
  <tableColumns count="32">
    <tableColumn id="1" name="Nom de l’employé" dataDxfId="1917" totalsRowDxfId="1916" dataCellStyle="Employé"/>
    <tableColumn id="2" name="1" dataDxfId="1915" totalsRowDxfId="1914"/>
    <tableColumn id="3" name="2" dataDxfId="1913" totalsRowDxfId="1912"/>
    <tableColumn id="4" name="3" dataDxfId="1911" totalsRowDxfId="1910"/>
    <tableColumn id="5" name="4" dataDxfId="1909" totalsRowDxfId="1908"/>
    <tableColumn id="6" name="5" dataDxfId="1907" totalsRowDxfId="1906"/>
    <tableColumn id="7" name="6" dataDxfId="1905" totalsRowDxfId="1904"/>
    <tableColumn id="8" name="7" dataDxfId="1903" totalsRowDxfId="1902"/>
    <tableColumn id="9" name="8" dataDxfId="1901" totalsRowDxfId="1900"/>
    <tableColumn id="10" name="9" dataDxfId="1899" totalsRowDxfId="1898"/>
    <tableColumn id="11" name="10" dataDxfId="1897" totalsRowDxfId="1896"/>
    <tableColumn id="12" name="11" dataDxfId="1895" totalsRowDxfId="1894"/>
    <tableColumn id="13" name="12" dataDxfId="1893" totalsRowDxfId="1892"/>
    <tableColumn id="14" name="13" dataDxfId="1891" totalsRowDxfId="1890"/>
    <tableColumn id="15" name="14" dataDxfId="1889" totalsRowDxfId="1888"/>
    <tableColumn id="16" name="15" dataDxfId="1887" totalsRowDxfId="1886"/>
    <tableColumn id="17" name="16" dataDxfId="1885" totalsRowDxfId="1884"/>
    <tableColumn id="18" name="17" dataDxfId="1883" totalsRowDxfId="1882"/>
    <tableColumn id="19" name="18" dataDxfId="1881" totalsRowDxfId="1880"/>
    <tableColumn id="20" name="19" dataDxfId="1879" totalsRowDxfId="1878"/>
    <tableColumn id="21" name="20" dataDxfId="1877" totalsRowDxfId="1876"/>
    <tableColumn id="22" name="21" dataDxfId="1875" totalsRowDxfId="1874"/>
    <tableColumn id="23" name="22" dataDxfId="1873" totalsRowDxfId="1872"/>
    <tableColumn id="24" name="23" dataDxfId="1871" totalsRowDxfId="1870"/>
    <tableColumn id="25" name="24" dataDxfId="1869" totalsRowDxfId="1868"/>
    <tableColumn id="26" name="25" dataDxfId="1867" totalsRowDxfId="1866"/>
    <tableColumn id="27" name="26" dataDxfId="1865" totalsRowDxfId="1864"/>
    <tableColumn id="28" name="27" dataDxfId="1863" totalsRowDxfId="1862"/>
    <tableColumn id="29" name="28" dataDxfId="1861" totalsRowDxfId="1860"/>
    <tableColumn id="30" name="29" dataDxfId="1859" totalsRowDxfId="1858"/>
    <tableColumn id="31" name="30" dataDxfId="1857" totalsRowDxfId="1856"/>
    <tableColumn id="32" name="31" dataDxfId="1855" totalsRowDxfId="1854"/>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id="4" name="Aout" displayName="Aout" ref="A90:AF96" totalsRowShown="0" headerRowDxfId="1853" dataDxfId="1852" totalsRowDxfId="1850" tableBorderDxfId="1851" totalsRowBorderDxfId="1849">
  <tableColumns count="32">
    <tableColumn id="1" name="Nom de l’employé" dataDxfId="1848" totalsRowDxfId="1847" dataCellStyle="Employé"/>
    <tableColumn id="2" name="1" dataDxfId="1846" totalsRowDxfId="1845"/>
    <tableColumn id="3" name="2" dataDxfId="1844" totalsRowDxfId="1843"/>
    <tableColumn id="4" name="3" dataDxfId="1842" totalsRowDxfId="1841"/>
    <tableColumn id="5" name="4" dataDxfId="1840" totalsRowDxfId="1839"/>
    <tableColumn id="6" name="5" dataDxfId="1838" totalsRowDxfId="1837"/>
    <tableColumn id="7" name="6" dataDxfId="1836" totalsRowDxfId="1835"/>
    <tableColumn id="8" name="7" dataDxfId="1834" totalsRowDxfId="1833"/>
    <tableColumn id="9" name="8" dataDxfId="1832" totalsRowDxfId="1831"/>
    <tableColumn id="10" name="9" dataDxfId="1830" totalsRowDxfId="1829"/>
    <tableColumn id="11" name="10" dataDxfId="1828" totalsRowDxfId="1827"/>
    <tableColumn id="12" name="11" dataDxfId="1826" totalsRowDxfId="1825"/>
    <tableColumn id="13" name="12" dataDxfId="1824" totalsRowDxfId="1823"/>
    <tableColumn id="14" name="13" dataDxfId="1822" totalsRowDxfId="1821"/>
    <tableColumn id="15" name="14" dataDxfId="1820" totalsRowDxfId="1819"/>
    <tableColumn id="16" name="15" dataDxfId="1818" totalsRowDxfId="1817"/>
    <tableColumn id="17" name="16" dataDxfId="1816" totalsRowDxfId="1815"/>
    <tableColumn id="18" name="17" dataDxfId="1814" totalsRowDxfId="1813"/>
    <tableColumn id="19" name="18" dataDxfId="1812" totalsRowDxfId="1811"/>
    <tableColumn id="20" name="19" dataDxfId="1810" totalsRowDxfId="1809"/>
    <tableColumn id="21" name="20" dataDxfId="1808" totalsRowDxfId="1807"/>
    <tableColumn id="22" name="21" dataDxfId="1806" totalsRowDxfId="1805"/>
    <tableColumn id="23" name="22" dataDxfId="1804" totalsRowDxfId="1803"/>
    <tableColumn id="24" name="23" dataDxfId="1802" totalsRowDxfId="1801"/>
    <tableColumn id="25" name="24" dataDxfId="1800" totalsRowDxfId="1799"/>
    <tableColumn id="26" name="25" dataDxfId="1798" totalsRowDxfId="1797"/>
    <tableColumn id="27" name="26" dataDxfId="1796" totalsRowDxfId="1795"/>
    <tableColumn id="28" name="27" dataDxfId="1794" totalsRowDxfId="1793"/>
    <tableColumn id="29" name="28" dataDxfId="1792" totalsRowDxfId="1791"/>
    <tableColumn id="30" name="29" dataDxfId="1790" totalsRowDxfId="1789"/>
    <tableColumn id="31" name="30" dataDxfId="1788" totalsRowDxfId="1787"/>
    <tableColumn id="32" name="31" dataDxfId="1786" totalsRowDxfId="1785"/>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id="5" name="Septembre" displayName="Septembre" ref="A102:AF108" totalsRowShown="0" headerRowDxfId="1784" dataDxfId="1783" totalsRowDxfId="1781" tableBorderDxfId="1782" totalsRowBorderDxfId="1780">
  <tableColumns count="32">
    <tableColumn id="1" name="Nom de l’employé" dataDxfId="1779" totalsRowDxfId="1778" dataCellStyle="Employé"/>
    <tableColumn id="2" name="1" dataDxfId="1777" totalsRowDxfId="1776"/>
    <tableColumn id="3" name="2" dataDxfId="1775" totalsRowDxfId="1774"/>
    <tableColumn id="4" name="3" dataDxfId="1773" totalsRowDxfId="1772"/>
    <tableColumn id="5" name="4" dataDxfId="1771" totalsRowDxfId="1770"/>
    <tableColumn id="6" name="5" dataDxfId="1769" totalsRowDxfId="1768"/>
    <tableColumn id="7" name="6" dataDxfId="1767" totalsRowDxfId="1766"/>
    <tableColumn id="8" name="7" dataDxfId="1765" totalsRowDxfId="1764"/>
    <tableColumn id="9" name="8" dataDxfId="1763" totalsRowDxfId="1762"/>
    <tableColumn id="10" name="9" dataDxfId="1761" totalsRowDxfId="1760"/>
    <tableColumn id="11" name="10" dataDxfId="1759" totalsRowDxfId="1758"/>
    <tableColumn id="12" name="11" dataDxfId="1757" totalsRowDxfId="1756"/>
    <tableColumn id="13" name="12" dataDxfId="1755" totalsRowDxfId="1754"/>
    <tableColumn id="14" name="13" dataDxfId="1753" totalsRowDxfId="1752"/>
    <tableColumn id="15" name="14" dataDxfId="1751" totalsRowDxfId="1750"/>
    <tableColumn id="16" name="15" dataDxfId="1749" totalsRowDxfId="1748"/>
    <tableColumn id="17" name="16" dataDxfId="1747" totalsRowDxfId="1746"/>
    <tableColumn id="18" name="17" dataDxfId="1745" totalsRowDxfId="1744"/>
    <tableColumn id="19" name="18" dataDxfId="1743" totalsRowDxfId="1742"/>
    <tableColumn id="20" name="19" dataDxfId="1741" totalsRowDxfId="1740"/>
    <tableColumn id="21" name="20" dataDxfId="1739" totalsRowDxfId="1738"/>
    <tableColumn id="22" name="21" dataDxfId="1737" totalsRowDxfId="1736"/>
    <tableColumn id="23" name="22" dataDxfId="1735" totalsRowDxfId="1734"/>
    <tableColumn id="24" name="23" dataDxfId="1733" totalsRowDxfId="1732"/>
    <tableColumn id="25" name="24" dataDxfId="1731" totalsRowDxfId="1730"/>
    <tableColumn id="26" name="25" dataDxfId="1729" totalsRowDxfId="1728"/>
    <tableColumn id="27" name="26" dataDxfId="1727" totalsRowDxfId="1726"/>
    <tableColumn id="28" name="27" dataDxfId="1725" totalsRowDxfId="1724"/>
    <tableColumn id="29" name="28" dataDxfId="1723" totalsRowDxfId="1722"/>
    <tableColumn id="30" name="29" dataDxfId="1721" totalsRowDxfId="1720"/>
    <tableColumn id="31" name="30" dataDxfId="1719" totalsRowDxfId="1718"/>
    <tableColumn id="32" name="31" dataDxfId="1717" totalsRowDxfId="1716"/>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id="7" name="Octobre" displayName="Octobre" ref="A114:AF120" totalsRowShown="0" headerRowDxfId="1715" dataDxfId="1714" totalsRowDxfId="1712" tableBorderDxfId="1713" totalsRowBorderDxfId="1711">
  <tableColumns count="32">
    <tableColumn id="1" name="Nom de l’employé" dataDxfId="1710" totalsRowDxfId="1709" dataCellStyle="Employé"/>
    <tableColumn id="2" name="1" dataDxfId="1708" totalsRowDxfId="1707"/>
    <tableColumn id="3" name="2" dataDxfId="1706" totalsRowDxfId="1705"/>
    <tableColumn id="4" name="3" dataDxfId="1704" totalsRowDxfId="1703"/>
    <tableColumn id="5" name="4" dataDxfId="1702" totalsRowDxfId="1701"/>
    <tableColumn id="6" name="5" dataDxfId="1700" totalsRowDxfId="1699"/>
    <tableColumn id="7" name="6" dataDxfId="1698" totalsRowDxfId="1697"/>
    <tableColumn id="8" name="7" dataDxfId="1696" totalsRowDxfId="1695"/>
    <tableColumn id="9" name="8" dataDxfId="1694" totalsRowDxfId="1693"/>
    <tableColumn id="10" name="9" dataDxfId="1692" totalsRowDxfId="1691"/>
    <tableColumn id="11" name="10" dataDxfId="1690" totalsRowDxfId="1689"/>
    <tableColumn id="12" name="11" dataDxfId="1688" totalsRowDxfId="1687"/>
    <tableColumn id="13" name="12" dataDxfId="1686" totalsRowDxfId="1685"/>
    <tableColumn id="14" name="13" dataDxfId="1684" totalsRowDxfId="1683"/>
    <tableColumn id="15" name="14" dataDxfId="1682" totalsRowDxfId="1681"/>
    <tableColumn id="16" name="15" dataDxfId="1680" totalsRowDxfId="1679"/>
    <tableColumn id="17" name="16" dataDxfId="1678" totalsRowDxfId="1677"/>
    <tableColumn id="18" name="17" dataDxfId="1676" totalsRowDxfId="1675"/>
    <tableColumn id="19" name="18" dataDxfId="1674" totalsRowDxfId="1673"/>
    <tableColumn id="20" name="19" dataDxfId="1672" totalsRowDxfId="1671"/>
    <tableColumn id="21" name="20" dataDxfId="1670" totalsRowDxfId="1669"/>
    <tableColumn id="22" name="21" dataDxfId="1668" totalsRowDxfId="1667"/>
    <tableColumn id="23" name="22" dataDxfId="1666" totalsRowDxfId="1665"/>
    <tableColumn id="24" name="23" dataDxfId="1664" totalsRowDxfId="1663"/>
    <tableColumn id="25" name="24" dataDxfId="1662" totalsRowDxfId="1661"/>
    <tableColumn id="26" name="25" dataDxfId="1660" totalsRowDxfId="1659"/>
    <tableColumn id="27" name="26" dataDxfId="1658" totalsRowDxfId="1657"/>
    <tableColumn id="28" name="27" dataDxfId="1656" totalsRowDxfId="1655"/>
    <tableColumn id="29" name="28" dataDxfId="1654" totalsRowDxfId="1653"/>
    <tableColumn id="30" name="29" dataDxfId="1652" totalsRowDxfId="1651"/>
    <tableColumn id="31" name="30" dataDxfId="1650" totalsRowDxfId="1649"/>
    <tableColumn id="32" name="31" dataDxfId="1648" totalsRowDxfId="1647"/>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id="8" name="Novembre" displayName="Novembre" ref="A126:AF132" totalsRowShown="0" headerRowDxfId="1646" dataDxfId="1645" totalsRowDxfId="1643" tableBorderDxfId="1644" totalsRowBorderDxfId="1642">
  <tableColumns count="32">
    <tableColumn id="1" name="Nom de l’employé" dataDxfId="1641" totalsRowDxfId="1640" dataCellStyle="Employé"/>
    <tableColumn id="2" name="1" dataDxfId="1639" totalsRowDxfId="1638"/>
    <tableColumn id="3" name="2" dataDxfId="1637" totalsRowDxfId="1636"/>
    <tableColumn id="4" name="3" dataDxfId="1635" totalsRowDxfId="1634"/>
    <tableColumn id="5" name="4" dataDxfId="1633" totalsRowDxfId="1632"/>
    <tableColumn id="6" name="5" dataDxfId="1631" totalsRowDxfId="1630"/>
    <tableColumn id="7" name="6" dataDxfId="1629" totalsRowDxfId="1628"/>
    <tableColumn id="8" name="7" dataDxfId="1627" totalsRowDxfId="1626"/>
    <tableColumn id="9" name="8" dataDxfId="1625" totalsRowDxfId="1624"/>
    <tableColumn id="10" name="9" dataDxfId="1623" totalsRowDxfId="1622"/>
    <tableColumn id="11" name="10" dataDxfId="1621" totalsRowDxfId="1620"/>
    <tableColumn id="12" name="11" dataDxfId="1619" totalsRowDxfId="1618"/>
    <tableColumn id="13" name="12" dataDxfId="1617" totalsRowDxfId="1616"/>
    <tableColumn id="14" name="13" dataDxfId="1615" totalsRowDxfId="1614"/>
    <tableColumn id="15" name="14" dataDxfId="1613" totalsRowDxfId="1612"/>
    <tableColumn id="16" name="15" dataDxfId="1611" totalsRowDxfId="1610"/>
    <tableColumn id="17" name="16" dataDxfId="1609" totalsRowDxfId="1608"/>
    <tableColumn id="18" name="17" dataDxfId="1607" totalsRowDxfId="1606"/>
    <tableColumn id="19" name="18" dataDxfId="1605" totalsRowDxfId="1604"/>
    <tableColumn id="20" name="19" dataDxfId="1603" totalsRowDxfId="1602"/>
    <tableColumn id="21" name="20" dataDxfId="1601" totalsRowDxfId="1600"/>
    <tableColumn id="22" name="21" dataDxfId="1599" totalsRowDxfId="1598"/>
    <tableColumn id="23" name="22" dataDxfId="1597" totalsRowDxfId="1596"/>
    <tableColumn id="24" name="23" dataDxfId="1595" totalsRowDxfId="1594"/>
    <tableColumn id="25" name="24" dataDxfId="1593" totalsRowDxfId="1592"/>
    <tableColumn id="26" name="25" dataDxfId="1591" totalsRowDxfId="1590"/>
    <tableColumn id="27" name="26" dataDxfId="1589" totalsRowDxfId="1588"/>
    <tableColumn id="28" name="27" dataDxfId="1587" totalsRowDxfId="1586"/>
    <tableColumn id="29" name="28" dataDxfId="1585" totalsRowDxfId="1584"/>
    <tableColumn id="30" name="29" dataDxfId="1583" totalsRowDxfId="1582"/>
    <tableColumn id="31" name="30" dataDxfId="1581" totalsRowDxfId="1580"/>
    <tableColumn id="32" name="31" dataDxfId="1579" totalsRowDxfId="1578"/>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id="13" name="Décembre" displayName="Décembre" ref="A138:AF144" totalsRowShown="0" headerRowDxfId="1577" dataDxfId="1576" totalsRowDxfId="1574" tableBorderDxfId="1575" totalsRowBorderDxfId="1573">
  <tableColumns count="32">
    <tableColumn id="1" name="Nom de l’employé" dataDxfId="1572" totalsRowDxfId="1571" dataCellStyle="Employé"/>
    <tableColumn id="2" name="1" dataDxfId="1570" totalsRowDxfId="1569"/>
    <tableColumn id="3" name="2" dataDxfId="1568" totalsRowDxfId="1567"/>
    <tableColumn id="4" name="3" dataDxfId="1566" totalsRowDxfId="1565"/>
    <tableColumn id="5" name="4" dataDxfId="1564" totalsRowDxfId="1563"/>
    <tableColumn id="6" name="5" dataDxfId="1562" totalsRowDxfId="1561"/>
    <tableColumn id="7" name="6" dataDxfId="1560" totalsRowDxfId="1559"/>
    <tableColumn id="8" name="7" dataDxfId="1558" totalsRowDxfId="1557"/>
    <tableColumn id="9" name="8" dataDxfId="1556" totalsRowDxfId="1555"/>
    <tableColumn id="10" name="9" dataDxfId="1554" totalsRowDxfId="1553"/>
    <tableColumn id="11" name="10" dataDxfId="1552" totalsRowDxfId="1551"/>
    <tableColumn id="12" name="11" dataDxfId="1550" totalsRowDxfId="1549"/>
    <tableColumn id="13" name="12" dataDxfId="1548" totalsRowDxfId="1547"/>
    <tableColumn id="14" name="13" dataDxfId="1546" totalsRowDxfId="1545"/>
    <tableColumn id="15" name="14" dataDxfId="1544" totalsRowDxfId="1543"/>
    <tableColumn id="16" name="15" dataDxfId="1542" totalsRowDxfId="1541"/>
    <tableColumn id="17" name="16" dataDxfId="1540" totalsRowDxfId="1539"/>
    <tableColumn id="18" name="17" dataDxfId="1538" totalsRowDxfId="1537"/>
    <tableColumn id="19" name="18" dataDxfId="1536" totalsRowDxfId="1535"/>
    <tableColumn id="20" name="19" dataDxfId="1534" totalsRowDxfId="1533"/>
    <tableColumn id="21" name="20" dataDxfId="1532" totalsRowDxfId="1531"/>
    <tableColumn id="22" name="21" dataDxfId="1530" totalsRowDxfId="1529"/>
    <tableColumn id="23" name="22" dataDxfId="1528" totalsRowDxfId="1527"/>
    <tableColumn id="24" name="23" dataDxfId="1526" totalsRowDxfId="1525"/>
    <tableColumn id="25" name="24" dataDxfId="1524" totalsRowDxfId="1523"/>
    <tableColumn id="26" name="25" dataDxfId="1522" totalsRowDxfId="1521"/>
    <tableColumn id="27" name="26" dataDxfId="1520" totalsRowDxfId="1519"/>
    <tableColumn id="28" name="27" dataDxfId="1518" totalsRowDxfId="1517"/>
    <tableColumn id="29" name="28" dataDxfId="1516" totalsRowDxfId="1515"/>
    <tableColumn id="30" name="29" dataDxfId="1514" totalsRowDxfId="1513"/>
    <tableColumn id="31" name="30" dataDxfId="1512" totalsRowDxfId="1511"/>
    <tableColumn id="32" name="31" dataDxfId="1510" totalsRowDxfId="1509"/>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3.xml><?xml version="1.0" encoding="utf-8"?>
<table xmlns="http://schemas.openxmlformats.org/spreadsheetml/2006/main" id="32" name="_1" displayName="_1" ref="AH6:AW12" totalsRowShown="0" dataDxfId="1508" tableBorderDxfId="1507">
  <tableColumns count="16">
    <tableColumn id="1" name="Nom de l’employé" dataDxfId="1506" dataCellStyle="Employé"/>
    <tableColumn id="2" name="C" dataDxfId="1505">
      <calculatedColumnFormula>COUNTIF(Janvier[[#This Row],[1]:[31]],AI$6)</calculatedColumnFormula>
    </tableColumn>
    <tableColumn id="3" name="C0,5" dataDxfId="1504">
      <calculatedColumnFormula>COUNTIF(Janvier[[#This Row],[1]:[31]],AJ$6)/2</calculatedColumnFormula>
    </tableColumn>
    <tableColumn id="4" name="CP" dataDxfId="1503">
      <calculatedColumnFormula>SUM(AI7:AJ7)</calculatedColumnFormula>
    </tableColumn>
    <tableColumn id="5" name="R" dataDxfId="1502">
      <calculatedColumnFormula>COUNTIF(Janvier[[#This Row],[1]:[31]],AL$6)</calculatedColumnFormula>
    </tableColumn>
    <tableColumn id="6" name="R0,5" dataDxfId="1501">
      <calculatedColumnFormula>COUNTIF(Janvier[[#This Row],[1]:[31]],AM$6)/2</calculatedColumnFormula>
    </tableColumn>
    <tableColumn id="7" name="RTT" dataDxfId="1500">
      <calculatedColumnFormula>SUM(AL7:AM7)</calculatedColumnFormula>
    </tableColumn>
    <tableColumn id="8" name="M" dataDxfId="1499">
      <calculatedColumnFormula>COUNTIF(Janvier[[#This Row],[1]:[31]],AO$6)</calculatedColumnFormula>
    </tableColumn>
    <tableColumn id="9" name="SS" dataDxfId="1498">
      <calculatedColumnFormula>COUNTIF(Janvier[[#This Row],[1]:[31]],AP$6)</calculatedColumnFormula>
    </tableColumn>
    <tableColumn id="10" name="S0,5" dataDxfId="1497">
      <calculatedColumnFormula>COUNTIF(Janvier[[#This Row],[1]:[31]],AQ$6)/2</calculatedColumnFormula>
    </tableColumn>
    <tableColumn id="11" name="SS2" dataDxfId="1496">
      <calculatedColumnFormula>SUM(AP7:AQ7)</calculatedColumnFormula>
    </tableColumn>
    <tableColumn id="12" name="A" dataDxfId="1495">
      <calculatedColumnFormula>COUNTIF(Janvier[[#This Row],[1]:[31]],AS$6)</calculatedColumnFormula>
    </tableColumn>
    <tableColumn id="13" name="A0,5" dataDxfId="1494">
      <calculatedColumnFormula>COUNTIF(Janvier[[#This Row],[1]:[31]],AT$6)/2</calculatedColumnFormula>
    </tableColumn>
    <tableColumn id="14" name="Autre" dataDxfId="1493">
      <calculatedColumnFormula>SUM(AS7:AT7)</calculatedColumnFormula>
    </tableColumn>
    <tableColumn id="15" name="Total" dataDxfId="1492">
      <calculatedColumnFormula>AK7+AN7+AO7+AR7+AU7</calculatedColumnFormula>
    </tableColumn>
    <tableColumn id="16" name="TR à déduire" dataDxfId="1491">
      <calculatedColumnFormula>COUNTA('2017'!V145:AF145,Janvier[[#This Row],[1]:[20]])</calculatedColumnFormula>
    </tableColumn>
  </tableColumns>
  <tableStyleInfo name="Tableau des absences des employés" showFirstColumn="1" showLastColumn="0" showRowStripes="1" showColumnStripes="0"/>
</table>
</file>

<file path=xl/tables/table14.xml><?xml version="1.0" encoding="utf-8"?>
<table xmlns="http://schemas.openxmlformats.org/spreadsheetml/2006/main" id="33" name="_2" displayName="_2" ref="AH18:AW24" totalsRowShown="0" dataDxfId="1490" tableBorderDxfId="1489">
  <tableColumns count="16">
    <tableColumn id="1" name="Nom de l’employé" dataDxfId="1488" dataCellStyle="Employé"/>
    <tableColumn id="2" name="C" dataDxfId="1487">
      <calculatedColumnFormula>COUNTIF(Février[[#This Row],[1]:[31]],AI$6)</calculatedColumnFormula>
    </tableColumn>
    <tableColumn id="3" name="C0,5" dataDxfId="1486">
      <calculatedColumnFormula>COUNTIF(Février[[#This Row],[1]:[31]],AJ$6)/2</calculatedColumnFormula>
    </tableColumn>
    <tableColumn id="4" name="CP" dataDxfId="1485">
      <calculatedColumnFormula>SUM(AI19:AJ19)</calculatedColumnFormula>
    </tableColumn>
    <tableColumn id="5" name="R" dataDxfId="1484">
      <calculatedColumnFormula>COUNTIF(Février[[#This Row],[1]:[31]],AL$6)</calculatedColumnFormula>
    </tableColumn>
    <tableColumn id="6" name="R0,5" dataDxfId="1483">
      <calculatedColumnFormula>COUNTIF(Février[[#This Row],[1]:[31]],AM$6)/2</calculatedColumnFormula>
    </tableColumn>
    <tableColumn id="7" name="RTT" dataDxfId="1482">
      <calculatedColumnFormula>SUM(AL19:AM19)</calculatedColumnFormula>
    </tableColumn>
    <tableColumn id="8" name="M" dataDxfId="1481">
      <calculatedColumnFormula>COUNTIF(Février[[#This Row],[1]:[31]],AO$6)</calculatedColumnFormula>
    </tableColumn>
    <tableColumn id="9" name="SS" dataDxfId="1480">
      <calculatedColumnFormula>COUNTIF(Février[[#This Row],[1]:[31]],AP$6)</calculatedColumnFormula>
    </tableColumn>
    <tableColumn id="10" name="S0,5" dataDxfId="1479">
      <calculatedColumnFormula>COUNTIF(Février[[#This Row],[1]:[31]],AQ$6)/2</calculatedColumnFormula>
    </tableColumn>
    <tableColumn id="11" name="SS2" dataDxfId="1478">
      <calculatedColumnFormula>SUM(AP19:AQ19)</calculatedColumnFormula>
    </tableColumn>
    <tableColumn id="12" name="A" dataDxfId="1477">
      <calculatedColumnFormula>COUNTIF(Février[[#This Row],[1]:[31]],AS$6)</calculatedColumnFormula>
    </tableColumn>
    <tableColumn id="13" name="A0,5" dataDxfId="1476">
      <calculatedColumnFormula>COUNTIF(Février[[#This Row],[1]:[31]],AT$6)/2</calculatedColumnFormula>
    </tableColumn>
    <tableColumn id="14" name="Autre" dataDxfId="1475">
      <calculatedColumnFormula>SUM(AS19:AT19)</calculatedColumnFormula>
    </tableColumn>
    <tableColumn id="15" name="Total" dataDxfId="1474">
      <calculatedColumnFormula>AK19+AN19+AO19+AR19+AU19</calculatedColumnFormula>
    </tableColumn>
    <tableColumn id="16" name="TR à déduire" dataDxfId="1473">
      <calculatedColumnFormula>COUNTA(V7,AF7,W7,X7,Y7,Z7,AA7,AB7,AC7,AD7,AE7,B19:U19)</calculatedColumnFormula>
    </tableColumn>
  </tableColumns>
  <tableStyleInfo name="Tableau des absences des employés" showFirstColumn="0" showLastColumn="0" showRowStripes="1" showColumnStripes="0"/>
</table>
</file>

<file path=xl/tables/table15.xml><?xml version="1.0" encoding="utf-8"?>
<table xmlns="http://schemas.openxmlformats.org/spreadsheetml/2006/main" id="34" name="_3" displayName="_3" ref="AH30:AW36" totalsRowShown="0" dataDxfId="1472" tableBorderDxfId="1471">
  <tableColumns count="16">
    <tableColumn id="1" name="Nom de l’employé" dataDxfId="1470" dataCellStyle="Employé"/>
    <tableColumn id="2" name="C" dataDxfId="1469">
      <calculatedColumnFormula>COUNTIF(Mars[[#This Row],[1]:[31]],AI$6)</calculatedColumnFormula>
    </tableColumn>
    <tableColumn id="3" name="C0,5" dataDxfId="1468">
      <calculatedColumnFormula>COUNTIF(Mars[[#This Row],[1]:[31]],AJ$6)/2</calculatedColumnFormula>
    </tableColumn>
    <tableColumn id="4" name="CP" dataDxfId="1467">
      <calculatedColumnFormula>SUM(AI31:AJ31)</calculatedColumnFormula>
    </tableColumn>
    <tableColumn id="5" name="R" dataDxfId="1466">
      <calculatedColumnFormula>COUNTIF(Mars[[#This Row],[1]:[31]],AL$6)</calculatedColumnFormula>
    </tableColumn>
    <tableColumn id="6" name="R0,5" dataDxfId="1465">
      <calculatedColumnFormula>COUNTIF(Mars[[#This Row],[1]:[31]],AM$6)/2</calculatedColumnFormula>
    </tableColumn>
    <tableColumn id="7" name="RTT" dataDxfId="1464">
      <calculatedColumnFormula>SUM(AL31:AM31)</calculatedColumnFormula>
    </tableColumn>
    <tableColumn id="8" name="M" dataDxfId="1463">
      <calculatedColumnFormula>COUNTIF(Mars[[#This Row],[1]:[31]],AO$6)</calculatedColumnFormula>
    </tableColumn>
    <tableColumn id="9" name="SS" dataDxfId="1462">
      <calculatedColumnFormula>COUNTIF(Mars[[#This Row],[1]:[31]],AP$6)</calculatedColumnFormula>
    </tableColumn>
    <tableColumn id="10" name="S0,5" dataDxfId="1461">
      <calculatedColumnFormula>COUNTIF(Mars[[#This Row],[1]:[31]],AQ$6)</calculatedColumnFormula>
    </tableColumn>
    <tableColumn id="11" name="SS2" dataDxfId="1460">
      <calculatedColumnFormula>SUM(AP31:AQ31)</calculatedColumnFormula>
    </tableColumn>
    <tableColumn id="12" name="A" dataDxfId="1459">
      <calculatedColumnFormula>COUNTIF(Mars[[#This Row],[1]:[31]],AS$6)</calculatedColumnFormula>
    </tableColumn>
    <tableColumn id="13" name="A0,5" dataDxfId="1458">
      <calculatedColumnFormula>COUNTIF(Mars[[#This Row],[1]:[31]],AT$6)/2</calculatedColumnFormula>
    </tableColumn>
    <tableColumn id="14" name="Autre" dataDxfId="1457">
      <calculatedColumnFormula>SUM(AS31:AT31)</calculatedColumnFormula>
    </tableColumn>
    <tableColumn id="15" name="Total" dataDxfId="1456">
      <calculatedColumnFormula>AK31+AN31+AO31+AR31+AU31</calculatedColumnFormula>
    </tableColumn>
    <tableColumn id="16" name="TR à déduire" dataDxfId="1455">
      <calculatedColumnFormula>COUNTA(V19,AF19,W19,X19,Y19,Z19,AA19,AB19,AC19,AD19,AE19,B31:U31)</calculatedColumnFormula>
    </tableColumn>
  </tableColumns>
  <tableStyleInfo name="Tableau des absences des employés" showFirstColumn="1" showLastColumn="0" showRowStripes="1" showColumnStripes="0"/>
</table>
</file>

<file path=xl/tables/table16.xml><?xml version="1.0" encoding="utf-8"?>
<table xmlns="http://schemas.openxmlformats.org/spreadsheetml/2006/main" id="35" name="_4" displayName="_4" ref="AH42:AW48" totalsRowShown="0" dataDxfId="1454" tableBorderDxfId="1453">
  <tableColumns count="16">
    <tableColumn id="1" name="Nom de l’employé" dataDxfId="1452" dataCellStyle="Employé"/>
    <tableColumn id="2" name="C" dataDxfId="1451">
      <calculatedColumnFormula>COUNTIF(Avril[[#This Row],[1]:[31]],AI$6)</calculatedColumnFormula>
    </tableColumn>
    <tableColumn id="3" name="C0,5" dataDxfId="1450">
      <calculatedColumnFormula>COUNTIF(Avril[[#This Row],[1]:[31]],AJ$6)/2</calculatedColumnFormula>
    </tableColumn>
    <tableColumn id="4" name="CP" dataDxfId="1449">
      <calculatedColumnFormula>SUM(AI43:AJ43)</calculatedColumnFormula>
    </tableColumn>
    <tableColumn id="5" name="R" dataDxfId="1448">
      <calculatedColumnFormula>COUNTIF(Avril[[#This Row],[1]:[31]],AL$6)</calculatedColumnFormula>
    </tableColumn>
    <tableColumn id="6" name="R0,5" dataDxfId="1447">
      <calculatedColumnFormula>COUNTIF(Avril[[#This Row],[1]:[31]],AM$6)/2</calculatedColumnFormula>
    </tableColumn>
    <tableColumn id="7" name="RTT" dataDxfId="1446">
      <calculatedColumnFormula>SUM(AL43:AM43)</calculatedColumnFormula>
    </tableColumn>
    <tableColumn id="8" name="M" dataDxfId="1445">
      <calculatedColumnFormula>COUNTIF(Avril[[#This Row],[1]:[31]],AO$6)</calculatedColumnFormula>
    </tableColumn>
    <tableColumn id="9" name="SS" dataDxfId="1444">
      <calculatedColumnFormula>COUNTIF(Avril[[#This Row],[1]:[31]],AP$6)</calculatedColumnFormula>
    </tableColumn>
    <tableColumn id="10" name="S0,5" dataDxfId="1443">
      <calculatedColumnFormula>COUNTIF(Avril[[#This Row],[1]:[31]],AQ$6)/2</calculatedColumnFormula>
    </tableColumn>
    <tableColumn id="11" name="SS2" dataDxfId="1442">
      <calculatedColumnFormula>SUM(AP43:AQ43)</calculatedColumnFormula>
    </tableColumn>
    <tableColumn id="12" name="A" dataDxfId="1441">
      <calculatedColumnFormula>COUNTIF(Avril[[#This Row],[1]:[31]],AS$6)</calculatedColumnFormula>
    </tableColumn>
    <tableColumn id="13" name="A0,5" dataDxfId="1440">
      <calculatedColumnFormula>COUNTIF(Avril[[#This Row],[1]:[31]],AT$6)/2</calculatedColumnFormula>
    </tableColumn>
    <tableColumn id="14" name="Autre" dataDxfId="1439">
      <calculatedColumnFormula>SUM(AS43:AT43)</calculatedColumnFormula>
    </tableColumn>
    <tableColumn id="15" name="Total" dataDxfId="1438">
      <calculatedColumnFormula>AK43+AN43+AO43+AR43+AU43</calculatedColumnFormula>
    </tableColumn>
    <tableColumn id="16" name="TR à déduire" dataDxfId="1437">
      <calculatedColumnFormula>COUNTA(V31,AF31,W31,X31,Y31,Z31,AA31,AB31,AC31,AD31,AE31,B43:U43)</calculatedColumnFormula>
    </tableColumn>
  </tableColumns>
  <tableStyleInfo name="Tableau des absences des employés" showFirstColumn="1" showLastColumn="0" showRowStripes="1" showColumnStripes="0"/>
</table>
</file>

<file path=xl/tables/table17.xml><?xml version="1.0" encoding="utf-8"?>
<table xmlns="http://schemas.openxmlformats.org/spreadsheetml/2006/main" id="36" name="_5" displayName="_5" ref="AH54:AW60" totalsRowShown="0" dataDxfId="1436" tableBorderDxfId="1435">
  <tableColumns count="16">
    <tableColumn id="1" name="Nom de l’employé" dataDxfId="1434" dataCellStyle="Employé"/>
    <tableColumn id="2" name="C" dataDxfId="1433">
      <calculatedColumnFormula>COUNTIF(Mai[[#This Row],[1]:[31]],AI$6)</calculatedColumnFormula>
    </tableColumn>
    <tableColumn id="3" name="C0,5" dataDxfId="1432">
      <calculatedColumnFormula>COUNTIF(Mai[[#This Row],[1]:[31]],AJ$6)/2</calculatedColumnFormula>
    </tableColumn>
    <tableColumn id="4" name="CP" dataDxfId="1431">
      <calculatedColumnFormula>SUM(AI55:AJ55)</calculatedColumnFormula>
    </tableColumn>
    <tableColumn id="5" name="R" dataDxfId="1430">
      <calculatedColumnFormula>COUNTIF(Mai[[#This Row],[1]:[31]],AL$6)</calculatedColumnFormula>
    </tableColumn>
    <tableColumn id="6" name="R0,5" dataDxfId="1429">
      <calculatedColumnFormula>COUNTIF(Mai[[#This Row],[1]:[31]],AM$6)/2</calculatedColumnFormula>
    </tableColumn>
    <tableColumn id="7" name="RTT" dataDxfId="1428">
      <calculatedColumnFormula>SUM(AL55:AM55)</calculatedColumnFormula>
    </tableColumn>
    <tableColumn id="8" name="M" dataDxfId="1427">
      <calculatedColumnFormula>COUNTIF(Mai[[#This Row],[1]:[31]],AO$6)</calculatedColumnFormula>
    </tableColumn>
    <tableColumn id="9" name="SS" dataDxfId="1426">
      <calculatedColumnFormula>COUNTIF(Mai[[#This Row],[1]:[31]],AP$6)</calculatedColumnFormula>
    </tableColumn>
    <tableColumn id="10" name="S0,5" dataDxfId="1425">
      <calculatedColumnFormula>COUNTIF(Mai[[#This Row],[1]:[31]],AQ$6)/2</calculatedColumnFormula>
    </tableColumn>
    <tableColumn id="11" name="SS2" dataDxfId="1424">
      <calculatedColumnFormula>SUM(AP55:AQ55)</calculatedColumnFormula>
    </tableColumn>
    <tableColumn id="12" name="A" dataDxfId="1423">
      <calculatedColumnFormula>COUNTIF(Mai[[#This Row],[1]:[31]],AS$6)</calculatedColumnFormula>
    </tableColumn>
    <tableColumn id="13" name="A0,5" dataDxfId="1422">
      <calculatedColumnFormula>COUNTIF(Mai[[#This Row],[1]:[31]],AT$6)/2</calculatedColumnFormula>
    </tableColumn>
    <tableColumn id="14" name="Autre" dataDxfId="1421">
      <calculatedColumnFormula>SUM(AS55:AT55)</calculatedColumnFormula>
    </tableColumn>
    <tableColumn id="15" name="Total" dataDxfId="1420">
      <calculatedColumnFormula>AK55+AN55+AO55+AR55+AU55</calculatedColumnFormula>
    </tableColumn>
    <tableColumn id="16" name="TR à déduire" dataDxfId="1419">
      <calculatedColumnFormula>COUNTA(V43,AF43,W43,X43,Y43,Z43,AA43,AB43,AC43,AD43,AE43,B55:U55)</calculatedColumnFormula>
    </tableColumn>
  </tableColumns>
  <tableStyleInfo name="Tableau des absences des employés" showFirstColumn="1" showLastColumn="0" showRowStripes="1" showColumnStripes="0"/>
</table>
</file>

<file path=xl/tables/table18.xml><?xml version="1.0" encoding="utf-8"?>
<table xmlns="http://schemas.openxmlformats.org/spreadsheetml/2006/main" id="37" name="Tableau37" displayName="Tableau37" ref="AH66:AW72" totalsRowShown="0" dataDxfId="1418" tableBorderDxfId="1417">
  <tableColumns count="16">
    <tableColumn id="1" name="Nom de l’employé" dataDxfId="1416" dataCellStyle="Employé"/>
    <tableColumn id="2" name="C" dataDxfId="1415">
      <calculatedColumnFormula>COUNTIF(Juin[[#This Row],[1]:[30]],AI$6)</calculatedColumnFormula>
    </tableColumn>
    <tableColumn id="3" name="C0,5" dataDxfId="1414">
      <calculatedColumnFormula>COUNTIF(Juin[[#This Row],[1]:[30]],AJ$6)/2</calculatedColumnFormula>
    </tableColumn>
    <tableColumn id="4" name="CP" dataDxfId="1413">
      <calculatedColumnFormula>SUM(AI67:AJ67)</calculatedColumnFormula>
    </tableColumn>
    <tableColumn id="5" name="R" dataDxfId="1412">
      <calculatedColumnFormula>COUNTIF(Juin[[#This Row],[1]:[30]],AL$6)</calculatedColumnFormula>
    </tableColumn>
    <tableColumn id="6" name="R0,5" dataDxfId="1411">
      <calculatedColumnFormula>COUNTIF(Juin[[#This Row],[1]:[30]],AM$6)/2</calculatedColumnFormula>
    </tableColumn>
    <tableColumn id="7" name="RTT" dataDxfId="1410">
      <calculatedColumnFormula>SUM(AL67:AM67)</calculatedColumnFormula>
    </tableColumn>
    <tableColumn id="8" name="M" dataDxfId="1409">
      <calculatedColumnFormula>COUNTIF(Juin[[#This Row],[1]:[30]],AO$6)</calculatedColumnFormula>
    </tableColumn>
    <tableColumn id="9" name="SS" dataDxfId="1408">
      <calculatedColumnFormula>COUNTIF(Juin[[#This Row],[1]:[30]],AP$6)</calculatedColumnFormula>
    </tableColumn>
    <tableColumn id="10" name="S0,5" dataDxfId="1407">
      <calculatedColumnFormula>COUNTIF(Juin[[#This Row],[1]:[30]],AQ$6)/2</calculatedColumnFormula>
    </tableColumn>
    <tableColumn id="11" name="SS2" dataDxfId="1406">
      <calculatedColumnFormula>SUM(AP67:AQ67)</calculatedColumnFormula>
    </tableColumn>
    <tableColumn id="12" name="A" dataDxfId="1405">
      <calculatedColumnFormula>COUNTIF(Juin[[#This Row],[1]:[30]],AS$6)</calculatedColumnFormula>
    </tableColumn>
    <tableColumn id="13" name="A0,5" dataDxfId="1404">
      <calculatedColumnFormula>COUNTIF(Juin[[#This Row],[1]:[30]],AT$6)/2</calculatedColumnFormula>
    </tableColumn>
    <tableColumn id="14" name="Autre" dataDxfId="1403">
      <calculatedColumnFormula>SUM(AS67:AT67)</calculatedColumnFormula>
    </tableColumn>
    <tableColumn id="15" name="Total" dataDxfId="1402">
      <calculatedColumnFormula>AK67+AN67+AO67+AR67+AU67</calculatedColumnFormula>
    </tableColumn>
    <tableColumn id="16" name="TR à déduire" dataDxfId="1401">
      <calculatedColumnFormula>COUNTA(V55,AF55,W55,X55,Y55,Z55,AA55,AB55,AC55,AD55,AE55,B67:U67)</calculatedColumnFormula>
    </tableColumn>
  </tableColumns>
  <tableStyleInfo name="Tableau des absences des employés" showFirstColumn="1" showLastColumn="0" showRowStripes="1" showColumnStripes="0"/>
</table>
</file>

<file path=xl/tables/table19.xml><?xml version="1.0" encoding="utf-8"?>
<table xmlns="http://schemas.openxmlformats.org/spreadsheetml/2006/main" id="38" name="_7" displayName="_7" ref="AH78:AW84" totalsRowShown="0" dataDxfId="1400" tableBorderDxfId="1399">
  <tableColumns count="16">
    <tableColumn id="1" name="Nom de l’employé" dataDxfId="1398" dataCellStyle="Employé"/>
    <tableColumn id="2" name="C" dataDxfId="1397">
      <calculatedColumnFormula>COUNTIF(Juillet[[#This Row],[1]:[31]],AI$6)</calculatedColumnFormula>
    </tableColumn>
    <tableColumn id="3" name="C0,5" dataDxfId="1396">
      <calculatedColumnFormula>COUNTIF(Juillet[[#This Row],[1]:[31]],AJ$6)/2</calculatedColumnFormula>
    </tableColumn>
    <tableColumn id="4" name="CP" dataDxfId="1395">
      <calculatedColumnFormula>SUM(AI79:AJ79)</calculatedColumnFormula>
    </tableColumn>
    <tableColumn id="5" name="R" dataDxfId="1394">
      <calculatedColumnFormula>COUNTIF(Juillet[[#This Row],[1]:[31]],AL$6)</calculatedColumnFormula>
    </tableColumn>
    <tableColumn id="6" name="R0,5" dataDxfId="1393">
      <calculatedColumnFormula>COUNTIF(Juillet[[#This Row],[1]:[31]],AM$6)/2</calculatedColumnFormula>
    </tableColumn>
    <tableColumn id="7" name="RTT" dataDxfId="1392">
      <calculatedColumnFormula>SUM(AL79:AM79)</calculatedColumnFormula>
    </tableColumn>
    <tableColumn id="8" name="M" dataDxfId="1391">
      <calculatedColumnFormula>COUNTIF(Juillet[[#This Row],[1]:[31]],AO$6)</calculatedColumnFormula>
    </tableColumn>
    <tableColumn id="9" name="SS" dataDxfId="1390">
      <calculatedColumnFormula>COUNTIF(Juillet[[#This Row],[1]:[31]],AP$6)</calculatedColumnFormula>
    </tableColumn>
    <tableColumn id="10" name="S0,5" dataDxfId="1389">
      <calculatedColumnFormula>COUNTIF(Juillet[[#This Row],[1]:[31]],AQ$6)/2</calculatedColumnFormula>
    </tableColumn>
    <tableColumn id="11" name="SS2" dataDxfId="1388">
      <calculatedColumnFormula>SUM(AP79:AQ79)</calculatedColumnFormula>
    </tableColumn>
    <tableColumn id="12" name="A" dataDxfId="1387">
      <calculatedColumnFormula>COUNTIF(Juillet[[#This Row],[1]:[31]],AS$6)</calculatedColumnFormula>
    </tableColumn>
    <tableColumn id="13" name="A0,5" dataDxfId="1386">
      <calculatedColumnFormula>COUNTIF(Juillet[[#This Row],[1]:[31]],AT$6)/2</calculatedColumnFormula>
    </tableColumn>
    <tableColumn id="14" name="Autre" dataDxfId="1385">
      <calculatedColumnFormula>SUM(AS79:AT79)</calculatedColumnFormula>
    </tableColumn>
    <tableColumn id="15" name="Total" dataDxfId="1384">
      <calculatedColumnFormula>AK79+AN79+AO79+AR79+AU79</calculatedColumnFormula>
    </tableColumn>
    <tableColumn id="16" name="TR à déduire" dataDxfId="1383">
      <calculatedColumnFormula>COUNTA(V67,AF67,W67,X67,Y67,Z67,AA67,AB67,AC67,AD67,AE67,B79:U79)</calculatedColumnFormula>
    </tableColumn>
  </tableColumns>
  <tableStyleInfo name="Tableau des absences des employés" showFirstColumn="1" showLastColumn="0" showRowStripes="1" showColumnStripes="0"/>
</table>
</file>

<file path=xl/tables/table20.xml><?xml version="1.0" encoding="utf-8"?>
<table xmlns="http://schemas.openxmlformats.org/spreadsheetml/2006/main" id="39" name="_8" displayName="_8" ref="AH90:AW96" totalsRowShown="0" dataDxfId="1382" tableBorderDxfId="1381">
  <tableColumns count="16">
    <tableColumn id="1" name="Nom de l’employé" dataDxfId="1380" dataCellStyle="Employé"/>
    <tableColumn id="2" name="C" dataDxfId="1379">
      <calculatedColumnFormula>COUNTIF(Aout[[#This Row],[1]:[31]],AI$6)</calculatedColumnFormula>
    </tableColumn>
    <tableColumn id="3" name="C0,5" dataDxfId="1378">
      <calculatedColumnFormula>COUNTIF(Aout[[#This Row],[1]:[31]],AJ$6)/2</calculatedColumnFormula>
    </tableColumn>
    <tableColumn id="4" name="CP" dataDxfId="1377">
      <calculatedColumnFormula>SUM(AI91:AJ91)</calculatedColumnFormula>
    </tableColumn>
    <tableColumn id="5" name="R" dataDxfId="1376">
      <calculatedColumnFormula>COUNTIF(Aout[[#This Row],[1]:[31]],AL$6)</calculatedColumnFormula>
    </tableColumn>
    <tableColumn id="6" name="R0,5" dataDxfId="1375">
      <calculatedColumnFormula>COUNTIF(Aout[[#This Row],[1]:[31]],AM$6)/2</calculatedColumnFormula>
    </tableColumn>
    <tableColumn id="7" name="RTT" dataDxfId="1374">
      <calculatedColumnFormula>SUM(AL91:AM91)</calculatedColumnFormula>
    </tableColumn>
    <tableColumn id="8" name="M" dataDxfId="1373">
      <calculatedColumnFormula>COUNTIF(Aout[[#This Row],[1]:[31]],AO$6)</calculatedColumnFormula>
    </tableColumn>
    <tableColumn id="9" name="SS" dataDxfId="1372">
      <calculatedColumnFormula>COUNTIF(Aout[[#This Row],[1]:[31]],AP$6)</calculatedColumnFormula>
    </tableColumn>
    <tableColumn id="10" name="S0,5" dataDxfId="1371">
      <calculatedColumnFormula>COUNTIF(Aout[[#This Row],[1]:[31]],AQ$6)/2</calculatedColumnFormula>
    </tableColumn>
    <tableColumn id="11" name="SS2" dataDxfId="1370">
      <calculatedColumnFormula>SUM(AP91:AQ91)</calculatedColumnFormula>
    </tableColumn>
    <tableColumn id="12" name="A" dataDxfId="1369">
      <calculatedColumnFormula>COUNTIF(Aout[[#This Row],[1]:[31]],AS$6)</calculatedColumnFormula>
    </tableColumn>
    <tableColumn id="13" name="A0,5" dataDxfId="1368">
      <calculatedColumnFormula>COUNTIF(Aout[[#This Row],[1]:[31]],AT$6)/2</calculatedColumnFormula>
    </tableColumn>
    <tableColumn id="14" name="Autre" dataDxfId="1367">
      <calculatedColumnFormula>SUM(AS91:AT91)</calculatedColumnFormula>
    </tableColumn>
    <tableColumn id="15" name="Total" dataDxfId="1366">
      <calculatedColumnFormula>AK91+AN91+AO91+AR91+AU91</calculatedColumnFormula>
    </tableColumn>
    <tableColumn id="16" name="TR à déduire" dataDxfId="1365">
      <calculatedColumnFormula>COUNTA(V79,AF79,W79,X79,Y79,Z79,AA79,AB79,AC79,AD79,AE79,B91:U91)</calculatedColumnFormula>
    </tableColumn>
  </tableColumns>
  <tableStyleInfo name="Tableau des absences des employés" showFirstColumn="1" showLastColumn="0" showRowStripes="1" showColumnStripes="0"/>
</table>
</file>

<file path=xl/tables/table21.xml><?xml version="1.0" encoding="utf-8"?>
<table xmlns="http://schemas.openxmlformats.org/spreadsheetml/2006/main" id="40" name="_9" displayName="_9" ref="AH102:AW108" totalsRowShown="0" dataDxfId="1364" tableBorderDxfId="1363">
  <tableColumns count="16">
    <tableColumn id="1" name="Nom de l’employé" dataDxfId="1362" dataCellStyle="Employé"/>
    <tableColumn id="2" name="C" dataDxfId="1361">
      <calculatedColumnFormula>COUNTIF(Septembre[[#This Row],[1]:[31]],AI$6)</calculatedColumnFormula>
    </tableColumn>
    <tableColumn id="3" name="C0,5" dataDxfId="1360">
      <calculatedColumnFormula>COUNTIF(Septembre[[#This Row],[1]:[31]],AJ$6)/2</calculatedColumnFormula>
    </tableColumn>
    <tableColumn id="4" name="CP" dataDxfId="1359">
      <calculatedColumnFormula>SUM(AI103:AJ103)</calculatedColumnFormula>
    </tableColumn>
    <tableColumn id="5" name="R" dataDxfId="1358">
      <calculatedColumnFormula>COUNTIF(Septembre[[#This Row],[1]:[31]],AL$6)</calculatedColumnFormula>
    </tableColumn>
    <tableColumn id="6" name="R0,5" dataDxfId="1357">
      <calculatedColumnFormula>COUNTIF(Septembre[[#This Row],[1]:[31]],AM$6)/2</calculatedColumnFormula>
    </tableColumn>
    <tableColumn id="7" name="RTT" dataDxfId="1356">
      <calculatedColumnFormula>SUM(AL103:AM103)</calculatedColumnFormula>
    </tableColumn>
    <tableColumn id="8" name="M" dataDxfId="1355">
      <calculatedColumnFormula>COUNTIF(Septembre[[#This Row],[1]:[31]],AO$6)</calculatedColumnFormula>
    </tableColumn>
    <tableColumn id="9" name="SS" dataDxfId="1354">
      <calculatedColumnFormula>COUNTIF(Septembre[[#This Row],[1]:[31]],AP$6)</calculatedColumnFormula>
    </tableColumn>
    <tableColumn id="10" name="S0,5" dataDxfId="1353">
      <calculatedColumnFormula>COUNTIF(Septembre[[#This Row],[1]:[31]],AQ$6)/2</calculatedColumnFormula>
    </tableColumn>
    <tableColumn id="11" name="SS2" dataDxfId="1352">
      <calculatedColumnFormula>SUM(AP103:AQ103)</calculatedColumnFormula>
    </tableColumn>
    <tableColumn id="12" name="A" dataDxfId="1351">
      <calculatedColumnFormula>COUNTIF(Septembre[[#This Row],[1]:[31]],AS$6)</calculatedColumnFormula>
    </tableColumn>
    <tableColumn id="13" name="A0,5" dataDxfId="1350">
      <calculatedColumnFormula>COUNTIF(Septembre[[#This Row],[1]:[31]],AT$6)/2</calculatedColumnFormula>
    </tableColumn>
    <tableColumn id="14" name="Autre" dataDxfId="1349">
      <calculatedColumnFormula>SUM(AS103:AT103)</calculatedColumnFormula>
    </tableColumn>
    <tableColumn id="15" name="Total" dataDxfId="1348">
      <calculatedColumnFormula>AK103+AN103+AO103+AR103+AU103</calculatedColumnFormula>
    </tableColumn>
    <tableColumn id="16" name="TR à déduire" dataDxfId="1347">
      <calculatedColumnFormula>COUNTA(V91,AF91,W91,X91,Y91,Z91,AA91,AB91,AC91,AD91,AE91,B103:U103)</calculatedColumnFormula>
    </tableColumn>
  </tableColumns>
  <tableStyleInfo name="Tableau des absences des employés" showFirstColumn="1" showLastColumn="0" showRowStripes="1" showColumnStripes="0"/>
</table>
</file>

<file path=xl/tables/table22.xml><?xml version="1.0" encoding="utf-8"?>
<table xmlns="http://schemas.openxmlformats.org/spreadsheetml/2006/main" id="41" name="_10" displayName="_10" ref="AH114:AW120" totalsRowShown="0" dataDxfId="1346" tableBorderDxfId="1345">
  <tableColumns count="16">
    <tableColumn id="1" name="Nom de l’employé" dataDxfId="1344" dataCellStyle="Employé"/>
    <tableColumn id="2" name="C" dataDxfId="1343">
      <calculatedColumnFormula>COUNTIF(Octobre[[#This Row],[1]:[31]],AI$6)</calculatedColumnFormula>
    </tableColumn>
    <tableColumn id="3" name="C0,5" dataDxfId="1342">
      <calculatedColumnFormula>COUNTIF(Octobre[[#This Row],[1]:[31]],AJ$6)/2</calculatedColumnFormula>
    </tableColumn>
    <tableColumn id="4" name="CP" dataDxfId="1341">
      <calculatedColumnFormula>SUM(AI115:AJ115)</calculatedColumnFormula>
    </tableColumn>
    <tableColumn id="5" name="R" dataDxfId="1340">
      <calculatedColumnFormula>COUNTIF(Octobre[[#This Row],[1]:[31]],AL$6)</calculatedColumnFormula>
    </tableColumn>
    <tableColumn id="6" name="R0,5" dataDxfId="1339">
      <calculatedColumnFormula>COUNTIF(Octobre[[#This Row],[1]:[31]],AM$6)/2</calculatedColumnFormula>
    </tableColumn>
    <tableColumn id="7" name="RTT" dataDxfId="1338">
      <calculatedColumnFormula>SUM(AL115:AM115)</calculatedColumnFormula>
    </tableColumn>
    <tableColumn id="8" name="M" dataDxfId="1337">
      <calculatedColumnFormula>COUNTIF(Octobre[[#This Row],[1]:[31]],AO$6)</calculatedColumnFormula>
    </tableColumn>
    <tableColumn id="9" name="SS" dataDxfId="1336">
      <calculatedColumnFormula>COUNTIF(Octobre[[#This Row],[1]:[31]],AP$6)</calculatedColumnFormula>
    </tableColumn>
    <tableColumn id="10" name="S0,5" dataDxfId="1335">
      <calculatedColumnFormula>COUNTIF(Octobre[[#This Row],[1]:[31]],AQ$6)/2</calculatedColumnFormula>
    </tableColumn>
    <tableColumn id="11" name="SS2" dataDxfId="1334">
      <calculatedColumnFormula>SUM(AP115:AQ115)</calculatedColumnFormula>
    </tableColumn>
    <tableColumn id="12" name="A" dataDxfId="1333">
      <calculatedColumnFormula>COUNTIF(Octobre[[#This Row],[1]:[31]],AS$6)</calculatedColumnFormula>
    </tableColumn>
    <tableColumn id="13" name="A0,5" dataDxfId="1332">
      <calculatedColumnFormula>COUNTIF(Octobre[[#This Row],[1]:[31]],AT$6)/2</calculatedColumnFormula>
    </tableColumn>
    <tableColumn id="14" name="Autre" dataDxfId="1331">
      <calculatedColumnFormula>SUM(AS115:AT115)</calculatedColumnFormula>
    </tableColumn>
    <tableColumn id="15" name="Total" dataDxfId="1330">
      <calculatedColumnFormula>AK115+AN115+AO115+AR115+AU115</calculatedColumnFormula>
    </tableColumn>
    <tableColumn id="16" name="TR à déduire" dataDxfId="1329">
      <calculatedColumnFormula>COUNTA(V103,AF103,W103,X103,Y103,Z103,AA103,AB103,AC103,AD103,AE103,B115:U115)</calculatedColumnFormula>
    </tableColumn>
  </tableColumns>
  <tableStyleInfo name="Tableau des absences des employés" showFirstColumn="1" showLastColumn="0" showRowStripes="1" showColumnStripes="0"/>
</table>
</file>

<file path=xl/tables/table23.xml><?xml version="1.0" encoding="utf-8"?>
<table xmlns="http://schemas.openxmlformats.org/spreadsheetml/2006/main" id="42" name="_11" displayName="_11" ref="AH126:AW132" totalsRowShown="0" dataDxfId="1328" tableBorderDxfId="1327">
  <tableColumns count="16">
    <tableColumn id="1" name="Nom de l’employé" dataDxfId="1326" dataCellStyle="Employé"/>
    <tableColumn id="2" name="C" dataDxfId="1325">
      <calculatedColumnFormula>COUNTIF(Novembre[[#This Row],[1]:[30]],AI$6)</calculatedColumnFormula>
    </tableColumn>
    <tableColumn id="3" name="C0,5" dataDxfId="1324">
      <calculatedColumnFormula>COUNTIF(Novembre[[#This Row],[1]:[30]],AJ$6)/2</calculatedColumnFormula>
    </tableColumn>
    <tableColumn id="4" name="CP" dataDxfId="1323">
      <calculatedColumnFormula>SUM(AI127:AJ127)</calculatedColumnFormula>
    </tableColumn>
    <tableColumn id="5" name="R" dataDxfId="1322">
      <calculatedColumnFormula>COUNTIF(Novembre[[#This Row],[1]:[30]],AL$6)</calculatedColumnFormula>
    </tableColumn>
    <tableColumn id="6" name="R0,5" dataDxfId="1321">
      <calculatedColumnFormula>COUNTIF(Novembre[[#This Row],[1]:[30]],AM$6)/2</calculatedColumnFormula>
    </tableColumn>
    <tableColumn id="7" name="RTT" dataDxfId="1320">
      <calculatedColumnFormula>SUM(AL127:AM127)</calculatedColumnFormula>
    </tableColumn>
    <tableColumn id="8" name="M" dataDxfId="1319">
      <calculatedColumnFormula>COUNTIF(Novembre[[#This Row],[1]:[30]],AO$6)</calculatedColumnFormula>
    </tableColumn>
    <tableColumn id="9" name="SS" dataDxfId="1318">
      <calculatedColumnFormula>COUNTIF(Novembre[[#This Row],[1]:[30]],AP$6)</calculatedColumnFormula>
    </tableColumn>
    <tableColumn id="10" name="S0,5" dataDxfId="1317">
      <calculatedColumnFormula>COUNTIF(Novembre[[#This Row],[1]:[30]],AQ$6)/2</calculatedColumnFormula>
    </tableColumn>
    <tableColumn id="11" name="SS2" dataDxfId="1316">
      <calculatedColumnFormula>SUM(AP127:AQ127)</calculatedColumnFormula>
    </tableColumn>
    <tableColumn id="12" name="A" dataDxfId="1315">
      <calculatedColumnFormula>COUNTIF(Novembre[[#This Row],[1]:[30]],AS$6)</calculatedColumnFormula>
    </tableColumn>
    <tableColumn id="13" name="A0,5" dataDxfId="1314">
      <calculatedColumnFormula>COUNTIF(Novembre[[#This Row],[1]:[30]],AT$6)/2</calculatedColumnFormula>
    </tableColumn>
    <tableColumn id="14" name="Autre" dataDxfId="1313">
      <calculatedColumnFormula>SUM(AS127:AT127)</calculatedColumnFormula>
    </tableColumn>
    <tableColumn id="15" name="Total" dataDxfId="1312">
      <calculatedColumnFormula>AK127+AN127+AO127+AR127+AU127</calculatedColumnFormula>
    </tableColumn>
    <tableColumn id="16" name="TR à déduire" dataDxfId="1311">
      <calculatedColumnFormula>COUNTA(V115,AF115,W115,X115,Y115,Z115,AA115,AB115,AC115,AD115,AE115,B127:U127)</calculatedColumnFormula>
    </tableColumn>
  </tableColumns>
  <tableStyleInfo name="Tableau des absences des employés" showFirstColumn="1" showLastColumn="0" showRowStripes="1" showColumnStripes="0"/>
</table>
</file>

<file path=xl/tables/table24.xml><?xml version="1.0" encoding="utf-8"?>
<table xmlns="http://schemas.openxmlformats.org/spreadsheetml/2006/main" id="43" name="_12" displayName="_12" ref="AH138:AW144" totalsRowShown="0" dataDxfId="1310" tableBorderDxfId="1309">
  <tableColumns count="16">
    <tableColumn id="1" name="Nom de l’employé" dataDxfId="1308" dataCellStyle="Employé"/>
    <tableColumn id="2" name="C" dataDxfId="1307">
      <calculatedColumnFormula>COUNTIF(Décembre[[#This Row],[1]:[31]],AI$6)</calculatedColumnFormula>
    </tableColumn>
    <tableColumn id="3" name="C0,5" dataDxfId="1306">
      <calculatedColumnFormula>COUNTIF(Décembre[[#This Row],[1]:[31]],AJ$6)/2</calculatedColumnFormula>
    </tableColumn>
    <tableColumn id="4" name="CP" dataDxfId="1305">
      <calculatedColumnFormula>SUM(AI139:AJ139)</calculatedColumnFormula>
    </tableColumn>
    <tableColumn id="5" name="R" dataDxfId="1304">
      <calculatedColumnFormula>COUNTIF(Décembre[[#This Row],[1]:[31]],AL$6)</calculatedColumnFormula>
    </tableColumn>
    <tableColumn id="6" name="R0,5" dataDxfId="1303">
      <calculatedColumnFormula>COUNTIF(Décembre[[#This Row],[1]:[31]],AM$6)/2</calculatedColumnFormula>
    </tableColumn>
    <tableColumn id="7" name="RTT" dataDxfId="1302">
      <calculatedColumnFormula>SUM(AL139:AM139)</calculatedColumnFormula>
    </tableColumn>
    <tableColumn id="8" name="M" dataDxfId="1301">
      <calculatedColumnFormula>COUNTIF(Décembre[[#This Row],[1]:[31]],AO$6)</calculatedColumnFormula>
    </tableColumn>
    <tableColumn id="9" name="SS" dataDxfId="1300">
      <calculatedColumnFormula>COUNTIF(Décembre[[#This Row],[1]:[31]],AP$6)</calculatedColumnFormula>
    </tableColumn>
    <tableColumn id="10" name="S0,5" dataDxfId="1299">
      <calculatedColumnFormula>COUNTIF(Décembre[[#This Row],[1]:[31]],AQ$6)/2</calculatedColumnFormula>
    </tableColumn>
    <tableColumn id="11" name="SS2" dataDxfId="1298">
      <calculatedColumnFormula>SUM(AP139:AQ139)</calculatedColumnFormula>
    </tableColumn>
    <tableColumn id="12" name="A" dataDxfId="1297">
      <calculatedColumnFormula>COUNTIF(Décembre[[#This Row],[1]:[31]],AS$6)</calculatedColumnFormula>
    </tableColumn>
    <tableColumn id="13" name="A0,5" dataDxfId="1296">
      <calculatedColumnFormula>COUNTIF(Décembre[[#This Row],[1]:[31]],AT$6)/2</calculatedColumnFormula>
    </tableColumn>
    <tableColumn id="14" name="Autre" dataDxfId="1295">
      <calculatedColumnFormula>SUM(AS139:AT139)</calculatedColumnFormula>
    </tableColumn>
    <tableColumn id="15" name="Total" dataDxfId="1294">
      <calculatedColumnFormula>AK139+AN139+AO139+AR139+AU139</calculatedColumnFormula>
    </tableColumn>
    <tableColumn id="16" name="TR à déduire" dataDxfId="1293">
      <calculatedColumnFormula>COUNTA(V127,AF127,W127,X127,Y127,Z127,AA127,AB127,AC127,AD127,AE127,B139:U139)</calculatedColumnFormula>
    </tableColumn>
  </tableColumns>
  <tableStyleInfo name="Tableau des absences des employés" showFirstColumn="1" showLastColumn="0" showRowStripes="1" showColumnStripes="0"/>
</table>
</file>

<file path=xl/tables/table25.xml><?xml version="1.0" encoding="utf-8"?>
<table xmlns="http://schemas.openxmlformats.org/spreadsheetml/2006/main" id="2" name="Février3" displayName="Février3" ref="A18:AF24" totalsRowShown="0" headerRowDxfId="984" dataDxfId="983" totalsRowDxfId="982" totalsRowBorderDxfId="981">
  <tableColumns count="32">
    <tableColumn id="1" name="Nom de l’employé" dataDxfId="980" totalsRowDxfId="979" dataCellStyle="Employé"/>
    <tableColumn id="2" name="1" dataDxfId="978" totalsRowDxfId="977"/>
    <tableColumn id="3" name="2" dataDxfId="976" totalsRowDxfId="975"/>
    <tableColumn id="4" name="3" dataDxfId="974" totalsRowDxfId="973"/>
    <tableColumn id="5" name="4" dataDxfId="972" totalsRowDxfId="971"/>
    <tableColumn id="6" name="5" dataDxfId="970" totalsRowDxfId="969"/>
    <tableColumn id="7" name="6" dataDxfId="968" totalsRowDxfId="967"/>
    <tableColumn id="8" name="7" dataDxfId="966" totalsRowDxfId="965"/>
    <tableColumn id="9" name="8" dataDxfId="964" totalsRowDxfId="963"/>
    <tableColumn id="10" name="9" dataDxfId="962" totalsRowDxfId="961"/>
    <tableColumn id="11" name="10" dataDxfId="960" totalsRowDxfId="959"/>
    <tableColumn id="12" name="11" dataDxfId="958" totalsRowDxfId="957"/>
    <tableColumn id="13" name="12" dataDxfId="956" totalsRowDxfId="955"/>
    <tableColumn id="14" name="13" dataDxfId="954" totalsRowDxfId="953"/>
    <tableColumn id="15" name="14" dataDxfId="952" totalsRowDxfId="951"/>
    <tableColumn id="16" name="15" dataDxfId="950" totalsRowDxfId="949"/>
    <tableColumn id="17" name="16" dataDxfId="948" totalsRowDxfId="947"/>
    <tableColumn id="18" name="17" dataDxfId="946" totalsRowDxfId="945"/>
    <tableColumn id="19" name="18" dataDxfId="944" totalsRowDxfId="943"/>
    <tableColumn id="20" name="19" dataDxfId="942" totalsRowDxfId="941"/>
    <tableColumn id="21" name="20" dataDxfId="940" totalsRowDxfId="939"/>
    <tableColumn id="22" name="21" dataDxfId="938" totalsRowDxfId="937"/>
    <tableColumn id="23" name="22" dataDxfId="936" totalsRowDxfId="935"/>
    <tableColumn id="24" name="23" dataDxfId="934" totalsRowDxfId="933"/>
    <tableColumn id="25" name="24" dataDxfId="932" totalsRowDxfId="931"/>
    <tableColumn id="26" name="25" dataDxfId="930" totalsRowDxfId="929"/>
    <tableColumn id="27" name="26" dataDxfId="928" totalsRowDxfId="927"/>
    <tableColumn id="28" name="27" dataDxfId="926" totalsRowDxfId="925"/>
    <tableColumn id="29" name="28" dataDxfId="924" totalsRowDxfId="923"/>
    <tableColumn id="30" name="29" dataDxfId="922" totalsRowDxfId="921"/>
    <tableColumn id="31" name="30" dataDxfId="920" totalsRowDxfId="919"/>
    <tableColumn id="32" name="31" dataDxfId="918" totalsRowDxfId="917"/>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6.xml><?xml version="1.0" encoding="utf-8"?>
<table xmlns="http://schemas.openxmlformats.org/spreadsheetml/2006/main" id="14" name="Janvier15" displayName="Janvier15" ref="A6:AF12" totalsRowShown="0" headerRowDxfId="916" dataDxfId="914" totalsRowDxfId="912" headerRowBorderDxfId="915" tableBorderDxfId="913" totalsRowBorderDxfId="911">
  <tableColumns count="32">
    <tableColumn id="1" name="Nom de l’employé" dataDxfId="910" totalsRowDxfId="909"/>
    <tableColumn id="2" name="1" dataDxfId="908" totalsRowDxfId="907"/>
    <tableColumn id="3" name="2" dataDxfId="906" totalsRowDxfId="905"/>
    <tableColumn id="4" name="3" dataDxfId="904" totalsRowDxfId="903"/>
    <tableColumn id="5" name="4" dataDxfId="902" totalsRowDxfId="901"/>
    <tableColumn id="6" name="5" dataDxfId="900" totalsRowDxfId="899"/>
    <tableColumn id="7" name="6" dataDxfId="898" totalsRowDxfId="897"/>
    <tableColumn id="8" name="7" dataDxfId="896" totalsRowDxfId="895"/>
    <tableColumn id="9" name="8" dataDxfId="894" totalsRowDxfId="893"/>
    <tableColumn id="10" name="9" dataDxfId="892" totalsRowDxfId="891"/>
    <tableColumn id="11" name="10" dataDxfId="890" totalsRowDxfId="889"/>
    <tableColumn id="12" name="11" dataDxfId="888" totalsRowDxfId="887"/>
    <tableColumn id="13" name="12" dataDxfId="886" totalsRowDxfId="885"/>
    <tableColumn id="14" name="13" dataDxfId="884" totalsRowDxfId="883"/>
    <tableColumn id="15" name="14" dataDxfId="882" totalsRowDxfId="881"/>
    <tableColumn id="16" name="15" dataDxfId="880" totalsRowDxfId="879"/>
    <tableColumn id="17" name="16" dataDxfId="878" totalsRowDxfId="877"/>
    <tableColumn id="18" name="17" dataDxfId="876" totalsRowDxfId="875"/>
    <tableColumn id="19" name="18" dataDxfId="874" totalsRowDxfId="873"/>
    <tableColumn id="20" name="19" dataDxfId="872" totalsRowDxfId="871"/>
    <tableColumn id="21" name="20" dataDxfId="870" totalsRowDxfId="869"/>
    <tableColumn id="22" name="21" dataDxfId="868" totalsRowDxfId="867"/>
    <tableColumn id="23" name="22" dataDxfId="866" totalsRowDxfId="865"/>
    <tableColumn id="24" name="23" dataDxfId="864" totalsRowDxfId="863"/>
    <tableColumn id="25" name="24" dataDxfId="862" totalsRowDxfId="861"/>
    <tableColumn id="26" name="25" dataDxfId="860" totalsRowDxfId="859"/>
    <tableColumn id="27" name="26" dataDxfId="858" totalsRowDxfId="857"/>
    <tableColumn id="28" name="27" dataDxfId="856" totalsRowDxfId="855"/>
    <tableColumn id="29" name="28" dataDxfId="854" totalsRowDxfId="853"/>
    <tableColumn id="30" name="29" dataDxfId="852" totalsRowDxfId="851"/>
    <tableColumn id="31" name="30" dataDxfId="850" totalsRowDxfId="849"/>
    <tableColumn id="32" name="31" dataDxfId="848" totalsRowDxfId="847"/>
  </tableColumns>
  <tableStyleInfo name="Tableau des absences des employés 4"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7.xml><?xml version="1.0" encoding="utf-8"?>
<table xmlns="http://schemas.openxmlformats.org/spreadsheetml/2006/main" id="15" name="Mars16" displayName="Mars16" ref="A30:AF36" totalsRowShown="0" headerRowDxfId="846" dataDxfId="845" totalsRowDxfId="843" tableBorderDxfId="844" totalsRowBorderDxfId="842">
  <tableColumns count="32">
    <tableColumn id="1" name="Nom de l’employé" dataDxfId="841" totalsRowDxfId="840" dataCellStyle="Employé"/>
    <tableColumn id="2" name="1" dataDxfId="839" totalsRowDxfId="838"/>
    <tableColumn id="3" name="2" dataDxfId="837" totalsRowDxfId="836"/>
    <tableColumn id="4" name="3" dataDxfId="835" totalsRowDxfId="834"/>
    <tableColumn id="5" name="4" dataDxfId="833" totalsRowDxfId="832"/>
    <tableColumn id="6" name="5" dataDxfId="831" totalsRowDxfId="830"/>
    <tableColumn id="7" name="6" dataDxfId="829" totalsRowDxfId="828"/>
    <tableColumn id="8" name="7" dataDxfId="827" totalsRowDxfId="826"/>
    <tableColumn id="9" name="8" dataDxfId="825" totalsRowDxfId="824"/>
    <tableColumn id="10" name="9" dataDxfId="823" totalsRowDxfId="822"/>
    <tableColumn id="11" name="10" dataDxfId="821" totalsRowDxfId="820"/>
    <tableColumn id="12" name="11" dataDxfId="819" totalsRowDxfId="818"/>
    <tableColumn id="13" name="12" dataDxfId="817" totalsRowDxfId="816"/>
    <tableColumn id="14" name="13" dataDxfId="815" totalsRowDxfId="814"/>
    <tableColumn id="15" name="14" dataDxfId="813" totalsRowDxfId="812"/>
    <tableColumn id="16" name="15" dataDxfId="811" totalsRowDxfId="810"/>
    <tableColumn id="17" name="16" dataDxfId="809" totalsRowDxfId="808"/>
    <tableColumn id="18" name="17" dataDxfId="807" totalsRowDxfId="806"/>
    <tableColumn id="19" name="18" dataDxfId="805" totalsRowDxfId="804"/>
    <tableColumn id="20" name="19" dataDxfId="803" totalsRowDxfId="802"/>
    <tableColumn id="21" name="20" dataDxfId="801" totalsRowDxfId="800"/>
    <tableColumn id="22" name="21" dataDxfId="799" totalsRowDxfId="798"/>
    <tableColumn id="23" name="22" dataDxfId="797" totalsRowDxfId="796"/>
    <tableColumn id="24" name="23" dataDxfId="795" totalsRowDxfId="794"/>
    <tableColumn id="25" name="24" dataDxfId="793" totalsRowDxfId="792"/>
    <tableColumn id="26" name="25" dataDxfId="791" totalsRowDxfId="790"/>
    <tableColumn id="27" name="26" dataDxfId="789" totalsRowDxfId="788"/>
    <tableColumn id="28" name="27" dataDxfId="787" totalsRowDxfId="786"/>
    <tableColumn id="29" name="28" dataDxfId="785" totalsRowDxfId="784"/>
    <tableColumn id="30" name="29" dataDxfId="783" totalsRowDxfId="782"/>
    <tableColumn id="31" name="30" dataDxfId="781" totalsRowDxfId="780"/>
    <tableColumn id="32" name="31" dataDxfId="779" totalsRowDxfId="778"/>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8.xml><?xml version="1.0" encoding="utf-8"?>
<table xmlns="http://schemas.openxmlformats.org/spreadsheetml/2006/main" id="16" name="Avril17" displayName="Avril17" ref="A42:AF48" totalsRowShown="0" headerRowDxfId="777" dataDxfId="776" totalsRowDxfId="774" tableBorderDxfId="775" totalsRowBorderDxfId="773">
  <tableColumns count="32">
    <tableColumn id="1" name="Nom de l’employé" dataDxfId="772" totalsRowDxfId="771" dataCellStyle="Employé"/>
    <tableColumn id="2" name="1" dataDxfId="770" totalsRowDxfId="769"/>
    <tableColumn id="3" name="2" dataDxfId="768" totalsRowDxfId="767"/>
    <tableColumn id="4" name="3" dataDxfId="766" totalsRowDxfId="765"/>
    <tableColumn id="5" name="4" dataDxfId="764" totalsRowDxfId="763"/>
    <tableColumn id="6" name="5" dataDxfId="762" totalsRowDxfId="761"/>
    <tableColumn id="7" name="6" dataDxfId="760" totalsRowDxfId="759"/>
    <tableColumn id="8" name="7" dataDxfId="758" totalsRowDxfId="757"/>
    <tableColumn id="9" name="8" dataDxfId="756" totalsRowDxfId="755"/>
    <tableColumn id="10" name="9" dataDxfId="754" totalsRowDxfId="753"/>
    <tableColumn id="11" name="10" dataDxfId="752" totalsRowDxfId="751"/>
    <tableColumn id="12" name="11" dataDxfId="750" totalsRowDxfId="749"/>
    <tableColumn id="13" name="12" dataDxfId="748" totalsRowDxfId="747"/>
    <tableColumn id="14" name="13" dataDxfId="746" totalsRowDxfId="745"/>
    <tableColumn id="15" name="14" dataDxfId="744" totalsRowDxfId="743"/>
    <tableColumn id="16" name="15" dataDxfId="742" totalsRowDxfId="741"/>
    <tableColumn id="17" name="16" dataDxfId="740" totalsRowDxfId="739"/>
    <tableColumn id="18" name="17" dataDxfId="738" totalsRowDxfId="737"/>
    <tableColumn id="19" name="18" dataDxfId="736" totalsRowDxfId="735"/>
    <tableColumn id="20" name="19" dataDxfId="734" totalsRowDxfId="733"/>
    <tableColumn id="21" name="20" dataDxfId="732" totalsRowDxfId="731"/>
    <tableColumn id="22" name="21" dataDxfId="730" totalsRowDxfId="729"/>
    <tableColumn id="23" name="22" dataDxfId="728" totalsRowDxfId="727"/>
    <tableColumn id="24" name="23" dataDxfId="726" totalsRowDxfId="725"/>
    <tableColumn id="25" name="24" dataDxfId="724" totalsRowDxfId="723"/>
    <tableColumn id="26" name="25" dataDxfId="722" totalsRowDxfId="721"/>
    <tableColumn id="27" name="26" dataDxfId="720" totalsRowDxfId="719"/>
    <tableColumn id="28" name="27" dataDxfId="718" totalsRowDxfId="717"/>
    <tableColumn id="29" name="28" dataDxfId="716" totalsRowDxfId="715"/>
    <tableColumn id="30" name="29" dataDxfId="714" totalsRowDxfId="713"/>
    <tableColumn id="31" name="30" dataDxfId="712" totalsRowDxfId="711"/>
    <tableColumn id="32" name="31" dataDxfId="710" totalsRowDxfId="709"/>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9.xml><?xml version="1.0" encoding="utf-8"?>
<table xmlns="http://schemas.openxmlformats.org/spreadsheetml/2006/main" id="17" name="Mai_18" displayName="Mai_18" ref="A54:AF60" totalsRowShown="0" headerRowDxfId="708" dataDxfId="707" totalsRowDxfId="705" tableBorderDxfId="706" totalsRowBorderDxfId="704">
  <tableColumns count="32">
    <tableColumn id="1" name="Nom de l’employé" dataDxfId="703" totalsRowDxfId="702" dataCellStyle="Employé"/>
    <tableColumn id="2" name="1" dataDxfId="701" totalsRowDxfId="700"/>
    <tableColumn id="3" name="2" dataDxfId="699" totalsRowDxfId="698"/>
    <tableColumn id="4" name="3" dataDxfId="697" totalsRowDxfId="696"/>
    <tableColumn id="5" name="4" dataDxfId="695" totalsRowDxfId="694"/>
    <tableColumn id="6" name="5" dataDxfId="693" totalsRowDxfId="692"/>
    <tableColumn id="7" name="6" dataDxfId="691" totalsRowDxfId="690"/>
    <tableColumn id="8" name="7" dataDxfId="689" totalsRowDxfId="688"/>
    <tableColumn id="9" name="8" dataDxfId="687" totalsRowDxfId="686"/>
    <tableColumn id="10" name="9" dataDxfId="685" totalsRowDxfId="684"/>
    <tableColumn id="11" name="10" dataDxfId="683" totalsRowDxfId="682"/>
    <tableColumn id="12" name="11" dataDxfId="681" totalsRowDxfId="680"/>
    <tableColumn id="13" name="12" dataDxfId="679" totalsRowDxfId="678"/>
    <tableColumn id="14" name="13" dataDxfId="677" totalsRowDxfId="676"/>
    <tableColumn id="15" name="14" dataDxfId="675" totalsRowDxfId="674"/>
    <tableColumn id="16" name="15" dataDxfId="673" totalsRowDxfId="672"/>
    <tableColumn id="17" name="16" dataDxfId="671" totalsRowDxfId="670"/>
    <tableColumn id="18" name="17" dataDxfId="669" totalsRowDxfId="668"/>
    <tableColumn id="19" name="18" dataDxfId="667" totalsRowDxfId="666"/>
    <tableColumn id="20" name="19" dataDxfId="665" totalsRowDxfId="664"/>
    <tableColumn id="21" name="20" dataDxfId="663" totalsRowDxfId="662"/>
    <tableColumn id="22" name="21" dataDxfId="661" totalsRowDxfId="660"/>
    <tableColumn id="23" name="22" dataDxfId="659" totalsRowDxfId="658"/>
    <tableColumn id="24" name="23" dataDxfId="657" totalsRowDxfId="656"/>
    <tableColumn id="25" name="24" dataDxfId="655" totalsRowDxfId="654"/>
    <tableColumn id="26" name="25" dataDxfId="653" totalsRowDxfId="652"/>
    <tableColumn id="27" name="26" dataDxfId="651" totalsRowDxfId="650"/>
    <tableColumn id="28" name="27" dataDxfId="649" totalsRowDxfId="648"/>
    <tableColumn id="29" name="28" dataDxfId="647" totalsRowDxfId="646"/>
    <tableColumn id="30" name="29" dataDxfId="645" totalsRowDxfId="644"/>
    <tableColumn id="31" name="30" dataDxfId="643" totalsRowDxfId="642"/>
    <tableColumn id="32" name="31" dataDxfId="641" totalsRowDxfId="640"/>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0.xml><?xml version="1.0" encoding="utf-8"?>
<table xmlns="http://schemas.openxmlformats.org/spreadsheetml/2006/main" id="18" name="Juin19" displayName="Juin19" ref="A66:AF72" totalsRowShown="0" headerRowDxfId="639" dataDxfId="638" totalsRowDxfId="636" tableBorderDxfId="637" totalsRowBorderDxfId="635">
  <tableColumns count="32">
    <tableColumn id="1" name="Nom de l’employé" dataDxfId="634" totalsRowDxfId="633" dataCellStyle="Employé"/>
    <tableColumn id="2" name="1" dataDxfId="632" totalsRowDxfId="631"/>
    <tableColumn id="3" name="2" dataDxfId="630" totalsRowDxfId="629"/>
    <tableColumn id="4" name="3" dataDxfId="628" totalsRowDxfId="627"/>
    <tableColumn id="5" name="4" dataDxfId="626" totalsRowDxfId="625"/>
    <tableColumn id="6" name="5" dataDxfId="624"/>
    <tableColumn id="7" name="6" dataDxfId="623" totalsRowDxfId="622"/>
    <tableColumn id="8" name="7" dataDxfId="621" totalsRowDxfId="620"/>
    <tableColumn id="9" name="8" dataDxfId="619" totalsRowDxfId="618"/>
    <tableColumn id="10" name="9" dataDxfId="617" totalsRowDxfId="616"/>
    <tableColumn id="11" name="10" dataDxfId="615" totalsRowDxfId="614"/>
    <tableColumn id="12" name="11" dataDxfId="613" totalsRowDxfId="612"/>
    <tableColumn id="13" name="12" dataDxfId="611" totalsRowDxfId="610"/>
    <tableColumn id="14" name="13" dataDxfId="609" totalsRowDxfId="608"/>
    <tableColumn id="15" name="14" dataDxfId="607" totalsRowDxfId="606"/>
    <tableColumn id="16" name="15" dataDxfId="605" totalsRowDxfId="604"/>
    <tableColumn id="17" name="16" dataDxfId="603" totalsRowDxfId="602"/>
    <tableColumn id="18" name="17" dataDxfId="601" totalsRowDxfId="600"/>
    <tableColumn id="19" name="18" dataDxfId="599" totalsRowDxfId="598"/>
    <tableColumn id="20" name="19" dataDxfId="597" totalsRowDxfId="596"/>
    <tableColumn id="21" name="20" dataDxfId="595" totalsRowDxfId="594"/>
    <tableColumn id="22" name="21" dataDxfId="593" totalsRowDxfId="592"/>
    <tableColumn id="23" name="22" dataDxfId="591" totalsRowDxfId="590"/>
    <tableColumn id="24" name="23" dataDxfId="589" totalsRowDxfId="588"/>
    <tableColumn id="25" name="24" dataDxfId="587" totalsRowDxfId="586"/>
    <tableColumn id="26" name="25" dataDxfId="585" totalsRowDxfId="584"/>
    <tableColumn id="27" name="26" dataDxfId="583" totalsRowDxfId="582"/>
    <tableColumn id="28" name="27" dataDxfId="581" totalsRowDxfId="580"/>
    <tableColumn id="29" name="28" dataDxfId="579" totalsRowDxfId="578"/>
    <tableColumn id="30" name="29" dataDxfId="577" totalsRowDxfId="576"/>
    <tableColumn id="31" name="30" dataDxfId="575" totalsRowDxfId="574"/>
    <tableColumn id="32" name="31" dataDxfId="573" totalsRowDxfId="572"/>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1.xml><?xml version="1.0" encoding="utf-8"?>
<table xmlns="http://schemas.openxmlformats.org/spreadsheetml/2006/main" id="19" name="Juillet20" displayName="Juillet20" ref="A78:AF84" totalsRowShown="0" headerRowDxfId="571" dataDxfId="570" totalsRowDxfId="568" tableBorderDxfId="569" totalsRowBorderDxfId="567">
  <tableColumns count="32">
    <tableColumn id="1" name="Nom de l’employé" dataDxfId="566" totalsRowDxfId="565" dataCellStyle="Employé"/>
    <tableColumn id="2" name="1" dataDxfId="564" totalsRowDxfId="563"/>
    <tableColumn id="3" name="2" dataDxfId="562" totalsRowDxfId="561"/>
    <tableColumn id="4" name="3" dataDxfId="560" totalsRowDxfId="559"/>
    <tableColumn id="5" name="4" dataDxfId="558" totalsRowDxfId="557"/>
    <tableColumn id="6" name="5" dataDxfId="556" totalsRowDxfId="555"/>
    <tableColumn id="7" name="6" dataDxfId="554" totalsRowDxfId="553"/>
    <tableColumn id="8" name="7" dataDxfId="552" totalsRowDxfId="551"/>
    <tableColumn id="9" name="8" dataDxfId="550" totalsRowDxfId="549"/>
    <tableColumn id="10" name="9" dataDxfId="548" totalsRowDxfId="547"/>
    <tableColumn id="11" name="10" dataDxfId="546" totalsRowDxfId="545"/>
    <tableColumn id="12" name="11" dataDxfId="544" totalsRowDxfId="543"/>
    <tableColumn id="13" name="12" dataDxfId="542" totalsRowDxfId="541"/>
    <tableColumn id="14" name="13" dataDxfId="540" totalsRowDxfId="539"/>
    <tableColumn id="15" name="14" dataDxfId="538" totalsRowDxfId="537"/>
    <tableColumn id="16" name="15" dataDxfId="536" totalsRowDxfId="535"/>
    <tableColumn id="17" name="16" dataDxfId="534" totalsRowDxfId="533"/>
    <tableColumn id="18" name="17" dataDxfId="532" totalsRowDxfId="531"/>
    <tableColumn id="19" name="18" dataDxfId="530" totalsRowDxfId="529"/>
    <tableColumn id="20" name="19" dataDxfId="528" totalsRowDxfId="527"/>
    <tableColumn id="21" name="20" dataDxfId="526" totalsRowDxfId="525"/>
    <tableColumn id="22" name="21" dataDxfId="524" totalsRowDxfId="523"/>
    <tableColumn id="23" name="22" dataDxfId="522" totalsRowDxfId="521"/>
    <tableColumn id="24" name="23" dataDxfId="520" totalsRowDxfId="519"/>
    <tableColumn id="25" name="24" dataDxfId="518" totalsRowDxfId="517"/>
    <tableColumn id="26" name="25" dataDxfId="516" totalsRowDxfId="515"/>
    <tableColumn id="27" name="26" dataDxfId="514" totalsRowDxfId="513"/>
    <tableColumn id="28" name="27" dataDxfId="512" totalsRowDxfId="511"/>
    <tableColumn id="29" name="28" dataDxfId="510" totalsRowDxfId="509"/>
    <tableColumn id="30" name="29" dataDxfId="508" totalsRowDxfId="507"/>
    <tableColumn id="31" name="30" dataDxfId="506" totalsRowDxfId="505"/>
    <tableColumn id="32" name="31" dataDxfId="504" totalsRowDxfId="503"/>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2.xml><?xml version="1.0" encoding="utf-8"?>
<table xmlns="http://schemas.openxmlformats.org/spreadsheetml/2006/main" id="20" name="Aout21" displayName="Aout21" ref="A90:AF96" totalsRowShown="0" headerRowDxfId="502" dataDxfId="501" totalsRowDxfId="499" tableBorderDxfId="500" totalsRowBorderDxfId="498">
  <tableColumns count="32">
    <tableColumn id="1" name="Nom de l’employé" dataDxfId="497" totalsRowDxfId="496" dataCellStyle="Employé"/>
    <tableColumn id="2" name="1" dataDxfId="495" totalsRowDxfId="494"/>
    <tableColumn id="3" name="2" dataDxfId="493" totalsRowDxfId="492"/>
    <tableColumn id="4" name="3" dataDxfId="491" totalsRowDxfId="490"/>
    <tableColumn id="5" name="4" dataDxfId="489" totalsRowDxfId="488"/>
    <tableColumn id="6" name="5" dataDxfId="487" totalsRowDxfId="486"/>
    <tableColumn id="7" name="6" dataDxfId="485" totalsRowDxfId="484"/>
    <tableColumn id="8" name="7" dataDxfId="483" totalsRowDxfId="482"/>
    <tableColumn id="9" name="8" dataDxfId="481" totalsRowDxfId="480"/>
    <tableColumn id="10" name="9" dataDxfId="479" totalsRowDxfId="478"/>
    <tableColumn id="11" name="10" dataDxfId="477" totalsRowDxfId="476"/>
    <tableColumn id="12" name="11" dataDxfId="475" totalsRowDxfId="474"/>
    <tableColumn id="13" name="12" dataDxfId="473" totalsRowDxfId="472"/>
    <tableColumn id="14" name="13" dataDxfId="471" totalsRowDxfId="470"/>
    <tableColumn id="15" name="14" dataDxfId="469" totalsRowDxfId="468"/>
    <tableColumn id="16" name="15" dataDxfId="467" totalsRowDxfId="466"/>
    <tableColumn id="17" name="16" dataDxfId="465" totalsRowDxfId="464"/>
    <tableColumn id="18" name="17" dataDxfId="463" totalsRowDxfId="462"/>
    <tableColumn id="19" name="18" dataDxfId="461" totalsRowDxfId="460"/>
    <tableColumn id="20" name="19" dataDxfId="459" totalsRowDxfId="458"/>
    <tableColumn id="21" name="20" dataDxfId="457" totalsRowDxfId="456"/>
    <tableColumn id="22" name="21" dataDxfId="455" totalsRowDxfId="454"/>
    <tableColumn id="23" name="22" dataDxfId="453" totalsRowDxfId="452"/>
    <tableColumn id="24" name="23" dataDxfId="451" totalsRowDxfId="450"/>
    <tableColumn id="25" name="24" dataDxfId="449" totalsRowDxfId="448"/>
    <tableColumn id="26" name="25" dataDxfId="447" totalsRowDxfId="446"/>
    <tableColumn id="27" name="26" dataDxfId="445" totalsRowDxfId="444"/>
    <tableColumn id="28" name="27" dataDxfId="443" totalsRowDxfId="442"/>
    <tableColumn id="29" name="28" dataDxfId="441" totalsRowDxfId="440"/>
    <tableColumn id="30" name="29" dataDxfId="439" totalsRowDxfId="438"/>
    <tableColumn id="31" name="30" dataDxfId="437" totalsRowDxfId="436"/>
    <tableColumn id="32" name="31" dataDxfId="435" totalsRowDxfId="434"/>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3.xml><?xml version="1.0" encoding="utf-8"?>
<table xmlns="http://schemas.openxmlformats.org/spreadsheetml/2006/main" id="21" name="Septembre22" displayName="Septembre22" ref="A102:AF108" totalsRowShown="0" headerRowDxfId="433" dataDxfId="432" totalsRowDxfId="430" tableBorderDxfId="431" totalsRowBorderDxfId="429">
  <tableColumns count="32">
    <tableColumn id="1" name="Nom de l’employé" dataDxfId="428" totalsRowDxfId="427" dataCellStyle="Employé"/>
    <tableColumn id="2" name="1" dataDxfId="426" totalsRowDxfId="425"/>
    <tableColumn id="3" name="2" dataDxfId="424" totalsRowDxfId="423"/>
    <tableColumn id="4" name="3" dataDxfId="422" totalsRowDxfId="421"/>
    <tableColumn id="5" name="4" dataDxfId="420" totalsRowDxfId="419"/>
    <tableColumn id="6" name="5" dataDxfId="418" totalsRowDxfId="417"/>
    <tableColumn id="7" name="6" dataDxfId="416" totalsRowDxfId="415"/>
    <tableColumn id="8" name="7" dataDxfId="414" totalsRowDxfId="413"/>
    <tableColumn id="9" name="8" dataDxfId="412" totalsRowDxfId="411"/>
    <tableColumn id="10" name="9" dataDxfId="410" totalsRowDxfId="409"/>
    <tableColumn id="11" name="10" dataDxfId="408" totalsRowDxfId="407"/>
    <tableColumn id="12" name="11" dataDxfId="406" totalsRowDxfId="405"/>
    <tableColumn id="13" name="12" dataDxfId="404" totalsRowDxfId="403"/>
    <tableColumn id="14" name="13" dataDxfId="402" totalsRowDxfId="401"/>
    <tableColumn id="15" name="14" dataDxfId="400" totalsRowDxfId="399"/>
    <tableColumn id="16" name="15" dataDxfId="398" totalsRowDxfId="397"/>
    <tableColumn id="17" name="16" dataDxfId="396" totalsRowDxfId="395"/>
    <tableColumn id="18" name="17" dataDxfId="394" totalsRowDxfId="393"/>
    <tableColumn id="19" name="18" dataDxfId="392" totalsRowDxfId="391"/>
    <tableColumn id="20" name="19" dataDxfId="390" totalsRowDxfId="389"/>
    <tableColumn id="21" name="20" dataDxfId="388" totalsRowDxfId="387"/>
    <tableColumn id="22" name="21" dataDxfId="386" totalsRowDxfId="385"/>
    <tableColumn id="23" name="22" dataDxfId="384" totalsRowDxfId="383"/>
    <tableColumn id="24" name="23" dataDxfId="382" totalsRowDxfId="381"/>
    <tableColumn id="25" name="24" dataDxfId="380" totalsRowDxfId="379"/>
    <tableColumn id="26" name="25" dataDxfId="378" totalsRowDxfId="377"/>
    <tableColumn id="27" name="26" dataDxfId="376" totalsRowDxfId="375"/>
    <tableColumn id="28" name="27" dataDxfId="374" totalsRowDxfId="373"/>
    <tableColumn id="29" name="28" dataDxfId="372" totalsRowDxfId="371"/>
    <tableColumn id="30" name="29" dataDxfId="370" totalsRowDxfId="369"/>
    <tableColumn id="31" name="30" dataDxfId="368" totalsRowDxfId="367"/>
    <tableColumn id="32" name="31" dataDxfId="366" totalsRowDxfId="365"/>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4.xml><?xml version="1.0" encoding="utf-8"?>
<table xmlns="http://schemas.openxmlformats.org/spreadsheetml/2006/main" id="22" name="Octobre23" displayName="Octobre23" ref="A114:AF120" totalsRowShown="0" headerRowDxfId="364" dataDxfId="363" totalsRowDxfId="361" tableBorderDxfId="362" totalsRowBorderDxfId="360">
  <tableColumns count="32">
    <tableColumn id="1" name="Nom de l’employé" dataDxfId="359" totalsRowDxfId="358" dataCellStyle="Employé"/>
    <tableColumn id="2" name="1" dataDxfId="357" totalsRowDxfId="356"/>
    <tableColumn id="3" name="2" dataDxfId="355" totalsRowDxfId="354"/>
    <tableColumn id="4" name="3" dataDxfId="353" totalsRowDxfId="352"/>
    <tableColumn id="5" name="4" dataDxfId="351" totalsRowDxfId="350"/>
    <tableColumn id="6" name="5" dataDxfId="349" totalsRowDxfId="348"/>
    <tableColumn id="7" name="6" dataDxfId="347" totalsRowDxfId="346"/>
    <tableColumn id="8" name="7" dataDxfId="345" totalsRowDxfId="344"/>
    <tableColumn id="9" name="8" dataDxfId="343" totalsRowDxfId="342"/>
    <tableColumn id="10" name="9" dataDxfId="341" totalsRowDxfId="340"/>
    <tableColumn id="11" name="10" dataDxfId="339" totalsRowDxfId="338"/>
    <tableColumn id="12" name="11" dataDxfId="337" totalsRowDxfId="336"/>
    <tableColumn id="13" name="12" dataDxfId="335" totalsRowDxfId="334"/>
    <tableColumn id="14" name="13" dataDxfId="333" totalsRowDxfId="332"/>
    <tableColumn id="15" name="14" dataDxfId="331" totalsRowDxfId="330"/>
    <tableColumn id="16" name="15" dataDxfId="329" totalsRowDxfId="328"/>
    <tableColumn id="17" name="16" dataDxfId="327" totalsRowDxfId="326"/>
    <tableColumn id="18" name="17" dataDxfId="325" totalsRowDxfId="324"/>
    <tableColumn id="19" name="18" dataDxfId="323" totalsRowDxfId="322"/>
    <tableColumn id="20" name="19" dataDxfId="321" totalsRowDxfId="320"/>
    <tableColumn id="21" name="20" dataDxfId="319" totalsRowDxfId="318"/>
    <tableColumn id="22" name="21" dataDxfId="317" totalsRowDxfId="316"/>
    <tableColumn id="23" name="22" dataDxfId="315" totalsRowDxfId="314"/>
    <tableColumn id="24" name="23" dataDxfId="313" totalsRowDxfId="312"/>
    <tableColumn id="25" name="24" dataDxfId="311" totalsRowDxfId="310"/>
    <tableColumn id="26" name="25" dataDxfId="309" totalsRowDxfId="308"/>
    <tableColumn id="27" name="26" dataDxfId="307" totalsRowDxfId="306"/>
    <tableColumn id="28" name="27" dataDxfId="305" totalsRowDxfId="304"/>
    <tableColumn id="29" name="28" dataDxfId="303" totalsRowDxfId="302"/>
    <tableColumn id="30" name="29" dataDxfId="301" totalsRowDxfId="300"/>
    <tableColumn id="31" name="30" dataDxfId="299" totalsRowDxfId="298"/>
    <tableColumn id="32" name="31" dataDxfId="297" totalsRowDxfId="296"/>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5.xml><?xml version="1.0" encoding="utf-8"?>
<table xmlns="http://schemas.openxmlformats.org/spreadsheetml/2006/main" id="23" name="Novembre24" displayName="Novembre24" ref="A126:AF132" totalsRowShown="0" headerRowDxfId="295" dataDxfId="294" totalsRowDxfId="292" tableBorderDxfId="293" totalsRowBorderDxfId="291">
  <tableColumns count="32">
    <tableColumn id="1" name="Nom de l’employé" dataDxfId="290" totalsRowDxfId="289" dataCellStyle="Employé"/>
    <tableColumn id="2" name="1" dataDxfId="288" totalsRowDxfId="287"/>
    <tableColumn id="3" name="2" dataDxfId="286" totalsRowDxfId="285"/>
    <tableColumn id="4" name="3" dataDxfId="284" totalsRowDxfId="283"/>
    <tableColumn id="5" name="4" dataDxfId="282" totalsRowDxfId="281"/>
    <tableColumn id="6" name="5" dataDxfId="280" totalsRowDxfId="279"/>
    <tableColumn id="7" name="6" dataDxfId="278" totalsRowDxfId="277"/>
    <tableColumn id="8" name="7" dataDxfId="276" totalsRowDxfId="275"/>
    <tableColumn id="9" name="8" dataDxfId="274" totalsRowDxfId="273"/>
    <tableColumn id="10" name="9" dataDxfId="272" totalsRowDxfId="271"/>
    <tableColumn id="11" name="10" dataDxfId="270" totalsRowDxfId="269"/>
    <tableColumn id="12" name="11" dataDxfId="268" totalsRowDxfId="267"/>
    <tableColumn id="13" name="12" dataDxfId="266" totalsRowDxfId="265"/>
    <tableColumn id="14" name="13" dataDxfId="264" totalsRowDxfId="263"/>
    <tableColumn id="15" name="14" dataDxfId="262" totalsRowDxfId="261"/>
    <tableColumn id="16" name="15" dataDxfId="260" totalsRowDxfId="259"/>
    <tableColumn id="17" name="16" dataDxfId="258" totalsRowDxfId="257"/>
    <tableColumn id="18" name="17" dataDxfId="256" totalsRowDxfId="255"/>
    <tableColumn id="19" name="18" dataDxfId="254" totalsRowDxfId="253"/>
    <tableColumn id="20" name="19" dataDxfId="252" totalsRowDxfId="251"/>
    <tableColumn id="21" name="20" dataDxfId="250" totalsRowDxfId="249"/>
    <tableColumn id="22" name="21" dataDxfId="248" totalsRowDxfId="247"/>
    <tableColumn id="23" name="22" dataDxfId="246" totalsRowDxfId="245"/>
    <tableColumn id="24" name="23" dataDxfId="244" totalsRowDxfId="243"/>
    <tableColumn id="25" name="24" dataDxfId="242" totalsRowDxfId="241"/>
    <tableColumn id="26" name="25" dataDxfId="240" totalsRowDxfId="239"/>
    <tableColumn id="27" name="26" dataDxfId="238" totalsRowDxfId="237"/>
    <tableColumn id="28" name="27" dataDxfId="236" totalsRowDxfId="235"/>
    <tableColumn id="29" name="28" dataDxfId="234" totalsRowDxfId="233"/>
    <tableColumn id="30" name="29" dataDxfId="232" totalsRowDxfId="231"/>
    <tableColumn id="31" name="30" dataDxfId="230" totalsRowDxfId="229"/>
    <tableColumn id="32" name="31" dataDxfId="228" totalsRowDxfId="227"/>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6.xml><?xml version="1.0" encoding="utf-8"?>
<table xmlns="http://schemas.openxmlformats.org/spreadsheetml/2006/main" id="24" name="Décembre25" displayName="Décembre25" ref="A138:AF145" totalsRowShown="0" headerRowDxfId="226" dataDxfId="225" totalsRowDxfId="223" tableBorderDxfId="224" totalsRowBorderDxfId="222">
  <tableColumns count="32">
    <tableColumn id="1" name="Nom de l’employé" dataDxfId="221" totalsRowDxfId="220" dataCellStyle="Employé"/>
    <tableColumn id="2" name="1" dataDxfId="219" totalsRowDxfId="218"/>
    <tableColumn id="3" name="2" dataDxfId="217" totalsRowDxfId="216"/>
    <tableColumn id="4" name="3" dataDxfId="215" totalsRowDxfId="214"/>
    <tableColumn id="5" name="4" dataDxfId="213" totalsRowDxfId="212"/>
    <tableColumn id="6" name="5" dataDxfId="211" totalsRowDxfId="210"/>
    <tableColumn id="7" name="6" dataDxfId="209" totalsRowDxfId="208"/>
    <tableColumn id="8" name="7" dataDxfId="207" totalsRowDxfId="206"/>
    <tableColumn id="9" name="8" dataDxfId="205" totalsRowDxfId="204"/>
    <tableColumn id="10" name="9" dataDxfId="203" totalsRowDxfId="202"/>
    <tableColumn id="11" name="10" dataDxfId="201" totalsRowDxfId="200"/>
    <tableColumn id="12" name="11" dataDxfId="199" totalsRowDxfId="198"/>
    <tableColumn id="13" name="12" dataDxfId="197" totalsRowDxfId="196"/>
    <tableColumn id="14" name="13" dataDxfId="195" totalsRowDxfId="194"/>
    <tableColumn id="15" name="14" dataDxfId="193" totalsRowDxfId="192"/>
    <tableColumn id="16" name="15" dataDxfId="191" totalsRowDxfId="190"/>
    <tableColumn id="17" name="16" dataDxfId="189" totalsRowDxfId="188"/>
    <tableColumn id="18" name="17" dataDxfId="187" totalsRowDxfId="186"/>
    <tableColumn id="19" name="18" dataDxfId="185" totalsRowDxfId="184"/>
    <tableColumn id="20" name="19" dataDxfId="183" totalsRowDxfId="182"/>
    <tableColumn id="21" name="20" dataDxfId="181" totalsRowDxfId="180"/>
    <tableColumn id="22" name="21" dataDxfId="179" totalsRowDxfId="178"/>
    <tableColumn id="23" name="22" dataDxfId="177" totalsRowDxfId="176"/>
    <tableColumn id="24" name="23" dataDxfId="175" totalsRowDxfId="174"/>
    <tableColumn id="25" name="24" dataDxfId="173" totalsRowDxfId="172"/>
    <tableColumn id="26" name="25" dataDxfId="171" totalsRowDxfId="170"/>
    <tableColumn id="27" name="26" dataDxfId="169" totalsRowDxfId="168"/>
    <tableColumn id="28" name="27" dataDxfId="167" totalsRowDxfId="166"/>
    <tableColumn id="29" name="28" dataDxfId="165" totalsRowDxfId="164"/>
    <tableColumn id="30" name="29" dataDxfId="163" totalsRowDxfId="162"/>
    <tableColumn id="31" name="30" dataDxfId="161" totalsRowDxfId="160"/>
    <tableColumn id="32" name="31" dataDxfId="159" totalsRowDxfId="158"/>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7.xml><?xml version="1.0" encoding="utf-8"?>
<table xmlns="http://schemas.openxmlformats.org/spreadsheetml/2006/main" id="25" name="Recap_6" displayName="Recap_6" ref="AH66:AW72" totalsRowShown="0" dataDxfId="157" tableBorderDxfId="156">
  <tableColumns count="16">
    <tableColumn id="1" name="Nom de l’employé" dataDxfId="155" dataCellStyle="Employé"/>
    <tableColumn id="2" name="C" dataDxfId="154">
      <calculatedColumnFormula>COUNTIF(Juin19[[#This Row],[1]:[30]],AI$6)</calculatedColumnFormula>
    </tableColumn>
    <tableColumn id="3" name="C0,5" dataDxfId="153">
      <calculatedColumnFormula>COUNTIF(Juin19[[#This Row],[1]:[30]],AJ$6)/2</calculatedColumnFormula>
    </tableColumn>
    <tableColumn id="4" name="CP" dataDxfId="152">
      <calculatedColumnFormula>SUM(AI67:AJ67)</calculatedColumnFormula>
    </tableColumn>
    <tableColumn id="5" name="R" dataDxfId="151">
      <calculatedColumnFormula>COUNTIF(Juin19[[#This Row],[1]:[30]],AL$6)</calculatedColumnFormula>
    </tableColumn>
    <tableColumn id="6" name="R0,5" dataDxfId="150">
      <calculatedColumnFormula>COUNTIF(Juin19[[#This Row],[1]:[30]],AM$6)/2</calculatedColumnFormula>
    </tableColumn>
    <tableColumn id="7" name="RTT" dataDxfId="149">
      <calculatedColumnFormula>SUM(AL67:AM67)</calculatedColumnFormula>
    </tableColumn>
    <tableColumn id="8" name="M" dataDxfId="148">
      <calculatedColumnFormula>COUNTIF(Juin19[[#This Row],[1]:[30]],AO$6)</calculatedColumnFormula>
    </tableColumn>
    <tableColumn id="9" name="SS" dataDxfId="147">
      <calculatedColumnFormula>COUNTIF(Juin19[[#This Row],[1]:[30]],AP$6)</calculatedColumnFormula>
    </tableColumn>
    <tableColumn id="10" name="S0,5" dataDxfId="146">
      <calculatedColumnFormula>COUNTIF(Juin19[[#This Row],[1]:[30]],AQ$6)/2</calculatedColumnFormula>
    </tableColumn>
    <tableColumn id="11" name="SS2" dataDxfId="145">
      <calculatedColumnFormula>SUM(AP67:AQ67)</calculatedColumnFormula>
    </tableColumn>
    <tableColumn id="12" name="A" dataDxfId="144">
      <calculatedColumnFormula>COUNTIF(Juin19[[#This Row],[1]:[30]],AS$6)</calculatedColumnFormula>
    </tableColumn>
    <tableColumn id="13" name="A0,5" dataDxfId="143">
      <calculatedColumnFormula>COUNTIF(Juin19[[#This Row],[1]:[30]],AT$6)/2</calculatedColumnFormula>
    </tableColumn>
    <tableColumn id="14" name="Autre" dataDxfId="142">
      <calculatedColumnFormula>SUM(AS67:AT67)</calculatedColumnFormula>
    </tableColumn>
    <tableColumn id="15" name="Total" dataDxfId="141">
      <calculatedColumnFormula>AK67+AN67+AO67+AR67+AU67</calculatedColumnFormula>
    </tableColumn>
    <tableColumn id="16" name="TR" dataDxfId="140">
      <calculatedColumnFormula>COUNTA(V55,AF55,W55,X55,Y55,Z55,AA55,AB55,AC55,AD55,AE55,B67:U67)</calculatedColumnFormula>
    </tableColumn>
  </tableColumns>
  <tableStyleInfo name="Tableau des absences des employés" showFirstColumn="1" showLastColumn="0" showRowStripes="1" showColumnStripes="0"/>
</table>
</file>

<file path=xl/tables/table38.xml><?xml version="1.0" encoding="utf-8"?>
<table xmlns="http://schemas.openxmlformats.org/spreadsheetml/2006/main" id="26" name="Recap_7" displayName="Recap_7" ref="AH78:AW84" totalsRowShown="0" dataDxfId="139" tableBorderDxfId="138">
  <tableColumns count="16">
    <tableColumn id="1" name="Nom de l’employé" dataDxfId="137" dataCellStyle="Employé"/>
    <tableColumn id="2" name="C" dataDxfId="136">
      <calculatedColumnFormula>COUNTIF(Juillet20[[#This Row],[1]:[31]],AI$6)</calculatedColumnFormula>
    </tableColumn>
    <tableColumn id="3" name="C0,5" dataDxfId="135">
      <calculatedColumnFormula>COUNTIF(Juillet20[[#This Row],[1]:[31]],AJ$6)/2</calculatedColumnFormula>
    </tableColumn>
    <tableColumn id="4" name="CP" dataDxfId="134">
      <calculatedColumnFormula>SUM(AI79:AJ79)</calculatedColumnFormula>
    </tableColumn>
    <tableColumn id="5" name="R" dataDxfId="133">
      <calculatedColumnFormula>COUNTIF(Juillet20[[#This Row],[1]:[31]],AL$6)</calculatedColumnFormula>
    </tableColumn>
    <tableColumn id="6" name="R0,5" dataDxfId="132">
      <calculatedColumnFormula>COUNTIF(Juillet20[[#This Row],[1]:[31]],AM$6)/2</calculatedColumnFormula>
    </tableColumn>
    <tableColumn id="7" name="RTT" dataDxfId="131">
      <calculatedColumnFormula>SUM(AL79:AM79)</calculatedColumnFormula>
    </tableColumn>
    <tableColumn id="8" name="M" dataDxfId="130">
      <calculatedColumnFormula>COUNTIF(Juillet20[[#This Row],[1]:[31]],AO$6)</calculatedColumnFormula>
    </tableColumn>
    <tableColumn id="9" name="SS" dataDxfId="129">
      <calculatedColumnFormula>COUNTIF(Juillet20[[#This Row],[1]:[31]],AP$6)</calculatedColumnFormula>
    </tableColumn>
    <tableColumn id="10" name="S0,5" dataDxfId="128">
      <calculatedColumnFormula>COUNTIF(Juillet20[[#This Row],[1]:[31]],AQ$6)/2</calculatedColumnFormula>
    </tableColumn>
    <tableColumn id="11" name="SS2" dataDxfId="127">
      <calculatedColumnFormula>SUM(AP79:AQ79)</calculatedColumnFormula>
    </tableColumn>
    <tableColumn id="12" name="A" dataDxfId="126">
      <calculatedColumnFormula>COUNTIF(Juillet20[[#This Row],[1]:[31]],AS$6)</calculatedColumnFormula>
    </tableColumn>
    <tableColumn id="13" name="A0,5" dataDxfId="125">
      <calculatedColumnFormula>COUNTIF(Juillet20[[#This Row],[1]:[31]],AT$6)/2</calculatedColumnFormula>
    </tableColumn>
    <tableColumn id="14" name="Autre" dataDxfId="124">
      <calculatedColumnFormula>SUM(AS79:AT79)</calculatedColumnFormula>
    </tableColumn>
    <tableColumn id="15" name="Total" dataDxfId="123">
      <calculatedColumnFormula>AK79+AN79+AO79+AR79+AU79</calculatedColumnFormula>
    </tableColumn>
    <tableColumn id="16" name="TR" dataDxfId="122">
      <calculatedColumnFormula>COUNTA(V67,AF67,W67,X67,Y67,Z67,AA67,AB67,AC67,AD67,AE67,B79:U79)</calculatedColumnFormula>
    </tableColumn>
  </tableColumns>
  <tableStyleInfo name="Tableau des absences des employés" showFirstColumn="1" showLastColumn="0" showRowStripes="1" showColumnStripes="0"/>
</table>
</file>

<file path=xl/tables/table39.xml><?xml version="1.0" encoding="utf-8"?>
<table xmlns="http://schemas.openxmlformats.org/spreadsheetml/2006/main" id="27" name="Recap_8" displayName="Recap_8" ref="AH90:AW96" totalsRowShown="0" dataDxfId="121" tableBorderDxfId="120">
  <tableColumns count="16">
    <tableColumn id="1" name="Nom de l’employé" dataDxfId="119" dataCellStyle="Employé"/>
    <tableColumn id="2" name="C" dataDxfId="118">
      <calculatedColumnFormula>COUNTIF(Aout21[[#This Row],[1]:[31]],AI$6)</calculatedColumnFormula>
    </tableColumn>
    <tableColumn id="3" name="C0,5" dataDxfId="117">
      <calculatedColumnFormula>COUNTIF(Aout21[[#This Row],[1]:[31]],AJ$6)/2</calculatedColumnFormula>
    </tableColumn>
    <tableColumn id="4" name="CP" dataDxfId="116">
      <calculatedColumnFormula>SUM(AI91:AJ91)</calculatedColumnFormula>
    </tableColumn>
    <tableColumn id="5" name="R" dataDxfId="115">
      <calculatedColumnFormula>COUNTIF(Aout21[[#This Row],[1]:[31]],AL$6)</calculatedColumnFormula>
    </tableColumn>
    <tableColumn id="6" name="R0,5" dataDxfId="114">
      <calculatedColumnFormula>COUNTIF(Aout21[[#This Row],[1]:[31]],AM$6)/2</calculatedColumnFormula>
    </tableColumn>
    <tableColumn id="7" name="RTT" dataDxfId="113">
      <calculatedColumnFormula>SUM(AL91:AM91)</calculatedColumnFormula>
    </tableColumn>
    <tableColumn id="8" name="M" dataDxfId="112">
      <calculatedColumnFormula>COUNTIF(Aout21[[#This Row],[1]:[31]],AO$6)</calculatedColumnFormula>
    </tableColumn>
    <tableColumn id="9" name="SS" dataDxfId="111">
      <calculatedColumnFormula>COUNTIF(Aout21[[#This Row],[1]:[31]],AP$6)</calculatedColumnFormula>
    </tableColumn>
    <tableColumn id="10" name="S0,5" dataDxfId="110">
      <calculatedColumnFormula>COUNTIF(Aout21[[#This Row],[1]:[31]],AQ$6)/2</calculatedColumnFormula>
    </tableColumn>
    <tableColumn id="11" name="SS2" dataDxfId="109">
      <calculatedColumnFormula>SUM(AP91:AQ91)</calculatedColumnFormula>
    </tableColumn>
    <tableColumn id="12" name="A" dataDxfId="108">
      <calculatedColumnFormula>COUNTIF(Aout21[[#This Row],[1]:[31]],AS$6)</calculatedColumnFormula>
    </tableColumn>
    <tableColumn id="13" name="A0,5" dataDxfId="107">
      <calculatedColumnFormula>COUNTIF(Aout21[[#This Row],[1]:[31]],AT$6)/2</calculatedColumnFormula>
    </tableColumn>
    <tableColumn id="14" name="Autre" dataDxfId="106">
      <calculatedColumnFormula>SUM(AS91:AT91)</calculatedColumnFormula>
    </tableColumn>
    <tableColumn id="15" name="Total" dataDxfId="105">
      <calculatedColumnFormula>AK91+AN91+AO91+AR91+AU91</calculatedColumnFormula>
    </tableColumn>
    <tableColumn id="16" name="TR" dataDxfId="104">
      <calculatedColumnFormula>COUNTA(V79,AF79,W79,X79,Y79,Z79,AA79,AB79,AC79,AD79,AE79,B91:U91)</calculatedColumnFormula>
    </tableColumn>
  </tableColumns>
  <tableStyleInfo name="Tableau des absences des employés" showFirstColumn="1" showLastColumn="0" showRowStripes="1" showColumnStripes="0"/>
</table>
</file>

<file path=xl/tables/table40.xml><?xml version="1.0" encoding="utf-8"?>
<table xmlns="http://schemas.openxmlformats.org/spreadsheetml/2006/main" id="28" name="Recap_9" displayName="Recap_9" ref="AH102:AW108" totalsRowShown="0" dataDxfId="103" tableBorderDxfId="102">
  <tableColumns count="16">
    <tableColumn id="1" name="Nom de l’employé" dataDxfId="101" dataCellStyle="Employé"/>
    <tableColumn id="2" name="C" dataDxfId="100">
      <calculatedColumnFormula>COUNTIF(Septembre22[[#This Row],[1]:[31]],AI$6)</calculatedColumnFormula>
    </tableColumn>
    <tableColumn id="3" name="C0,5" dataDxfId="99">
      <calculatedColumnFormula>COUNTIF(Septembre22[[#This Row],[1]:[31]],AJ$6)/2</calculatedColumnFormula>
    </tableColumn>
    <tableColumn id="4" name="CP" dataDxfId="98">
      <calculatedColumnFormula>SUM(AI103:AJ103)</calculatedColumnFormula>
    </tableColumn>
    <tableColumn id="5" name="R" dataDxfId="97">
      <calculatedColumnFormula>COUNTIF(Septembre22[[#This Row],[1]:[31]],AL$6)</calculatedColumnFormula>
    </tableColumn>
    <tableColumn id="6" name="R0,5" dataDxfId="96">
      <calculatedColumnFormula>COUNTIF(Septembre22[[#This Row],[1]:[31]],AM$6)/2</calculatedColumnFormula>
    </tableColumn>
    <tableColumn id="7" name="RTT" dataDxfId="95">
      <calculatedColumnFormula>SUM(AL103:AM103)</calculatedColumnFormula>
    </tableColumn>
    <tableColumn id="8" name="M" dataDxfId="94">
      <calculatedColumnFormula>COUNTIF(Septembre22[[#This Row],[1]:[31]],AO$6)</calculatedColumnFormula>
    </tableColumn>
    <tableColumn id="9" name="SS" dataDxfId="93">
      <calculatedColumnFormula>COUNTIF(Septembre22[[#This Row],[1]:[31]],AP$6)</calculatedColumnFormula>
    </tableColumn>
    <tableColumn id="10" name="S0,5" dataDxfId="92">
      <calculatedColumnFormula>COUNTIF(Septembre22[[#This Row],[1]:[31]],AQ$6)/2</calculatedColumnFormula>
    </tableColumn>
    <tableColumn id="11" name="SS2" dataDxfId="91">
      <calculatedColumnFormula>SUM(AP103:AQ103)</calculatedColumnFormula>
    </tableColumn>
    <tableColumn id="12" name="A" dataDxfId="90">
      <calculatedColumnFormula>COUNTIF(Septembre22[[#This Row],[1]:[31]],AS$6)</calculatedColumnFormula>
    </tableColumn>
    <tableColumn id="13" name="A0,5" dataDxfId="89">
      <calculatedColumnFormula>COUNTIF(Septembre22[[#This Row],[1]:[31]],AT$6)/2</calculatedColumnFormula>
    </tableColumn>
    <tableColumn id="14" name="Autre" dataDxfId="88">
      <calculatedColumnFormula>SUM(AS103:AT103)</calculatedColumnFormula>
    </tableColumn>
    <tableColumn id="15" name="Total" dataDxfId="87">
      <calculatedColumnFormula>AK103+AN103+AO103+AR103+AU103</calculatedColumnFormula>
    </tableColumn>
    <tableColumn id="16" name="TR" dataDxfId="86"/>
  </tableColumns>
  <tableStyleInfo name="Tableau des absences des employés" showFirstColumn="1" showLastColumn="0" showRowStripes="1" showColumnStripes="0"/>
</table>
</file>

<file path=xl/tables/table41.xml><?xml version="1.0" encoding="utf-8"?>
<table xmlns="http://schemas.openxmlformats.org/spreadsheetml/2006/main" id="29" name="Recap_10" displayName="Recap_10" ref="AH114:AW120" totalsRowShown="0" dataDxfId="85" tableBorderDxfId="84">
  <tableColumns count="16">
    <tableColumn id="1" name="Nom de l’employé" dataDxfId="83" dataCellStyle="Employé"/>
    <tableColumn id="2" name="C" dataDxfId="82">
      <calculatedColumnFormula>COUNTIF(Octobre23[[#This Row],[1]:[31]],AI$6)</calculatedColumnFormula>
    </tableColumn>
    <tableColumn id="3" name="C0,5" dataDxfId="81">
      <calculatedColumnFormula>COUNTIF(Octobre23[[#This Row],[1]:[31]],AJ$6)/2</calculatedColumnFormula>
    </tableColumn>
    <tableColumn id="4" name="CP" dataDxfId="80">
      <calculatedColumnFormula>SUM(AI115:AJ115)</calculatedColumnFormula>
    </tableColumn>
    <tableColumn id="5" name="R" dataDxfId="79">
      <calculatedColumnFormula>COUNTIF(Octobre23[[#This Row],[1]:[31]],AL$6)</calculatedColumnFormula>
    </tableColumn>
    <tableColumn id="6" name="R0,5" dataDxfId="78">
      <calculatedColumnFormula>COUNTIF(Octobre23[[#This Row],[1]:[31]],AM$6)/2</calculatedColumnFormula>
    </tableColumn>
    <tableColumn id="7" name="RTT" dataDxfId="77">
      <calculatedColumnFormula>SUM(AL115:AM115)</calculatedColumnFormula>
    </tableColumn>
    <tableColumn id="8" name="M" dataDxfId="76">
      <calculatedColumnFormula>COUNTIF(Octobre23[[#This Row],[1]:[31]],AO$6)</calculatedColumnFormula>
    </tableColumn>
    <tableColumn id="9" name="SS" dataDxfId="75">
      <calculatedColumnFormula>COUNTIF(Octobre23[[#This Row],[1]:[31]],AP$6)</calculatedColumnFormula>
    </tableColumn>
    <tableColumn id="10" name="S0,5" dataDxfId="74">
      <calculatedColumnFormula>COUNTIF(Octobre23[[#This Row],[1]:[31]],AQ$6)/2</calculatedColumnFormula>
    </tableColumn>
    <tableColumn id="11" name="SS2" dataDxfId="73">
      <calculatedColumnFormula>SUM(AP115:AQ115)</calculatedColumnFormula>
    </tableColumn>
    <tableColumn id="12" name="A" dataDxfId="72">
      <calculatedColumnFormula>COUNTIF(Octobre23[[#This Row],[1]:[31]],AS$6)</calculatedColumnFormula>
    </tableColumn>
    <tableColumn id="13" name="A0,5" dataDxfId="71">
      <calculatedColumnFormula>COUNTIF(Octobre23[[#This Row],[1]:[31]],AT$6)/2</calculatedColumnFormula>
    </tableColumn>
    <tableColumn id="14" name="Autre" dataDxfId="70">
      <calculatedColumnFormula>SUM(AS115:AT115)</calculatedColumnFormula>
    </tableColumn>
    <tableColumn id="15" name="Total" dataDxfId="69">
      <calculatedColumnFormula>AK115+AN115+AO115+AR115+AU115</calculatedColumnFormula>
    </tableColumn>
    <tableColumn id="16" name="TR" dataDxfId="68">
      <calculatedColumnFormula>COUNTA(V103,AF103,W103,X103,Y103,Z103,AA103,AB103,AC103,AD103,AE103,B115:U115)</calculatedColumnFormula>
    </tableColumn>
  </tableColumns>
  <tableStyleInfo name="Tableau des absences des employés" showFirstColumn="1" showLastColumn="0" showRowStripes="1" showColumnStripes="0"/>
</table>
</file>

<file path=xl/tables/table42.xml><?xml version="1.0" encoding="utf-8"?>
<table xmlns="http://schemas.openxmlformats.org/spreadsheetml/2006/main" id="30" name="Recap_11" displayName="Recap_11" ref="AH126:AW132" totalsRowShown="0" dataDxfId="67" tableBorderDxfId="66">
  <tableColumns count="16">
    <tableColumn id="1" name="Nom de l’employé" dataDxfId="65" dataCellStyle="Employé"/>
    <tableColumn id="2" name="C" dataDxfId="64">
      <calculatedColumnFormula>COUNTIF(Novembre24[[#This Row],[1]:[30]],AI$6)</calculatedColumnFormula>
    </tableColumn>
    <tableColumn id="3" name="C0,5" dataDxfId="63">
      <calculatedColumnFormula>COUNTIF(Novembre24[[#This Row],[1]:[30]],AJ$6)/2</calculatedColumnFormula>
    </tableColumn>
    <tableColumn id="4" name="CP" dataDxfId="62">
      <calculatedColumnFormula>SUM(AI127:AJ127)</calculatedColumnFormula>
    </tableColumn>
    <tableColumn id="5" name="R" dataDxfId="61">
      <calculatedColumnFormula>COUNTIF(Novembre24[[#This Row],[1]:[30]],AL$6)</calculatedColumnFormula>
    </tableColumn>
    <tableColumn id="6" name="R0,5" dataDxfId="60">
      <calculatedColumnFormula>COUNTIF(Novembre24[[#This Row],[1]:[30]],AM$6)/2</calculatedColumnFormula>
    </tableColumn>
    <tableColumn id="7" name="RTT" dataDxfId="59">
      <calculatedColumnFormula>SUM(AL127:AM127)</calculatedColumnFormula>
    </tableColumn>
    <tableColumn id="8" name="M" dataDxfId="58">
      <calculatedColumnFormula>COUNTIF(Novembre24[[#This Row],[1]:[30]],AO$6)</calculatedColumnFormula>
    </tableColumn>
    <tableColumn id="9" name="SS" dataDxfId="57">
      <calculatedColumnFormula>COUNTIF(Novembre24[[#This Row],[1]:[30]],AP$6)</calculatedColumnFormula>
    </tableColumn>
    <tableColumn id="10" name="S0,5" dataDxfId="56">
      <calculatedColumnFormula>COUNTIF(Novembre24[[#This Row],[1]:[30]],AQ$6)/2</calculatedColumnFormula>
    </tableColumn>
    <tableColumn id="11" name="SS2" dataDxfId="55">
      <calculatedColumnFormula>SUM(AP127:AQ127)</calculatedColumnFormula>
    </tableColumn>
    <tableColumn id="12" name="A" dataDxfId="54">
      <calculatedColumnFormula>COUNTIF(Novembre24[[#This Row],[1]:[30]],AS$6)</calculatedColumnFormula>
    </tableColumn>
    <tableColumn id="13" name="A0,5" dataDxfId="53">
      <calculatedColumnFormula>COUNTIF(Novembre24[[#This Row],[1]:[30]],AT$6)/2</calculatedColumnFormula>
    </tableColumn>
    <tableColumn id="14" name="Autre" dataDxfId="52">
      <calculatedColumnFormula>SUM(AS127:AT127)</calculatedColumnFormula>
    </tableColumn>
    <tableColumn id="15" name="Total" dataDxfId="51">
      <calculatedColumnFormula>AK127+AN127+AO127+AR127+AU127</calculatedColumnFormula>
    </tableColumn>
    <tableColumn id="16" name="TR" dataDxfId="50">
      <calculatedColumnFormula>COUNTA(V115,AF115,W115,X115,Y115,Z115,AA115,AB115,AC115,AD115,AE115,B127:U127)</calculatedColumnFormula>
    </tableColumn>
  </tableColumns>
  <tableStyleInfo name="Tableau des absences des employés" showFirstColumn="1" showLastColumn="0" showRowStripes="1" showColumnStripes="0"/>
</table>
</file>

<file path=xl/tables/table43.xml><?xml version="1.0" encoding="utf-8"?>
<table xmlns="http://schemas.openxmlformats.org/spreadsheetml/2006/main" id="31" name="Recap_12" displayName="Recap_12" ref="AH138:AW145" totalsRowShown="0" dataDxfId="49" tableBorderDxfId="48">
  <tableColumns count="16">
    <tableColumn id="1" name="Nom de l’employé" dataDxfId="47" dataCellStyle="Employé"/>
    <tableColumn id="2" name="C" dataDxfId="46">
      <calculatedColumnFormula>COUNTIF(Décembre25[[#This Row],[1]:[31]],AI$6)</calculatedColumnFormula>
    </tableColumn>
    <tableColumn id="3" name="C0,5" dataDxfId="45">
      <calculatedColumnFormula>COUNTIF(Décembre25[[#This Row],[1]:[31]],AJ$6)/2</calculatedColumnFormula>
    </tableColumn>
    <tableColumn id="4" name="CP" dataDxfId="44">
      <calculatedColumnFormula>SUM(AI139:AJ139)</calculatedColumnFormula>
    </tableColumn>
    <tableColumn id="5" name="R" dataDxfId="43">
      <calculatedColumnFormula>COUNTIF(Décembre25[[#This Row],[1]:[31]],AL$6)</calculatedColumnFormula>
    </tableColumn>
    <tableColumn id="6" name="R0,5" dataDxfId="42">
      <calculatedColumnFormula>COUNTIF(Décembre25[[#This Row],[1]:[31]],AM$6)/2</calculatedColumnFormula>
    </tableColumn>
    <tableColumn id="7" name="RTT" dataDxfId="41">
      <calculatedColumnFormula>SUM(AL139:AM139)</calculatedColumnFormula>
    </tableColumn>
    <tableColumn id="8" name="M" dataDxfId="40">
      <calculatedColumnFormula>COUNTIF(Décembre25[[#This Row],[1]:[31]],AO$6)</calculatedColumnFormula>
    </tableColumn>
    <tableColumn id="9" name="SS" dataDxfId="39">
      <calculatedColumnFormula>COUNTIF(Décembre25[[#This Row],[1]:[31]],AP$6)</calculatedColumnFormula>
    </tableColumn>
    <tableColumn id="10" name="S0,5" dataDxfId="38">
      <calculatedColumnFormula>COUNTIF(Décembre25[[#This Row],[1]:[31]],AQ$6)/2</calculatedColumnFormula>
    </tableColumn>
    <tableColumn id="11" name="SS2" dataDxfId="37">
      <calculatedColumnFormula>SUM(AP139:AQ139)</calculatedColumnFormula>
    </tableColumn>
    <tableColumn id="12" name="A" dataDxfId="36">
      <calculatedColumnFormula>COUNTIF(Décembre25[[#This Row],[1]:[31]],AS$6)</calculatedColumnFormula>
    </tableColumn>
    <tableColumn id="13" name="A0,5" dataDxfId="35">
      <calculatedColumnFormula>COUNTIF(Décembre25[[#This Row],[1]:[31]],AT$6)/2</calculatedColumnFormula>
    </tableColumn>
    <tableColumn id="14" name="Autre" dataDxfId="34"/>
    <tableColumn id="15" name="Total" dataDxfId="33">
      <calculatedColumnFormula>AK139+AN139+AO139+AR139+AU139</calculatedColumnFormula>
    </tableColumn>
    <tableColumn id="16" name="TR" dataDxfId="32"/>
  </tableColumns>
  <tableStyleInfo name="Tableau des absences des employés"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tata@gmail.com" TargetMode="External"/><Relationship Id="rId1" Type="http://schemas.openxmlformats.org/officeDocument/2006/relationships/hyperlink" Target="mailto:luca.frenda@group-msa.com"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tete@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toto@gmail.com"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mailto:tyty@gmail.com"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mailto:tutu@gmail.com"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mailto:titi@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21" Type="http://schemas.openxmlformats.org/officeDocument/2006/relationships/table" Target="../tables/table20.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2.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31.xml"/><Relationship Id="rId13" Type="http://schemas.openxmlformats.org/officeDocument/2006/relationships/table" Target="../tables/table36.xml"/><Relationship Id="rId18" Type="http://schemas.openxmlformats.org/officeDocument/2006/relationships/table" Target="../tables/table41.xml"/><Relationship Id="rId3" Type="http://schemas.openxmlformats.org/officeDocument/2006/relationships/table" Target="../tables/table26.xml"/><Relationship Id="rId7" Type="http://schemas.openxmlformats.org/officeDocument/2006/relationships/table" Target="../tables/table30.xml"/><Relationship Id="rId12" Type="http://schemas.openxmlformats.org/officeDocument/2006/relationships/table" Target="../tables/table35.xml"/><Relationship Id="rId17" Type="http://schemas.openxmlformats.org/officeDocument/2006/relationships/table" Target="../tables/table40.xml"/><Relationship Id="rId2" Type="http://schemas.openxmlformats.org/officeDocument/2006/relationships/table" Target="../tables/table25.xml"/><Relationship Id="rId16" Type="http://schemas.openxmlformats.org/officeDocument/2006/relationships/table" Target="../tables/table39.xml"/><Relationship Id="rId20" Type="http://schemas.openxmlformats.org/officeDocument/2006/relationships/table" Target="../tables/table43.xml"/><Relationship Id="rId1" Type="http://schemas.openxmlformats.org/officeDocument/2006/relationships/printerSettings" Target="../printerSettings/printerSettings3.bin"/><Relationship Id="rId6" Type="http://schemas.openxmlformats.org/officeDocument/2006/relationships/table" Target="../tables/table29.xml"/><Relationship Id="rId11" Type="http://schemas.openxmlformats.org/officeDocument/2006/relationships/table" Target="../tables/table34.xml"/><Relationship Id="rId5" Type="http://schemas.openxmlformats.org/officeDocument/2006/relationships/table" Target="../tables/table28.xml"/><Relationship Id="rId15" Type="http://schemas.openxmlformats.org/officeDocument/2006/relationships/table" Target="../tables/table38.xml"/><Relationship Id="rId10" Type="http://schemas.openxmlformats.org/officeDocument/2006/relationships/table" Target="../tables/table33.xml"/><Relationship Id="rId19" Type="http://schemas.openxmlformats.org/officeDocument/2006/relationships/table" Target="../tables/table42.xml"/><Relationship Id="rId4" Type="http://schemas.openxmlformats.org/officeDocument/2006/relationships/table" Target="../tables/table27.xml"/><Relationship Id="rId9" Type="http://schemas.openxmlformats.org/officeDocument/2006/relationships/table" Target="../tables/table32.xml"/><Relationship Id="rId14" Type="http://schemas.openxmlformats.org/officeDocument/2006/relationships/table" Target="../tables/table3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trlProp" Target="../ctrlProps/ctrlProp2.xml"/></Relationships>
</file>

<file path=xl/worksheets/_rels/sheet11.xml.rels><?xml version="1.0" encoding="UTF-8" standalone="yes"?>
<Relationships xmlns="http://schemas.openxmlformats.org/package/2006/relationships"><Relationship Id="rId8" Type="http://schemas.openxmlformats.org/officeDocument/2006/relationships/hyperlink" Target="mailto:toto@gmail.com" TargetMode="External"/><Relationship Id="rId13" Type="http://schemas.openxmlformats.org/officeDocument/2006/relationships/hyperlink" Target="mailto:toto@gmail.com" TargetMode="External"/><Relationship Id="rId3" Type="http://schemas.openxmlformats.org/officeDocument/2006/relationships/hyperlink" Target="mailto:tata@gmail.com" TargetMode="External"/><Relationship Id="rId7" Type="http://schemas.openxmlformats.org/officeDocument/2006/relationships/hyperlink" Target="mailto:tyty@gmail.com" TargetMode="External"/><Relationship Id="rId12" Type="http://schemas.openxmlformats.org/officeDocument/2006/relationships/hyperlink" Target="mailto:toto@gmail.com" TargetMode="External"/><Relationship Id="rId2" Type="http://schemas.openxmlformats.org/officeDocument/2006/relationships/hyperlink" Target="mailto:toto@gmail.com" TargetMode="External"/><Relationship Id="rId1" Type="http://schemas.openxmlformats.org/officeDocument/2006/relationships/hyperlink" Target="mailto:toto@gmail.com" TargetMode="External"/><Relationship Id="rId6" Type="http://schemas.openxmlformats.org/officeDocument/2006/relationships/hyperlink" Target="mailto:tete@gmail.com" TargetMode="External"/><Relationship Id="rId11" Type="http://schemas.openxmlformats.org/officeDocument/2006/relationships/hyperlink" Target="mailto:toto@gmail.com" TargetMode="External"/><Relationship Id="rId5" Type="http://schemas.openxmlformats.org/officeDocument/2006/relationships/hyperlink" Target="mailto:tutu@gmail.com" TargetMode="External"/><Relationship Id="rId10" Type="http://schemas.openxmlformats.org/officeDocument/2006/relationships/hyperlink" Target="mailto:toto@gmail.com" TargetMode="External"/><Relationship Id="rId4" Type="http://schemas.openxmlformats.org/officeDocument/2006/relationships/hyperlink" Target="mailto:titi@gmail.com" TargetMode="External"/><Relationship Id="rId9" Type="http://schemas.openxmlformats.org/officeDocument/2006/relationships/hyperlink" Target="mailto:tot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30"/>
  <sheetViews>
    <sheetView showGridLines="0" workbookViewId="0">
      <selection activeCell="J18" sqref="J18"/>
    </sheetView>
  </sheetViews>
  <sheetFormatPr baseColWidth="10" defaultRowHeight="15" x14ac:dyDescent="0.25"/>
  <cols>
    <col min="1" max="1" width="33.140625" bestFit="1" customWidth="1"/>
    <col min="8" max="8" width="1.7109375" customWidth="1"/>
    <col min="9" max="9" width="16.42578125" customWidth="1"/>
  </cols>
  <sheetData>
    <row r="1" spans="1:10" ht="16.5" x14ac:dyDescent="0.25">
      <c r="A1" s="62" t="s">
        <v>2</v>
      </c>
      <c r="B1" s="62" t="s">
        <v>121</v>
      </c>
      <c r="C1" s="62" t="s">
        <v>1</v>
      </c>
      <c r="D1" s="62" t="s">
        <v>22</v>
      </c>
      <c r="E1" s="62" t="s">
        <v>5</v>
      </c>
    </row>
    <row r="2" spans="1:10" ht="16.5" x14ac:dyDescent="0.3">
      <c r="A2" s="85" t="s">
        <v>4</v>
      </c>
      <c r="B2" s="91">
        <v>25</v>
      </c>
      <c r="C2" s="136">
        <f>B2+B3</f>
        <v>33</v>
      </c>
      <c r="D2" s="136">
        <f>B22</f>
        <v>20</v>
      </c>
      <c r="E2" s="136">
        <f>C2-D2</f>
        <v>13</v>
      </c>
    </row>
    <row r="3" spans="1:10" ht="16.5" x14ac:dyDescent="0.3">
      <c r="A3" s="86" t="s">
        <v>21</v>
      </c>
      <c r="B3" s="91">
        <v>8</v>
      </c>
      <c r="C3" s="137"/>
      <c r="D3" s="137"/>
      <c r="E3" s="137"/>
    </row>
    <row r="4" spans="1:10" ht="16.5" x14ac:dyDescent="0.3">
      <c r="A4" s="87" t="s">
        <v>6</v>
      </c>
      <c r="B4" s="92">
        <f>J22</f>
        <v>7</v>
      </c>
      <c r="C4" s="138">
        <f>B4+B5</f>
        <v>12.5</v>
      </c>
      <c r="D4" s="138">
        <f>C22</f>
        <v>11.5</v>
      </c>
      <c r="E4" s="138">
        <f>C4-D4</f>
        <v>1</v>
      </c>
    </row>
    <row r="5" spans="1:10" ht="16.5" x14ac:dyDescent="0.3">
      <c r="A5" s="88" t="s">
        <v>7</v>
      </c>
      <c r="B5" s="92">
        <v>5.5</v>
      </c>
      <c r="C5" s="139"/>
      <c r="D5" s="139"/>
      <c r="E5" s="139"/>
    </row>
    <row r="6" spans="1:10" ht="16.5" x14ac:dyDescent="0.3">
      <c r="A6" s="89" t="s">
        <v>1</v>
      </c>
      <c r="B6" s="93"/>
      <c r="C6" s="93">
        <f>SUM(C2:C5)</f>
        <v>45.5</v>
      </c>
      <c r="D6" s="93">
        <f>SUM(D2:D5)</f>
        <v>31.5</v>
      </c>
      <c r="E6" s="93">
        <f>SUM(E2:E5)</f>
        <v>14</v>
      </c>
    </row>
    <row r="8" spans="1:10" s="1" customFormat="1" ht="16.5" x14ac:dyDescent="0.3">
      <c r="A8" s="95"/>
      <c r="B8" s="96" t="s">
        <v>76</v>
      </c>
      <c r="C8" s="97" t="s">
        <v>3</v>
      </c>
      <c r="D8" s="98" t="s">
        <v>25</v>
      </c>
      <c r="E8" s="99" t="s">
        <v>67</v>
      </c>
      <c r="F8" s="100" t="s">
        <v>69</v>
      </c>
      <c r="G8" s="101"/>
      <c r="H8" s="63"/>
      <c r="I8" s="135" t="s">
        <v>8</v>
      </c>
      <c r="J8" s="135"/>
    </row>
    <row r="9" spans="1:10" ht="33" x14ac:dyDescent="0.25">
      <c r="A9" s="94" t="s">
        <v>93</v>
      </c>
      <c r="B9" s="94" t="s">
        <v>0</v>
      </c>
      <c r="C9" s="94" t="s">
        <v>0</v>
      </c>
      <c r="D9" s="94" t="s">
        <v>0</v>
      </c>
      <c r="E9" s="94" t="s">
        <v>0</v>
      </c>
      <c r="F9" s="94" t="s">
        <v>0</v>
      </c>
      <c r="G9" s="94" t="s">
        <v>1</v>
      </c>
      <c r="I9" s="94" t="s">
        <v>93</v>
      </c>
      <c r="J9" s="94" t="s">
        <v>0</v>
      </c>
    </row>
    <row r="10" spans="1:10" ht="16.5" x14ac:dyDescent="0.3">
      <c r="A10" s="75" t="s">
        <v>14</v>
      </c>
      <c r="B10" s="73">
        <f>VLOOKUP($B$1,Recap_6[#All],4,FALSE)</f>
        <v>2</v>
      </c>
      <c r="C10" s="73">
        <f>VLOOKUP($B$1,Recap_6[#All],7,FALSE)</f>
        <v>1</v>
      </c>
      <c r="D10" s="73">
        <f>VLOOKUP($B$1,Recap_6[#All],8,FALSE)</f>
        <v>0</v>
      </c>
      <c r="E10" s="73">
        <f>VLOOKUP($B$1,Recap_6[#All],11,FALSE)</f>
        <v>0</v>
      </c>
      <c r="F10" s="73">
        <f>VLOOKUP($B$1,Recap_6[#All],14,FALSE)</f>
        <v>0</v>
      </c>
      <c r="G10" s="73">
        <f t="shared" ref="G10:G21" si="0">SUM(B10:F10)</f>
        <v>3</v>
      </c>
      <c r="I10" s="74" t="s">
        <v>14</v>
      </c>
      <c r="J10" s="73">
        <v>1</v>
      </c>
    </row>
    <row r="11" spans="1:10" ht="16.5" x14ac:dyDescent="0.3">
      <c r="A11" s="75" t="s">
        <v>15</v>
      </c>
      <c r="B11" s="73">
        <f>VLOOKUP($B$1,Recap_7[#All],4,FALSE)</f>
        <v>1</v>
      </c>
      <c r="C11" s="73">
        <f>VLOOKUP($B$1,Recap_7[#All],7,FALSE)</f>
        <v>0.5</v>
      </c>
      <c r="D11" s="73">
        <f>VLOOKUP($B$1,Recap_7[#All],8,FALSE)</f>
        <v>0</v>
      </c>
      <c r="E11" s="73">
        <f>VLOOKUP($B$1,Recap_7[#All],11,FALSE)</f>
        <v>0</v>
      </c>
      <c r="F11" s="73">
        <f>VLOOKUP($B$1,Recap_7[#All],14,FALSE)</f>
        <v>0.5</v>
      </c>
      <c r="G11" s="73">
        <f t="shared" si="0"/>
        <v>2</v>
      </c>
      <c r="I11" s="74" t="s">
        <v>15</v>
      </c>
      <c r="J11" s="73">
        <v>1</v>
      </c>
    </row>
    <row r="12" spans="1:10" ht="16.5" x14ac:dyDescent="0.3">
      <c r="A12" s="75" t="s">
        <v>16</v>
      </c>
      <c r="B12" s="73">
        <f>VLOOKUP($B$1,Recap_8[#All],4,FALSE)</f>
        <v>9</v>
      </c>
      <c r="C12" s="73">
        <f>VLOOKUP($B$1,Recap_8[#All],7,FALSE)</f>
        <v>4.5</v>
      </c>
      <c r="D12" s="73">
        <f>VLOOKUP($B$1,Recap_8[#All],8,FALSE)</f>
        <v>0</v>
      </c>
      <c r="E12" s="73">
        <f>VLOOKUP($B$1,Recap_8[#All],11,FALSE)</f>
        <v>0</v>
      </c>
      <c r="F12" s="73">
        <f>VLOOKUP($B$1,Recap_8[#All],14,FALSE)</f>
        <v>0</v>
      </c>
      <c r="G12" s="73">
        <f t="shared" si="0"/>
        <v>13.5</v>
      </c>
      <c r="I12" s="75" t="s">
        <v>16</v>
      </c>
      <c r="J12" s="73">
        <v>0</v>
      </c>
    </row>
    <row r="13" spans="1:10" ht="16.5" x14ac:dyDescent="0.3">
      <c r="A13" s="75" t="s">
        <v>17</v>
      </c>
      <c r="B13" s="73">
        <f>VLOOKUP($B$1,Recap_9[#All],4,FALSE)</f>
        <v>0</v>
      </c>
      <c r="C13" s="73">
        <f>VLOOKUP($B$1,Recap_9[#All],7,FALSE)</f>
        <v>1</v>
      </c>
      <c r="D13" s="73">
        <f>VLOOKUP($B$1,Recap_9[#All],8,FALSE)</f>
        <v>0</v>
      </c>
      <c r="E13" s="73">
        <f>VLOOKUP($B$1,Recap_9[#All],11,FALSE)</f>
        <v>0.5</v>
      </c>
      <c r="F13" s="73">
        <f>VLOOKUP($B$1,Recap_9[#All],14,FALSE)</f>
        <v>0</v>
      </c>
      <c r="G13" s="73">
        <f t="shared" si="0"/>
        <v>1.5</v>
      </c>
      <c r="I13" s="75" t="s">
        <v>17</v>
      </c>
      <c r="J13" s="73">
        <v>1</v>
      </c>
    </row>
    <row r="14" spans="1:10" ht="16.5" x14ac:dyDescent="0.3">
      <c r="A14" s="75" t="s">
        <v>18</v>
      </c>
      <c r="B14" s="73">
        <f>VLOOKUP($B$1,Recap_10[#All],4,FALSE)</f>
        <v>0</v>
      </c>
      <c r="C14" s="73">
        <f>VLOOKUP($B$1,Recap_10[#All],7,FALSE)</f>
        <v>1</v>
      </c>
      <c r="D14" s="73">
        <f>VLOOKUP($B$1,Recap_10[#All],8,FALSE)</f>
        <v>4</v>
      </c>
      <c r="E14" s="73">
        <f>VLOOKUP($B$1,Recap_10[#All],11,FALSE)</f>
        <v>0</v>
      </c>
      <c r="F14" s="73">
        <f>VLOOKUP($B$1,Recap_10[#All],14,FALSE)</f>
        <v>0</v>
      </c>
      <c r="G14" s="73">
        <f t="shared" si="0"/>
        <v>5</v>
      </c>
      <c r="I14" s="75" t="s">
        <v>18</v>
      </c>
      <c r="J14" s="73">
        <v>1</v>
      </c>
    </row>
    <row r="15" spans="1:10" ht="16.5" x14ac:dyDescent="0.3">
      <c r="A15" s="75" t="s">
        <v>19</v>
      </c>
      <c r="B15" s="73">
        <f>VLOOKUP($B$1,Recap_11[#All],4,FALSE)</f>
        <v>0</v>
      </c>
      <c r="C15" s="73">
        <f>VLOOKUP($B$1,Recap_11[#All],7,FALSE)</f>
        <v>0</v>
      </c>
      <c r="D15" s="73">
        <f>VLOOKUP($B$1,Recap_11[#All],8,FALSE)</f>
        <v>7</v>
      </c>
      <c r="E15" s="73">
        <f>VLOOKUP($B$1,Recap_11[#All],11,FALSE)</f>
        <v>0</v>
      </c>
      <c r="F15" s="73">
        <f>VLOOKUP($B$1,Recap_11[#All],14,FALSE)</f>
        <v>0</v>
      </c>
      <c r="G15" s="73">
        <f t="shared" si="0"/>
        <v>7</v>
      </c>
      <c r="I15" s="75" t="s">
        <v>19</v>
      </c>
      <c r="J15" s="73">
        <v>1</v>
      </c>
    </row>
    <row r="16" spans="1:10" ht="16.5" x14ac:dyDescent="0.3">
      <c r="A16" s="75" t="s">
        <v>20</v>
      </c>
      <c r="B16" s="73">
        <f>VLOOKUP($B$1,Recap_12[#All],4,FALSE)</f>
        <v>2</v>
      </c>
      <c r="C16" s="73">
        <f>VLOOKUP($B$1,Recap_12[#All],7,FALSE)</f>
        <v>2.5</v>
      </c>
      <c r="D16" s="73">
        <f>VLOOKUP($B$1,Recap_12[#All],8,FALSE)</f>
        <v>0</v>
      </c>
      <c r="E16" s="73">
        <f>VLOOKUP($B$1,Recap_12[#All],11,FALSE)</f>
        <v>0</v>
      </c>
      <c r="F16" s="73">
        <f>VLOOKUP($B$1,Recap_12[#All],14,FALSE)</f>
        <v>0</v>
      </c>
      <c r="G16" s="73">
        <f t="shared" si="0"/>
        <v>4.5</v>
      </c>
      <c r="I16" s="75" t="s">
        <v>20</v>
      </c>
      <c r="J16" s="73">
        <v>1</v>
      </c>
    </row>
    <row r="17" spans="1:10" ht="16.5" x14ac:dyDescent="0.3">
      <c r="A17" s="75" t="s">
        <v>9</v>
      </c>
      <c r="B17" s="73">
        <f>VLOOKUP($B$1,_1[#All],4,FALSE)</f>
        <v>0</v>
      </c>
      <c r="C17" s="73">
        <f>VLOOKUP($B$1,_1[#All],7,FALSE)</f>
        <v>1</v>
      </c>
      <c r="D17" s="73">
        <f>VLOOKUP($B$1,_1[#All],8,FALSE)</f>
        <v>2</v>
      </c>
      <c r="E17" s="73">
        <f>VLOOKUP($B$1,_1[#All],11,FALSE)</f>
        <v>0</v>
      </c>
      <c r="F17" s="73">
        <f>VLOOKUP($B$1,_1[#All],14,FALSE)</f>
        <v>0</v>
      </c>
      <c r="G17" s="73">
        <f t="shared" si="0"/>
        <v>3</v>
      </c>
      <c r="I17" s="75" t="s">
        <v>9</v>
      </c>
      <c r="J17" s="73">
        <v>1</v>
      </c>
    </row>
    <row r="18" spans="1:10" ht="16.5" x14ac:dyDescent="0.3">
      <c r="A18" s="75" t="s">
        <v>10</v>
      </c>
      <c r="B18" s="73">
        <f>VLOOKUP($B$1,_2[#All],4,FALSE)</f>
        <v>6</v>
      </c>
      <c r="C18" s="73">
        <f>VLOOKUP($B$1,_2[#All],7,FALSE)</f>
        <v>0</v>
      </c>
      <c r="D18" s="73">
        <f>VLOOKUP($B$1,_2[#All],8,FALSE)</f>
        <v>0</v>
      </c>
      <c r="E18" s="73">
        <f>VLOOKUP($B$1,_2[#All],11,FALSE)</f>
        <v>0</v>
      </c>
      <c r="F18" s="73">
        <f>VLOOKUP($B$1,_2[#All],14,FALSE)</f>
        <v>0</v>
      </c>
      <c r="G18" s="73">
        <f t="shared" si="0"/>
        <v>6</v>
      </c>
      <c r="I18" s="75" t="s">
        <v>10</v>
      </c>
      <c r="J18" s="73">
        <v>0</v>
      </c>
    </row>
    <row r="19" spans="1:10" ht="16.5" x14ac:dyDescent="0.3">
      <c r="A19" s="75" t="s">
        <v>11</v>
      </c>
      <c r="B19" s="73">
        <f>VLOOKUP($B$1,_3[#All],4,FALSE)</f>
        <v>0</v>
      </c>
      <c r="C19" s="73">
        <f>VLOOKUP($B$1,_3[#All],7,FALSE)</f>
        <v>0</v>
      </c>
      <c r="D19" s="73">
        <f>VLOOKUP($B$1,_3[#All],8,FALSE)</f>
        <v>0</v>
      </c>
      <c r="E19" s="73">
        <f>VLOOKUP($B$1,_3[#All],11,FALSE)</f>
        <v>0</v>
      </c>
      <c r="F19" s="73">
        <f>VLOOKUP($B$1,_3[#All],14,FALSE)</f>
        <v>0</v>
      </c>
      <c r="G19" s="73">
        <f t="shared" si="0"/>
        <v>0</v>
      </c>
      <c r="I19" s="75" t="s">
        <v>11</v>
      </c>
      <c r="J19" s="73">
        <v>0</v>
      </c>
    </row>
    <row r="20" spans="1:10" ht="16.5" x14ac:dyDescent="0.3">
      <c r="A20" s="75" t="s">
        <v>12</v>
      </c>
      <c r="B20" s="73">
        <f>VLOOKUP($B$1,_4[#All],4,FALSE)</f>
        <v>0</v>
      </c>
      <c r="C20" s="73">
        <f>VLOOKUP($B$1,_4[#All],7,FALSE)</f>
        <v>0</v>
      </c>
      <c r="D20" s="73">
        <f>VLOOKUP($B$1,_4[#All],8,FALSE)</f>
        <v>0</v>
      </c>
      <c r="E20" s="73">
        <f>VLOOKUP($B$1,_4[#All],11,FALSE)</f>
        <v>0</v>
      </c>
      <c r="F20" s="73">
        <f>VLOOKUP($B$1,_4[#All],14,FALSE)</f>
        <v>0</v>
      </c>
      <c r="G20" s="73">
        <f t="shared" si="0"/>
        <v>0</v>
      </c>
      <c r="I20" s="75" t="s">
        <v>12</v>
      </c>
      <c r="J20" s="73">
        <v>0</v>
      </c>
    </row>
    <row r="21" spans="1:10" ht="16.5" x14ac:dyDescent="0.3">
      <c r="A21" s="75" t="s">
        <v>13</v>
      </c>
      <c r="B21" s="73">
        <f>VLOOKUP($B$1,_5[#All],4,FALSE)</f>
        <v>0</v>
      </c>
      <c r="C21" s="73">
        <f>VLOOKUP($B$1,_5[#All],7,FALSE)</f>
        <v>0</v>
      </c>
      <c r="D21" s="73">
        <f>VLOOKUP($B$1,_5[#All],8,FALSE)</f>
        <v>0</v>
      </c>
      <c r="E21" s="73">
        <f>VLOOKUP($B$1,_5[#All],11,FALSE)</f>
        <v>0</v>
      </c>
      <c r="F21" s="73">
        <f>VLOOKUP($B$1,_5[#All],14,FALSE)</f>
        <v>0</v>
      </c>
      <c r="G21" s="73">
        <f t="shared" si="0"/>
        <v>0</v>
      </c>
      <c r="I21" s="75" t="s">
        <v>13</v>
      </c>
      <c r="J21" s="73">
        <v>0</v>
      </c>
    </row>
    <row r="22" spans="1:10" ht="16.5" x14ac:dyDescent="0.3">
      <c r="A22" s="90" t="s">
        <v>1</v>
      </c>
      <c r="B22" s="90">
        <f>SUM(B10:B21)</f>
        <v>20</v>
      </c>
      <c r="C22" s="90">
        <f t="shared" ref="C22:G22" si="1">SUM(C10:C21)</f>
        <v>11.5</v>
      </c>
      <c r="D22" s="90">
        <f t="shared" si="1"/>
        <v>13</v>
      </c>
      <c r="E22" s="90">
        <f t="shared" si="1"/>
        <v>0.5</v>
      </c>
      <c r="F22" s="90">
        <f t="shared" si="1"/>
        <v>0.5</v>
      </c>
      <c r="G22" s="90">
        <f t="shared" si="1"/>
        <v>45.5</v>
      </c>
      <c r="I22" s="90" t="s">
        <v>1</v>
      </c>
      <c r="J22" s="90">
        <f>SUM(J10:J21)</f>
        <v>7</v>
      </c>
    </row>
    <row r="24" spans="1:10" x14ac:dyDescent="0.25">
      <c r="A24" s="107" t="s">
        <v>127</v>
      </c>
    </row>
    <row r="25" spans="1:10" x14ac:dyDescent="0.25">
      <c r="A25" s="107"/>
    </row>
    <row r="27" spans="1:10" x14ac:dyDescent="0.25">
      <c r="A27" s="107"/>
    </row>
    <row r="28" spans="1:10" x14ac:dyDescent="0.25">
      <c r="A28" s="107"/>
    </row>
    <row r="29" spans="1:10" x14ac:dyDescent="0.25">
      <c r="A29" s="107"/>
    </row>
    <row r="30" spans="1:10" x14ac:dyDescent="0.25">
      <c r="A30" s="107"/>
    </row>
  </sheetData>
  <mergeCells count="7">
    <mergeCell ref="I8:J8"/>
    <mergeCell ref="C2:C3"/>
    <mergeCell ref="C4:C5"/>
    <mergeCell ref="D2:D3"/>
    <mergeCell ref="E2:E3"/>
    <mergeCell ref="D4:D5"/>
    <mergeCell ref="E4:E5"/>
  </mergeCells>
  <dataValidations count="1">
    <dataValidation allowBlank="1" showErrorMessage="1" sqref="F25:G25 J25:L25 B25:C25 B8 D8:F8"/>
  </dataValidations>
  <hyperlinks>
    <hyperlink ref="A10" location="'2017'!A64:AF72" display="Juin"/>
    <hyperlink ref="A11" location="'2017'!A76:AF84" display="Juillet"/>
    <hyperlink ref="A13" location="'2017'!A100:AF108" display="Septembre"/>
    <hyperlink ref="A12" location="'2017'!A88:AF96" display="Août"/>
    <hyperlink ref="A14" location="'2017'!A112:AF120" display="Octobre"/>
    <hyperlink ref="A15" location="'2017'!A124:AF132" display="Novembre"/>
    <hyperlink ref="A16" location="'2017'!A136:AF145" display="Décembre"/>
    <hyperlink ref="A17" location="'2018'!A4:AF12" display="Janvier"/>
    <hyperlink ref="A18" location="'2018'!A16:AF24" display="Février"/>
    <hyperlink ref="A19" location="'2018'!A28:AF36" display="Mars"/>
    <hyperlink ref="A20" location="'2018'!A40:AF48" display="Avril"/>
    <hyperlink ref="A21" location="'2018'!A52:AF60" display="Mai"/>
    <hyperlink ref="A24:A30" r:id="rId1" display="luca.frenda@group-msa.com"/>
    <hyperlink ref="A24"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24"/>
  <sheetViews>
    <sheetView showGridLines="0" workbookViewId="0">
      <selection activeCell="J18" sqref="J18:J21"/>
    </sheetView>
  </sheetViews>
  <sheetFormatPr baseColWidth="10" defaultRowHeight="15" x14ac:dyDescent="0.25"/>
  <cols>
    <col min="1" max="1" width="33.140625" bestFit="1" customWidth="1"/>
    <col min="8" max="8" width="1.7109375" customWidth="1"/>
    <col min="9" max="9" width="16.42578125" customWidth="1"/>
  </cols>
  <sheetData>
    <row r="1" spans="1:10" ht="16.5" x14ac:dyDescent="0.25">
      <c r="A1" s="62" t="s">
        <v>2</v>
      </c>
      <c r="B1" s="62" t="s">
        <v>124</v>
      </c>
      <c r="C1" s="62" t="s">
        <v>1</v>
      </c>
      <c r="D1" s="62" t="s">
        <v>22</v>
      </c>
      <c r="E1" s="62" t="s">
        <v>5</v>
      </c>
    </row>
    <row r="2" spans="1:10" ht="16.5" x14ac:dyDescent="0.3">
      <c r="A2" s="85" t="s">
        <v>4</v>
      </c>
      <c r="B2" s="91">
        <v>25</v>
      </c>
      <c r="C2" s="136">
        <f>B2+B3</f>
        <v>36.159999999999997</v>
      </c>
      <c r="D2" s="136">
        <f>B22</f>
        <v>4</v>
      </c>
      <c r="E2" s="136">
        <f>C2-D2</f>
        <v>32.159999999999997</v>
      </c>
    </row>
    <row r="3" spans="1:10" ht="16.5" x14ac:dyDescent="0.3">
      <c r="A3" s="86" t="s">
        <v>21</v>
      </c>
      <c r="B3" s="91">
        <v>11.16</v>
      </c>
      <c r="C3" s="137"/>
      <c r="D3" s="137"/>
      <c r="E3" s="137"/>
    </row>
    <row r="4" spans="1:10" ht="16.5" x14ac:dyDescent="0.3">
      <c r="A4" s="87" t="s">
        <v>6</v>
      </c>
      <c r="B4" s="92">
        <f>J22</f>
        <v>7</v>
      </c>
      <c r="C4" s="138">
        <f>B4+B5</f>
        <v>14</v>
      </c>
      <c r="D4" s="138">
        <f>C22</f>
        <v>9</v>
      </c>
      <c r="E4" s="138">
        <f>C4-D4</f>
        <v>5</v>
      </c>
    </row>
    <row r="5" spans="1:10" ht="16.5" x14ac:dyDescent="0.3">
      <c r="A5" s="88" t="s">
        <v>7</v>
      </c>
      <c r="B5" s="92">
        <v>7</v>
      </c>
      <c r="C5" s="139"/>
      <c r="D5" s="139"/>
      <c r="E5" s="139"/>
    </row>
    <row r="6" spans="1:10" ht="16.5" x14ac:dyDescent="0.3">
      <c r="A6" s="89" t="s">
        <v>1</v>
      </c>
      <c r="B6" s="93"/>
      <c r="C6" s="93">
        <f>SUM(C2:C5)</f>
        <v>50.16</v>
      </c>
      <c r="D6" s="93">
        <f>SUM(D2:D5)</f>
        <v>13</v>
      </c>
      <c r="E6" s="93">
        <f>SUM(E2:E5)</f>
        <v>37.159999999999997</v>
      </c>
    </row>
    <row r="8" spans="1:10" s="1" customFormat="1" ht="16.5" x14ac:dyDescent="0.3">
      <c r="A8" s="95"/>
      <c r="B8" s="96" t="s">
        <v>76</v>
      </c>
      <c r="C8" s="97" t="s">
        <v>3</v>
      </c>
      <c r="D8" s="98" t="s">
        <v>25</v>
      </c>
      <c r="E8" s="99" t="s">
        <v>67</v>
      </c>
      <c r="F8" s="100" t="s">
        <v>69</v>
      </c>
      <c r="G8" s="101"/>
      <c r="H8" s="63"/>
      <c r="I8" s="135" t="s">
        <v>8</v>
      </c>
      <c r="J8" s="135"/>
    </row>
    <row r="9" spans="1:10" ht="33" x14ac:dyDescent="0.25">
      <c r="A9" s="94" t="s">
        <v>93</v>
      </c>
      <c r="B9" s="94" t="s">
        <v>0</v>
      </c>
      <c r="C9" s="94" t="s">
        <v>0</v>
      </c>
      <c r="D9" s="94" t="s">
        <v>0</v>
      </c>
      <c r="E9" s="94" t="s">
        <v>0</v>
      </c>
      <c r="F9" s="94" t="s">
        <v>0</v>
      </c>
      <c r="G9" s="94" t="s">
        <v>1</v>
      </c>
      <c r="I9" s="94" t="s">
        <v>93</v>
      </c>
      <c r="J9" s="94" t="s">
        <v>0</v>
      </c>
    </row>
    <row r="10" spans="1:10" ht="16.5" x14ac:dyDescent="0.3">
      <c r="A10" s="75" t="s">
        <v>14</v>
      </c>
      <c r="B10" s="73">
        <f>VLOOKUP($B$1,Recap_6[#All],4,FALSE)</f>
        <v>0</v>
      </c>
      <c r="C10" s="73">
        <f>VLOOKUP($B$1,Recap_6[#All],7,FALSE)</f>
        <v>0</v>
      </c>
      <c r="D10" s="73">
        <f>VLOOKUP($B$1,Recap_6[#All],8,FALSE)</f>
        <v>0</v>
      </c>
      <c r="E10" s="73">
        <f>VLOOKUP($B$1,Recap_6[#All],11,FALSE)</f>
        <v>2</v>
      </c>
      <c r="F10" s="73">
        <f>VLOOKUP($B$1,Recap_6[#All],14,FALSE)</f>
        <v>0</v>
      </c>
      <c r="G10" s="73">
        <f t="shared" ref="G10:G21" si="0">SUM(B10:F10)</f>
        <v>2</v>
      </c>
      <c r="I10" s="74" t="s">
        <v>14</v>
      </c>
      <c r="J10" s="73">
        <v>1</v>
      </c>
    </row>
    <row r="11" spans="1:10" ht="16.5" x14ac:dyDescent="0.3">
      <c r="A11" s="75" t="s">
        <v>15</v>
      </c>
      <c r="B11" s="73">
        <f>VLOOKUP($B$1,Recap_7[#All],4,FALSE)</f>
        <v>4</v>
      </c>
      <c r="C11" s="73">
        <f>VLOOKUP($B$1,Recap_7[#All],7,FALSE)</f>
        <v>1</v>
      </c>
      <c r="D11" s="73">
        <f>VLOOKUP($B$1,Recap_7[#All],8,FALSE)</f>
        <v>0</v>
      </c>
      <c r="E11" s="73">
        <f>VLOOKUP($B$1,Recap_7[#All],11,FALSE)</f>
        <v>4</v>
      </c>
      <c r="F11" s="73">
        <f>VLOOKUP($B$1,Recap_7[#All],14,FALSE)</f>
        <v>0</v>
      </c>
      <c r="G11" s="73">
        <f t="shared" si="0"/>
        <v>9</v>
      </c>
      <c r="I11" s="74" t="s">
        <v>15</v>
      </c>
      <c r="J11" s="73">
        <v>1</v>
      </c>
    </row>
    <row r="12" spans="1:10" ht="16.5" x14ac:dyDescent="0.3">
      <c r="A12" s="75" t="s">
        <v>16</v>
      </c>
      <c r="B12" s="73">
        <f>VLOOKUP($B$1,Recap_8[#All],4,FALSE)</f>
        <v>0</v>
      </c>
      <c r="C12" s="73">
        <f>VLOOKUP($B$1,Recap_8[#All],7,FALSE)</f>
        <v>1.5</v>
      </c>
      <c r="D12" s="73">
        <f>VLOOKUP($B$1,Recap_8[#All],8,FALSE)</f>
        <v>0</v>
      </c>
      <c r="E12" s="73">
        <f>VLOOKUP($B$1,Recap_8[#All],11,FALSE)</f>
        <v>3</v>
      </c>
      <c r="F12" s="73">
        <f>VLOOKUP($B$1,Recap_8[#All],14,FALSE)</f>
        <v>0</v>
      </c>
      <c r="G12" s="73">
        <f t="shared" si="0"/>
        <v>4.5</v>
      </c>
      <c r="I12" s="75" t="s">
        <v>16</v>
      </c>
      <c r="J12" s="73">
        <v>0</v>
      </c>
    </row>
    <row r="13" spans="1:10" ht="16.5" x14ac:dyDescent="0.3">
      <c r="A13" s="75" t="s">
        <v>17</v>
      </c>
      <c r="B13" s="73">
        <f>VLOOKUP($B$1,Recap_9[#All],4,FALSE)</f>
        <v>0</v>
      </c>
      <c r="C13" s="73">
        <f>VLOOKUP($B$1,Recap_9[#All],7,FALSE)</f>
        <v>1.5</v>
      </c>
      <c r="D13" s="73">
        <f>VLOOKUP($B$1,Recap_9[#All],8,FALSE)</f>
        <v>0</v>
      </c>
      <c r="E13" s="73">
        <f>VLOOKUP($B$1,Recap_9[#All],11,FALSE)</f>
        <v>0</v>
      </c>
      <c r="F13" s="73">
        <f>VLOOKUP($B$1,Recap_9[#All],14,FALSE)</f>
        <v>0</v>
      </c>
      <c r="G13" s="73">
        <f t="shared" si="0"/>
        <v>1.5</v>
      </c>
      <c r="I13" s="75" t="s">
        <v>17</v>
      </c>
      <c r="J13" s="73">
        <v>1</v>
      </c>
    </row>
    <row r="14" spans="1:10" ht="16.5" x14ac:dyDescent="0.3">
      <c r="A14" s="75" t="s">
        <v>18</v>
      </c>
      <c r="B14" s="73">
        <f>VLOOKUP($B$1,Recap_10[#All],4,FALSE)</f>
        <v>0</v>
      </c>
      <c r="C14" s="73">
        <f>VLOOKUP($B$1,Recap_10[#All],7,FALSE)</f>
        <v>2</v>
      </c>
      <c r="D14" s="73">
        <f>VLOOKUP($B$1,Recap_10[#All],8,FALSE)</f>
        <v>0</v>
      </c>
      <c r="E14" s="73">
        <f>VLOOKUP($B$1,Recap_10[#All],11,FALSE)</f>
        <v>0</v>
      </c>
      <c r="F14" s="73">
        <f>VLOOKUP($B$1,Recap_10[#All],14,FALSE)</f>
        <v>0</v>
      </c>
      <c r="G14" s="73">
        <f t="shared" si="0"/>
        <v>2</v>
      </c>
      <c r="I14" s="75" t="s">
        <v>18</v>
      </c>
      <c r="J14" s="73">
        <v>1</v>
      </c>
    </row>
    <row r="15" spans="1:10" ht="16.5" x14ac:dyDescent="0.3">
      <c r="A15" s="75" t="s">
        <v>19</v>
      </c>
      <c r="B15" s="73">
        <f>VLOOKUP($B$1,Recap_11[#All],4,FALSE)</f>
        <v>0</v>
      </c>
      <c r="C15" s="73">
        <f>VLOOKUP($B$1,Recap_11[#All],7,FALSE)</f>
        <v>0</v>
      </c>
      <c r="D15" s="73">
        <f>VLOOKUP($B$1,Recap_11[#All],8,FALSE)</f>
        <v>0</v>
      </c>
      <c r="E15" s="73">
        <f>VLOOKUP($B$1,Recap_11[#All],11,FALSE)</f>
        <v>0</v>
      </c>
      <c r="F15" s="73">
        <f>VLOOKUP($B$1,Recap_11[#All],14,FALSE)</f>
        <v>0</v>
      </c>
      <c r="G15" s="73">
        <f t="shared" si="0"/>
        <v>0</v>
      </c>
      <c r="I15" s="75" t="s">
        <v>19</v>
      </c>
      <c r="J15" s="73">
        <v>1</v>
      </c>
    </row>
    <row r="16" spans="1:10" ht="16.5" x14ac:dyDescent="0.3">
      <c r="A16" s="75" t="s">
        <v>20</v>
      </c>
      <c r="B16" s="73">
        <f>VLOOKUP($B$1,Recap_12[#All],4,FALSE)</f>
        <v>0</v>
      </c>
      <c r="C16" s="73">
        <f>VLOOKUP($B$1,Recap_12[#All],7,FALSE)</f>
        <v>1</v>
      </c>
      <c r="D16" s="73">
        <f>VLOOKUP($B$1,Recap_12[#All],8,FALSE)</f>
        <v>0</v>
      </c>
      <c r="E16" s="73">
        <f>VLOOKUP($B$1,Recap_12[#All],11,FALSE)</f>
        <v>0</v>
      </c>
      <c r="F16" s="73">
        <f>VLOOKUP($B$1,Recap_12[#All],14,FALSE)</f>
        <v>0</v>
      </c>
      <c r="G16" s="73">
        <f t="shared" si="0"/>
        <v>1</v>
      </c>
      <c r="I16" s="75" t="s">
        <v>20</v>
      </c>
      <c r="J16" s="73">
        <v>1</v>
      </c>
    </row>
    <row r="17" spans="1:10" ht="16.5" x14ac:dyDescent="0.3">
      <c r="A17" s="75" t="s">
        <v>9</v>
      </c>
      <c r="B17" s="73">
        <f>VLOOKUP($B$1,_1[#All],4,FALSE)</f>
        <v>0</v>
      </c>
      <c r="C17" s="73">
        <f>VLOOKUP($B$1,_1[#All],7,FALSE)</f>
        <v>0</v>
      </c>
      <c r="D17" s="73">
        <f>VLOOKUP($B$1,_1[#All],8,FALSE)</f>
        <v>0</v>
      </c>
      <c r="E17" s="73">
        <f>VLOOKUP($B$1,_1[#All],11,FALSE)</f>
        <v>0</v>
      </c>
      <c r="F17" s="73">
        <f>VLOOKUP($B$1,_1[#All],14,FALSE)</f>
        <v>0</v>
      </c>
      <c r="G17" s="73">
        <f t="shared" si="0"/>
        <v>0</v>
      </c>
      <c r="I17" s="75" t="s">
        <v>9</v>
      </c>
      <c r="J17" s="73">
        <v>1</v>
      </c>
    </row>
    <row r="18" spans="1:10" ht="16.5" x14ac:dyDescent="0.3">
      <c r="A18" s="75" t="s">
        <v>10</v>
      </c>
      <c r="B18" s="73">
        <f>VLOOKUP($B$1,_2[#All],4,FALSE)</f>
        <v>0</v>
      </c>
      <c r="C18" s="73">
        <f>VLOOKUP($B$1,_2[#All],7,FALSE)</f>
        <v>2</v>
      </c>
      <c r="D18" s="73">
        <f>VLOOKUP($B$1,_2[#All],8,FALSE)</f>
        <v>0</v>
      </c>
      <c r="E18" s="73">
        <f>VLOOKUP($B$1,_2[#All],11,FALSE)</f>
        <v>3</v>
      </c>
      <c r="F18" s="73">
        <f>VLOOKUP($B$1,_2[#All],14,FALSE)</f>
        <v>0</v>
      </c>
      <c r="G18" s="73">
        <f t="shared" si="0"/>
        <v>5</v>
      </c>
      <c r="I18" s="75" t="s">
        <v>10</v>
      </c>
      <c r="J18" s="73">
        <v>0</v>
      </c>
    </row>
    <row r="19" spans="1:10" ht="16.5" x14ac:dyDescent="0.3">
      <c r="A19" s="75" t="s">
        <v>11</v>
      </c>
      <c r="B19" s="73">
        <f>VLOOKUP($B$1,_3[#All],4,FALSE)</f>
        <v>0</v>
      </c>
      <c r="C19" s="73">
        <f>VLOOKUP($B$1,_3[#All],7,FALSE)</f>
        <v>0</v>
      </c>
      <c r="D19" s="73">
        <f>VLOOKUP($B$1,_3[#All],8,FALSE)</f>
        <v>0</v>
      </c>
      <c r="E19" s="73">
        <f>VLOOKUP($B$1,_3[#All],11,FALSE)</f>
        <v>0</v>
      </c>
      <c r="F19" s="73">
        <f>VLOOKUP($B$1,_3[#All],14,FALSE)</f>
        <v>0</v>
      </c>
      <c r="G19" s="73">
        <f t="shared" si="0"/>
        <v>0</v>
      </c>
      <c r="I19" s="75" t="s">
        <v>11</v>
      </c>
      <c r="J19" s="73">
        <v>0</v>
      </c>
    </row>
    <row r="20" spans="1:10" ht="16.5" x14ac:dyDescent="0.3">
      <c r="A20" s="75" t="s">
        <v>12</v>
      </c>
      <c r="B20" s="73">
        <f>VLOOKUP($B$1,_4[#All],4,FALSE)</f>
        <v>0</v>
      </c>
      <c r="C20" s="73">
        <f>VLOOKUP($B$1,_4[#All],7,FALSE)</f>
        <v>0</v>
      </c>
      <c r="D20" s="73">
        <f>VLOOKUP($B$1,_4[#All],8,FALSE)</f>
        <v>0</v>
      </c>
      <c r="E20" s="73">
        <f>VLOOKUP($B$1,_4[#All],11,FALSE)</f>
        <v>0</v>
      </c>
      <c r="F20" s="73">
        <f>VLOOKUP($B$1,_4[#All],14,FALSE)</f>
        <v>0</v>
      </c>
      <c r="G20" s="73">
        <f t="shared" si="0"/>
        <v>0</v>
      </c>
      <c r="I20" s="75" t="s">
        <v>12</v>
      </c>
      <c r="J20" s="73">
        <v>0</v>
      </c>
    </row>
    <row r="21" spans="1:10" ht="16.5" x14ac:dyDescent="0.3">
      <c r="A21" s="75" t="s">
        <v>13</v>
      </c>
      <c r="B21" s="73">
        <f>VLOOKUP($B$1,_5[#All],4,FALSE)</f>
        <v>0</v>
      </c>
      <c r="C21" s="73">
        <f>VLOOKUP($B$1,_5[#All],7,FALSE)</f>
        <v>0</v>
      </c>
      <c r="D21" s="73">
        <f>VLOOKUP($B$1,_5[#All],8,FALSE)</f>
        <v>0</v>
      </c>
      <c r="E21" s="73">
        <f>VLOOKUP($B$1,_5[#All],11,FALSE)</f>
        <v>0</v>
      </c>
      <c r="F21" s="73">
        <f>VLOOKUP($B$1,_5[#All],14,FALSE)</f>
        <v>0</v>
      </c>
      <c r="G21" s="73">
        <f t="shared" si="0"/>
        <v>0</v>
      </c>
      <c r="I21" s="75" t="s">
        <v>13</v>
      </c>
      <c r="J21" s="73">
        <v>0</v>
      </c>
    </row>
    <row r="22" spans="1:10" ht="16.5" x14ac:dyDescent="0.3">
      <c r="A22" s="90" t="s">
        <v>1</v>
      </c>
      <c r="B22" s="90">
        <f>SUM(B10:B21)</f>
        <v>4</v>
      </c>
      <c r="C22" s="90">
        <f t="shared" ref="C22:G22" si="1">SUM(C10:C21)</f>
        <v>9</v>
      </c>
      <c r="D22" s="90">
        <f t="shared" si="1"/>
        <v>0</v>
      </c>
      <c r="E22" s="90">
        <f t="shared" si="1"/>
        <v>12</v>
      </c>
      <c r="F22" s="90">
        <f t="shared" si="1"/>
        <v>0</v>
      </c>
      <c r="G22" s="90">
        <f t="shared" si="1"/>
        <v>25</v>
      </c>
      <c r="I22" s="90" t="s">
        <v>1</v>
      </c>
      <c r="J22" s="90">
        <f>SUM(J10:J21)</f>
        <v>7</v>
      </c>
    </row>
    <row r="24" spans="1:10" x14ac:dyDescent="0.25">
      <c r="A24" s="107" t="s">
        <v>130</v>
      </c>
    </row>
  </sheetData>
  <mergeCells count="7">
    <mergeCell ref="I8:J8"/>
    <mergeCell ref="C2:C3"/>
    <mergeCell ref="D2:D3"/>
    <mergeCell ref="E2:E3"/>
    <mergeCell ref="C4:C5"/>
    <mergeCell ref="D4:D5"/>
    <mergeCell ref="E4:E5"/>
  </mergeCells>
  <dataValidations count="1">
    <dataValidation allowBlank="1" showErrorMessage="1" sqref="B8 D8:F8"/>
  </dataValidations>
  <hyperlinks>
    <hyperlink ref="A10" location="'2017'!A64:AF72" display="Juin"/>
    <hyperlink ref="A11" location="'2017'!A76:AF84" display="Juillet"/>
    <hyperlink ref="A13" location="'2017'!A100:AF108" display="Septembre"/>
    <hyperlink ref="A12" location="'2017'!A88:AF96" display="Août"/>
    <hyperlink ref="A14" location="'2017'!A112:AF120" display="Octobre"/>
    <hyperlink ref="A15" location="'2017'!A124:AF132" display="Novembre"/>
    <hyperlink ref="A16" location="'2017'!A136:AF145" display="Décembre"/>
    <hyperlink ref="A17" location="'2018'!A4:AF12" display="Janvier"/>
    <hyperlink ref="A18" location="'2018'!A16:AF24" display="Février"/>
    <hyperlink ref="A19" location="'2018'!A28:AF36" display="Mars"/>
    <hyperlink ref="A20" location="'2018'!A40:AF48" display="Avril"/>
    <hyperlink ref="A21" location="'2018'!A52:AF60" display="Mai"/>
    <hyperlink ref="A2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24"/>
  <sheetViews>
    <sheetView showGridLines="0" workbookViewId="0">
      <selection activeCell="B13" sqref="B13"/>
    </sheetView>
  </sheetViews>
  <sheetFormatPr baseColWidth="10" defaultRowHeight="15" x14ac:dyDescent="0.25"/>
  <cols>
    <col min="1" max="1" width="33.140625" bestFit="1" customWidth="1"/>
    <col min="2" max="2" width="14.7109375" customWidth="1"/>
    <col min="8" max="8" width="1.7109375" customWidth="1"/>
    <col min="9" max="9" width="16.42578125" customWidth="1"/>
  </cols>
  <sheetData>
    <row r="1" spans="1:10" ht="16.5" x14ac:dyDescent="0.25">
      <c r="A1" s="62" t="s">
        <v>2</v>
      </c>
      <c r="B1" s="62" t="s">
        <v>120</v>
      </c>
      <c r="C1" s="62" t="s">
        <v>1</v>
      </c>
      <c r="D1" s="62" t="s">
        <v>22</v>
      </c>
      <c r="E1" s="62" t="s">
        <v>5</v>
      </c>
    </row>
    <row r="2" spans="1:10" ht="16.5" x14ac:dyDescent="0.3">
      <c r="A2" s="85" t="s">
        <v>4</v>
      </c>
      <c r="B2" s="91">
        <v>5</v>
      </c>
      <c r="C2" s="136">
        <f>B2+B3</f>
        <v>5</v>
      </c>
      <c r="D2" s="136">
        <f>B22</f>
        <v>19</v>
      </c>
      <c r="E2" s="136">
        <f>C2-D2</f>
        <v>-14</v>
      </c>
    </row>
    <row r="3" spans="1:10" ht="16.5" x14ac:dyDescent="0.3">
      <c r="A3" s="86" t="s">
        <v>21</v>
      </c>
      <c r="B3" s="91">
        <v>0</v>
      </c>
      <c r="C3" s="137"/>
      <c r="D3" s="137"/>
      <c r="E3" s="137"/>
    </row>
    <row r="4" spans="1:10" ht="16.5" x14ac:dyDescent="0.3">
      <c r="A4" s="87" t="s">
        <v>6</v>
      </c>
      <c r="B4" s="92">
        <v>8</v>
      </c>
      <c r="C4" s="138">
        <f>B4+B5</f>
        <v>8</v>
      </c>
      <c r="D4" s="138">
        <f>C22</f>
        <v>13</v>
      </c>
      <c r="E4" s="138">
        <f>C4-D4</f>
        <v>-5</v>
      </c>
    </row>
    <row r="5" spans="1:10" ht="16.5" x14ac:dyDescent="0.3">
      <c r="A5" s="88" t="s">
        <v>7</v>
      </c>
      <c r="B5" s="92">
        <v>0</v>
      </c>
      <c r="C5" s="139"/>
      <c r="D5" s="139"/>
      <c r="E5" s="139"/>
    </row>
    <row r="6" spans="1:10" ht="16.5" x14ac:dyDescent="0.3">
      <c r="A6" s="89" t="s">
        <v>1</v>
      </c>
      <c r="B6" s="93"/>
      <c r="C6" s="93">
        <f>SUM(C2:C5)</f>
        <v>13</v>
      </c>
      <c r="D6" s="93">
        <f>SUM(D2:D5)</f>
        <v>32</v>
      </c>
      <c r="E6" s="93">
        <f>SUM(E2:E5)</f>
        <v>-19</v>
      </c>
    </row>
    <row r="8" spans="1:10" s="1" customFormat="1" ht="16.5" x14ac:dyDescent="0.3">
      <c r="A8" s="95"/>
      <c r="B8" s="96" t="s">
        <v>76</v>
      </c>
      <c r="C8" s="97" t="s">
        <v>3</v>
      </c>
      <c r="D8" s="98" t="s">
        <v>25</v>
      </c>
      <c r="E8" s="99" t="s">
        <v>67</v>
      </c>
      <c r="F8" s="100" t="s">
        <v>69</v>
      </c>
      <c r="G8" s="101"/>
      <c r="H8" s="63"/>
      <c r="I8" s="135" t="s">
        <v>8</v>
      </c>
      <c r="J8" s="135"/>
    </row>
    <row r="9" spans="1:10" ht="33" x14ac:dyDescent="0.25">
      <c r="A9" s="94" t="s">
        <v>93</v>
      </c>
      <c r="B9" s="94" t="s">
        <v>0</v>
      </c>
      <c r="C9" s="94" t="s">
        <v>0</v>
      </c>
      <c r="D9" s="94" t="s">
        <v>0</v>
      </c>
      <c r="E9" s="94" t="s">
        <v>0</v>
      </c>
      <c r="F9" s="94" t="s">
        <v>0</v>
      </c>
      <c r="G9" s="94" t="s">
        <v>1</v>
      </c>
      <c r="I9" s="94" t="s">
        <v>93</v>
      </c>
      <c r="J9" s="94" t="s">
        <v>0</v>
      </c>
    </row>
    <row r="10" spans="1:10" ht="16.5" x14ac:dyDescent="0.3">
      <c r="A10" s="75" t="s">
        <v>14</v>
      </c>
      <c r="B10" s="73">
        <f>VLOOKUP($B$1,Recap_6[#All],4,FALSE)</f>
        <v>0</v>
      </c>
      <c r="C10" s="73">
        <f>VLOOKUP($B$1,Recap_6[#All],7,FALSE)</f>
        <v>2.5</v>
      </c>
      <c r="D10" s="73">
        <f>VLOOKUP($B$1,Recap_6[#All],8,FALSE)</f>
        <v>3</v>
      </c>
      <c r="E10" s="73">
        <f>VLOOKUP($B$1,Recap_6[#All],11,FALSE)</f>
        <v>0</v>
      </c>
      <c r="F10" s="73">
        <f>VLOOKUP($B$1,Recap_6[#All],14,FALSE)</f>
        <v>1</v>
      </c>
      <c r="G10" s="73">
        <f t="shared" ref="G10:G21" si="0">SUM(B10:F10)</f>
        <v>6.5</v>
      </c>
      <c r="I10" s="74" t="s">
        <v>14</v>
      </c>
      <c r="J10" s="73">
        <v>1</v>
      </c>
    </row>
    <row r="11" spans="1:10" ht="16.5" x14ac:dyDescent="0.3">
      <c r="A11" s="75" t="s">
        <v>15</v>
      </c>
      <c r="B11" s="73">
        <f>VLOOKUP($B$1,Recap_7[#All],4,FALSE)</f>
        <v>9</v>
      </c>
      <c r="C11" s="73">
        <f>VLOOKUP($B$1,Recap_7[#All],7,FALSE)</f>
        <v>3</v>
      </c>
      <c r="D11" s="73">
        <f>VLOOKUP($B$1,Recap_7[#All],8,FALSE)</f>
        <v>0</v>
      </c>
      <c r="E11" s="73">
        <f>VLOOKUP($B$1,Recap_7[#All],11,FALSE)</f>
        <v>0</v>
      </c>
      <c r="F11" s="73">
        <f>VLOOKUP($B$1,Recap_7[#All],14,FALSE)</f>
        <v>1</v>
      </c>
      <c r="G11" s="73">
        <f t="shared" si="0"/>
        <v>13</v>
      </c>
      <c r="I11" s="74" t="s">
        <v>15</v>
      </c>
      <c r="J11" s="73">
        <v>1</v>
      </c>
    </row>
    <row r="12" spans="1:10" ht="16.5" x14ac:dyDescent="0.3">
      <c r="A12" s="75" t="s">
        <v>16</v>
      </c>
      <c r="B12" s="73">
        <f>VLOOKUP($B$1,Recap_8[#All],4,FALSE)</f>
        <v>0</v>
      </c>
      <c r="C12" s="73">
        <f>VLOOKUP($B$1,Recap_8[#All],7,FALSE)</f>
        <v>1</v>
      </c>
      <c r="D12" s="73">
        <f>VLOOKUP($B$1,Recap_8[#All],8,FALSE)</f>
        <v>1</v>
      </c>
      <c r="E12" s="73">
        <f>VLOOKUP($B$1,Recap_8[#All],11,FALSE)</f>
        <v>0</v>
      </c>
      <c r="F12" s="73">
        <f>VLOOKUP($B$1,Recap_8[#All],14,FALSE)</f>
        <v>0</v>
      </c>
      <c r="G12" s="73">
        <f t="shared" si="0"/>
        <v>2</v>
      </c>
      <c r="I12" s="75" t="s">
        <v>16</v>
      </c>
      <c r="J12" s="73">
        <v>0</v>
      </c>
    </row>
    <row r="13" spans="1:10" ht="16.5" x14ac:dyDescent="0.3">
      <c r="A13" s="75" t="s">
        <v>17</v>
      </c>
      <c r="B13" s="73">
        <f>VLOOKUP($B$1,Recap_9[#All],4,FALSE)</f>
        <v>2</v>
      </c>
      <c r="C13" s="73">
        <f>VLOOKUP($B$1,Recap_9[#All],7,FALSE)</f>
        <v>0</v>
      </c>
      <c r="D13" s="73">
        <f>VLOOKUP($B$1,Recap_9[#All],8,FALSE)</f>
        <v>0</v>
      </c>
      <c r="E13" s="73">
        <f>VLOOKUP($B$1,Recap_9[#All],11,FALSE)</f>
        <v>0</v>
      </c>
      <c r="F13" s="73">
        <f>VLOOKUP($B$1,Recap_9[#All],14,FALSE)</f>
        <v>0</v>
      </c>
      <c r="G13" s="73">
        <f t="shared" si="0"/>
        <v>2</v>
      </c>
      <c r="I13" s="75" t="s">
        <v>17</v>
      </c>
      <c r="J13" s="73">
        <v>1</v>
      </c>
    </row>
    <row r="14" spans="1:10" ht="16.5" x14ac:dyDescent="0.3">
      <c r="A14" s="75" t="s">
        <v>18</v>
      </c>
      <c r="B14" s="73">
        <f>VLOOKUP($B$1,Recap_10[#All],4,FALSE)</f>
        <v>1</v>
      </c>
      <c r="C14" s="73">
        <f>VLOOKUP($B$1,Recap_10[#All],7,FALSE)</f>
        <v>1.5</v>
      </c>
      <c r="D14" s="73">
        <f>VLOOKUP($B$1,Recap_10[#All],8,FALSE)</f>
        <v>0</v>
      </c>
      <c r="E14" s="73">
        <f>VLOOKUP($B$1,Recap_10[#All],11,FALSE)</f>
        <v>0</v>
      </c>
      <c r="F14" s="73">
        <f>VLOOKUP($B$1,Recap_10[#All],14,FALSE)</f>
        <v>0</v>
      </c>
      <c r="G14" s="73">
        <f t="shared" si="0"/>
        <v>2.5</v>
      </c>
      <c r="I14" s="75" t="s">
        <v>18</v>
      </c>
      <c r="J14" s="73">
        <v>1</v>
      </c>
    </row>
    <row r="15" spans="1:10" ht="16.5" x14ac:dyDescent="0.3">
      <c r="A15" s="75" t="s">
        <v>19</v>
      </c>
      <c r="B15" s="73">
        <f>VLOOKUP($B$1,Recap_11[#All],4,FALSE)</f>
        <v>0</v>
      </c>
      <c r="C15" s="73">
        <f>VLOOKUP($B$1,Recap_11[#All],7,FALSE)</f>
        <v>1</v>
      </c>
      <c r="D15" s="73">
        <f>VLOOKUP($B$1,Recap_11[#All],8,FALSE)</f>
        <v>0</v>
      </c>
      <c r="E15" s="73">
        <f>VLOOKUP($B$1,Recap_11[#All],11,FALSE)</f>
        <v>0</v>
      </c>
      <c r="F15" s="73">
        <f>VLOOKUP($B$1,Recap_11[#All],14,FALSE)</f>
        <v>0</v>
      </c>
      <c r="G15" s="73">
        <f t="shared" si="0"/>
        <v>1</v>
      </c>
      <c r="I15" s="75" t="s">
        <v>19</v>
      </c>
      <c r="J15" s="73">
        <v>1</v>
      </c>
    </row>
    <row r="16" spans="1:10" ht="16.5" x14ac:dyDescent="0.3">
      <c r="A16" s="75" t="s">
        <v>20</v>
      </c>
      <c r="B16" s="73">
        <f>VLOOKUP($B$1,Recap_12[#All],4,FALSE)</f>
        <v>0</v>
      </c>
      <c r="C16" s="73">
        <f>VLOOKUP($B$1,Recap_12[#All],7,FALSE)</f>
        <v>2</v>
      </c>
      <c r="D16" s="73">
        <f>VLOOKUP($B$1,Recap_12[#All],8,FALSE)</f>
        <v>0</v>
      </c>
      <c r="E16" s="73">
        <f>VLOOKUP($B$1,Recap_12[#All],11,FALSE)</f>
        <v>0</v>
      </c>
      <c r="F16" s="73">
        <f>VLOOKUP($B$1,Recap_12[#All],14,FALSE)</f>
        <v>0</v>
      </c>
      <c r="G16" s="73">
        <f t="shared" si="0"/>
        <v>2</v>
      </c>
      <c r="I16" s="75" t="s">
        <v>20</v>
      </c>
      <c r="J16" s="73">
        <v>1</v>
      </c>
    </row>
    <row r="17" spans="1:10" ht="16.5" x14ac:dyDescent="0.3">
      <c r="A17" s="75" t="s">
        <v>9</v>
      </c>
      <c r="B17" s="73">
        <f>VLOOKUP($B$1,_1[#All],4,FALSE)</f>
        <v>1</v>
      </c>
      <c r="C17" s="73">
        <f>VLOOKUP($B$1,_1[#All],7,FALSE)</f>
        <v>2</v>
      </c>
      <c r="D17" s="73">
        <f>VLOOKUP($B$1,_1[#All],8,FALSE)</f>
        <v>0</v>
      </c>
      <c r="E17" s="73">
        <f>VLOOKUP($B$1,_1[#All],11,FALSE)</f>
        <v>0</v>
      </c>
      <c r="F17" s="73">
        <f>VLOOKUP($B$1,_1[#All],14,FALSE)</f>
        <v>0</v>
      </c>
      <c r="G17" s="73">
        <f t="shared" si="0"/>
        <v>3</v>
      </c>
      <c r="I17" s="75" t="s">
        <v>9</v>
      </c>
      <c r="J17" s="73">
        <v>1</v>
      </c>
    </row>
    <row r="18" spans="1:10" ht="16.5" x14ac:dyDescent="0.3">
      <c r="A18" s="75" t="s">
        <v>10</v>
      </c>
      <c r="B18" s="73">
        <f>VLOOKUP($B$1,_2[#All],4,FALSE)</f>
        <v>4</v>
      </c>
      <c r="C18" s="73">
        <f>VLOOKUP($B$1,_2[#All],7,FALSE)</f>
        <v>0</v>
      </c>
      <c r="D18" s="73">
        <f>VLOOKUP($B$1,_2[#All],8,FALSE)</f>
        <v>0</v>
      </c>
      <c r="E18" s="73">
        <f>VLOOKUP($B$1,_2[#All],11,FALSE)</f>
        <v>0</v>
      </c>
      <c r="F18" s="73">
        <f>VLOOKUP($B$1,_2[#All],14,FALSE)</f>
        <v>0</v>
      </c>
      <c r="G18" s="73">
        <f t="shared" si="0"/>
        <v>4</v>
      </c>
      <c r="I18" s="75" t="s">
        <v>10</v>
      </c>
      <c r="J18" s="73">
        <v>0</v>
      </c>
    </row>
    <row r="19" spans="1:10" ht="16.5" x14ac:dyDescent="0.3">
      <c r="A19" s="75" t="s">
        <v>11</v>
      </c>
      <c r="B19" s="73">
        <f>VLOOKUP($B$1,_3[#All],4,FALSE)</f>
        <v>2</v>
      </c>
      <c r="C19" s="73">
        <f>VLOOKUP($B$1,_3[#All],7,FALSE)</f>
        <v>0</v>
      </c>
      <c r="D19" s="73">
        <f>VLOOKUP($B$1,_3[#All],8,FALSE)</f>
        <v>0</v>
      </c>
      <c r="E19" s="73">
        <f>VLOOKUP($B$1,_3[#All],11,FALSE)</f>
        <v>0</v>
      </c>
      <c r="F19" s="73">
        <f>VLOOKUP($B$1,_3[#All],14,FALSE)</f>
        <v>0</v>
      </c>
      <c r="G19" s="73">
        <f t="shared" si="0"/>
        <v>2</v>
      </c>
      <c r="I19" s="75" t="s">
        <v>11</v>
      </c>
      <c r="J19" s="73">
        <v>0</v>
      </c>
    </row>
    <row r="20" spans="1:10" ht="16.5" x14ac:dyDescent="0.3">
      <c r="A20" s="75" t="s">
        <v>12</v>
      </c>
      <c r="B20" s="73">
        <f>VLOOKUP($B$1,_4[#All],4,FALSE)</f>
        <v>0</v>
      </c>
      <c r="C20" s="73">
        <f>VLOOKUP($B$1,_4[#All],7,FALSE)</f>
        <v>0</v>
      </c>
      <c r="D20" s="73">
        <f>VLOOKUP($B$1,_4[#All],8,FALSE)</f>
        <v>0</v>
      </c>
      <c r="E20" s="73">
        <f>VLOOKUP($B$1,_4[#All],11,FALSE)</f>
        <v>0</v>
      </c>
      <c r="F20" s="73">
        <f>VLOOKUP($B$1,_4[#All],14,FALSE)</f>
        <v>0</v>
      </c>
      <c r="G20" s="73">
        <f t="shared" si="0"/>
        <v>0</v>
      </c>
      <c r="I20" s="75" t="s">
        <v>12</v>
      </c>
      <c r="J20" s="73">
        <v>0</v>
      </c>
    </row>
    <row r="21" spans="1:10" ht="16.5" x14ac:dyDescent="0.3">
      <c r="A21" s="75" t="s">
        <v>13</v>
      </c>
      <c r="B21" s="73">
        <f>VLOOKUP($B$1,_5[#All],4,FALSE)</f>
        <v>0</v>
      </c>
      <c r="C21" s="73">
        <f>VLOOKUP($B$1,_5[#All],7,FALSE)</f>
        <v>0</v>
      </c>
      <c r="D21" s="73">
        <f>VLOOKUP($B$1,_5[#All],8,FALSE)</f>
        <v>0</v>
      </c>
      <c r="E21" s="73">
        <f>VLOOKUP($B$1,_5[#All],11,FALSE)</f>
        <v>0</v>
      </c>
      <c r="F21" s="73">
        <f>VLOOKUP($B$1,_5[#All],14,FALSE)</f>
        <v>0</v>
      </c>
      <c r="G21" s="73">
        <f t="shared" si="0"/>
        <v>0</v>
      </c>
      <c r="I21" s="75" t="s">
        <v>13</v>
      </c>
      <c r="J21" s="73">
        <v>0</v>
      </c>
    </row>
    <row r="22" spans="1:10" ht="16.5" x14ac:dyDescent="0.3">
      <c r="A22" s="90" t="s">
        <v>1</v>
      </c>
      <c r="B22" s="90">
        <f>SUM(B10:B21)</f>
        <v>19</v>
      </c>
      <c r="C22" s="90">
        <f t="shared" ref="C22:G22" si="1">SUM(C10:C21)</f>
        <v>13</v>
      </c>
      <c r="D22" s="90">
        <f t="shared" si="1"/>
        <v>4</v>
      </c>
      <c r="E22" s="90">
        <f t="shared" si="1"/>
        <v>0</v>
      </c>
      <c r="F22" s="90">
        <f t="shared" si="1"/>
        <v>2</v>
      </c>
      <c r="G22" s="90">
        <f t="shared" si="1"/>
        <v>38</v>
      </c>
      <c r="I22" s="90" t="s">
        <v>1</v>
      </c>
      <c r="J22" s="90">
        <f>SUM(J10:J21)</f>
        <v>7</v>
      </c>
    </row>
    <row r="24" spans="1:10" x14ac:dyDescent="0.25">
      <c r="A24" s="107" t="s">
        <v>126</v>
      </c>
    </row>
  </sheetData>
  <mergeCells count="7">
    <mergeCell ref="I8:J8"/>
    <mergeCell ref="C2:C3"/>
    <mergeCell ref="D2:D3"/>
    <mergeCell ref="E2:E3"/>
    <mergeCell ref="C4:C5"/>
    <mergeCell ref="D4:D5"/>
    <mergeCell ref="E4:E5"/>
  </mergeCells>
  <dataValidations count="1">
    <dataValidation allowBlank="1" showErrorMessage="1" sqref="B8 D8:F8"/>
  </dataValidations>
  <hyperlinks>
    <hyperlink ref="A10" location="'2017'!A64:AF72" display="Juin"/>
    <hyperlink ref="A11" location="'2017'!A76:AF84" display="Juillet"/>
    <hyperlink ref="A13" location="'2017'!A100:AF108" display="Septembre"/>
    <hyperlink ref="A12" location="'2017'!A88:AF96" display="Août"/>
    <hyperlink ref="A14" location="'2017'!A112:AF120" display="Octobre"/>
    <hyperlink ref="A15" location="'2017'!A124:AF132" display="Novembre"/>
    <hyperlink ref="A16" location="'2017'!A136:AF145" display="Décembre"/>
    <hyperlink ref="A17" location="'2018'!A4:AF12" display="Janvier"/>
    <hyperlink ref="A18" location="'2018'!A16:AF24" display="Février"/>
    <hyperlink ref="A19" location="'2018'!A28:AF36" display="Mars"/>
    <hyperlink ref="A20" location="'2018'!A40:AF48" display="Avril"/>
    <hyperlink ref="A21" location="'2018'!A52:AF60" display="Mai"/>
    <hyperlink ref="A2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24"/>
  <sheetViews>
    <sheetView showGridLines="0" workbookViewId="0">
      <selection activeCell="O18" sqref="O18"/>
    </sheetView>
  </sheetViews>
  <sheetFormatPr baseColWidth="10" defaultRowHeight="15" x14ac:dyDescent="0.25"/>
  <cols>
    <col min="1" max="1" width="33.140625" bestFit="1" customWidth="1"/>
    <col min="2" max="2" width="14.7109375" customWidth="1"/>
    <col min="8" max="8" width="1.7109375" customWidth="1"/>
    <col min="9" max="9" width="16.42578125" customWidth="1"/>
  </cols>
  <sheetData>
    <row r="1" spans="1:10" ht="16.5" x14ac:dyDescent="0.25">
      <c r="A1" s="62" t="s">
        <v>2</v>
      </c>
      <c r="B1" s="62" t="s">
        <v>125</v>
      </c>
      <c r="C1" s="62" t="s">
        <v>1</v>
      </c>
      <c r="D1" s="62" t="s">
        <v>22</v>
      </c>
      <c r="E1" s="62" t="s">
        <v>5</v>
      </c>
    </row>
    <row r="2" spans="1:10" ht="16.5" x14ac:dyDescent="0.3">
      <c r="A2" s="85" t="s">
        <v>4</v>
      </c>
      <c r="B2" s="91">
        <v>3</v>
      </c>
      <c r="C2" s="136">
        <f>B2+B3</f>
        <v>3</v>
      </c>
      <c r="D2" s="136">
        <f>B22</f>
        <v>19</v>
      </c>
      <c r="E2" s="136">
        <f>C2-D2</f>
        <v>-16</v>
      </c>
    </row>
    <row r="3" spans="1:10" ht="16.5" x14ac:dyDescent="0.3">
      <c r="A3" s="86" t="s">
        <v>21</v>
      </c>
      <c r="B3" s="91">
        <v>0</v>
      </c>
      <c r="C3" s="137"/>
      <c r="D3" s="137"/>
      <c r="E3" s="137"/>
    </row>
    <row r="4" spans="1:10" ht="16.5" x14ac:dyDescent="0.3">
      <c r="A4" s="87" t="s">
        <v>6</v>
      </c>
      <c r="B4" s="92">
        <v>8</v>
      </c>
      <c r="C4" s="138">
        <f>B4+B5</f>
        <v>9</v>
      </c>
      <c r="D4" s="138">
        <f>C22</f>
        <v>0</v>
      </c>
      <c r="E4" s="138">
        <f>C4-D4</f>
        <v>9</v>
      </c>
    </row>
    <row r="5" spans="1:10" ht="16.5" x14ac:dyDescent="0.3">
      <c r="A5" s="88" t="s">
        <v>7</v>
      </c>
      <c r="B5" s="92">
        <v>1</v>
      </c>
      <c r="C5" s="139"/>
      <c r="D5" s="139"/>
      <c r="E5" s="139"/>
    </row>
    <row r="6" spans="1:10" ht="16.5" x14ac:dyDescent="0.3">
      <c r="A6" s="89" t="s">
        <v>1</v>
      </c>
      <c r="B6" s="93"/>
      <c r="C6" s="93">
        <f>SUM(C2:C5)</f>
        <v>12</v>
      </c>
      <c r="D6" s="93">
        <f>SUM(D2:D5)</f>
        <v>19</v>
      </c>
      <c r="E6" s="93">
        <f>SUM(E2:E5)</f>
        <v>-7</v>
      </c>
    </row>
    <row r="8" spans="1:10" s="1" customFormat="1" ht="16.5" x14ac:dyDescent="0.3">
      <c r="A8" s="95"/>
      <c r="B8" s="96" t="s">
        <v>76</v>
      </c>
      <c r="C8" s="97" t="s">
        <v>3</v>
      </c>
      <c r="D8" s="98" t="s">
        <v>25</v>
      </c>
      <c r="E8" s="99" t="s">
        <v>67</v>
      </c>
      <c r="F8" s="100" t="s">
        <v>69</v>
      </c>
      <c r="G8" s="101"/>
      <c r="H8" s="63"/>
      <c r="I8" s="135" t="s">
        <v>8</v>
      </c>
      <c r="J8" s="135"/>
    </row>
    <row r="9" spans="1:10" ht="33" x14ac:dyDescent="0.25">
      <c r="A9" s="94" t="s">
        <v>93</v>
      </c>
      <c r="B9" s="94" t="s">
        <v>0</v>
      </c>
      <c r="C9" s="94" t="s">
        <v>0</v>
      </c>
      <c r="D9" s="94" t="s">
        <v>0</v>
      </c>
      <c r="E9" s="94" t="s">
        <v>0</v>
      </c>
      <c r="F9" s="94" t="s">
        <v>0</v>
      </c>
      <c r="G9" s="94" t="s">
        <v>1</v>
      </c>
      <c r="I9" s="94" t="s">
        <v>93</v>
      </c>
      <c r="J9" s="94" t="s">
        <v>0</v>
      </c>
    </row>
    <row r="10" spans="1:10" ht="16.5" x14ac:dyDescent="0.3">
      <c r="A10" s="75" t="s">
        <v>14</v>
      </c>
      <c r="B10" s="73">
        <f>VLOOKUP($B$1,Recap_6[#All],4,FALSE)</f>
        <v>6</v>
      </c>
      <c r="C10" s="73">
        <f>VLOOKUP($B$1,Recap_6[#All],7,FALSE)</f>
        <v>0</v>
      </c>
      <c r="D10" s="73">
        <f>VLOOKUP($B$1,Recap_6[#All],8,FALSE)</f>
        <v>0</v>
      </c>
      <c r="E10" s="73">
        <f>VLOOKUP($B$1,Recap_6[#All],11,FALSE)</f>
        <v>0</v>
      </c>
      <c r="F10" s="73">
        <f>VLOOKUP($B$1,Recap_6[#All],14,FALSE)</f>
        <v>0</v>
      </c>
      <c r="G10" s="73">
        <f t="shared" ref="G10:G21" si="0">SUM(B10:F10)</f>
        <v>6</v>
      </c>
      <c r="I10" s="74" t="s">
        <v>14</v>
      </c>
      <c r="J10" s="73">
        <v>1</v>
      </c>
    </row>
    <row r="11" spans="1:10" ht="16.5" x14ac:dyDescent="0.3">
      <c r="A11" s="75" t="s">
        <v>15</v>
      </c>
      <c r="B11" s="73">
        <f>VLOOKUP($B$1,Recap_7[#All],4,FALSE)</f>
        <v>5</v>
      </c>
      <c r="C11" s="73">
        <f>VLOOKUP($B$1,Recap_7[#All],7,FALSE)</f>
        <v>0</v>
      </c>
      <c r="D11" s="73">
        <f>VLOOKUP($B$1,Recap_7[#All],8,FALSE)</f>
        <v>0</v>
      </c>
      <c r="E11" s="73">
        <f>VLOOKUP($B$1,Recap_7[#All],11,FALSE)</f>
        <v>0</v>
      </c>
      <c r="F11" s="73">
        <f>VLOOKUP($B$1,Recap_7[#All],14,FALSE)</f>
        <v>0</v>
      </c>
      <c r="G11" s="73">
        <f t="shared" si="0"/>
        <v>5</v>
      </c>
      <c r="I11" s="74" t="s">
        <v>15</v>
      </c>
      <c r="J11" s="73">
        <v>1</v>
      </c>
    </row>
    <row r="12" spans="1:10" ht="16.5" x14ac:dyDescent="0.3">
      <c r="A12" s="75" t="s">
        <v>16</v>
      </c>
      <c r="B12" s="73">
        <f>VLOOKUP($B$1,Recap_8[#All],4,FALSE)</f>
        <v>1</v>
      </c>
      <c r="C12" s="73">
        <f>VLOOKUP($B$1,Recap_8[#All],7,FALSE)</f>
        <v>0</v>
      </c>
      <c r="D12" s="73">
        <f>VLOOKUP($B$1,Recap_8[#All],8,FALSE)</f>
        <v>0</v>
      </c>
      <c r="E12" s="73">
        <f>VLOOKUP($B$1,Recap_8[#All],11,FALSE)</f>
        <v>0</v>
      </c>
      <c r="F12" s="73">
        <f>VLOOKUP($B$1,Recap_8[#All],14,FALSE)</f>
        <v>0</v>
      </c>
      <c r="G12" s="73">
        <f t="shared" si="0"/>
        <v>1</v>
      </c>
      <c r="I12" s="75" t="s">
        <v>16</v>
      </c>
      <c r="J12" s="73">
        <v>0</v>
      </c>
    </row>
    <row r="13" spans="1:10" ht="16.5" x14ac:dyDescent="0.3">
      <c r="A13" s="75" t="s">
        <v>17</v>
      </c>
      <c r="B13" s="73">
        <f>VLOOKUP($B$1,Recap_9[#All],4,FALSE)</f>
        <v>1</v>
      </c>
      <c r="C13" s="73">
        <f>VLOOKUP($B$1,Recap_9[#All],7,FALSE)</f>
        <v>0</v>
      </c>
      <c r="D13" s="73">
        <f>VLOOKUP($B$1,Recap_9[#All],8,FALSE)</f>
        <v>0</v>
      </c>
      <c r="E13" s="73">
        <f>VLOOKUP($B$1,Recap_9[#All],11,FALSE)</f>
        <v>0</v>
      </c>
      <c r="F13" s="73">
        <f>VLOOKUP($B$1,Recap_9[#All],14,FALSE)</f>
        <v>0</v>
      </c>
      <c r="G13" s="73">
        <f t="shared" si="0"/>
        <v>1</v>
      </c>
      <c r="I13" s="75" t="s">
        <v>17</v>
      </c>
      <c r="J13" s="73">
        <v>1</v>
      </c>
    </row>
    <row r="14" spans="1:10" ht="16.5" x14ac:dyDescent="0.3">
      <c r="A14" s="75" t="s">
        <v>18</v>
      </c>
      <c r="B14" s="73">
        <f>VLOOKUP($B$1,Recap_10[#All],4,FALSE)</f>
        <v>3</v>
      </c>
      <c r="C14" s="73">
        <f>VLOOKUP($B$1,Recap_10[#All],7,FALSE)</f>
        <v>0</v>
      </c>
      <c r="D14" s="73">
        <f>VLOOKUP($B$1,Recap_10[#All],8,FALSE)</f>
        <v>0</v>
      </c>
      <c r="E14" s="73">
        <f>VLOOKUP($B$1,Recap_10[#All],11,FALSE)</f>
        <v>0</v>
      </c>
      <c r="F14" s="73">
        <f>VLOOKUP($B$1,Recap_10[#All],14,FALSE)</f>
        <v>0</v>
      </c>
      <c r="G14" s="73">
        <f t="shared" si="0"/>
        <v>3</v>
      </c>
      <c r="I14" s="75" t="s">
        <v>18</v>
      </c>
      <c r="J14" s="73">
        <v>1</v>
      </c>
    </row>
    <row r="15" spans="1:10" ht="16.5" x14ac:dyDescent="0.3">
      <c r="A15" s="75" t="s">
        <v>19</v>
      </c>
      <c r="B15" s="73">
        <f>VLOOKUP($B$1,Recap_11[#All],4,FALSE)</f>
        <v>3</v>
      </c>
      <c r="C15" s="73">
        <f>VLOOKUP($B$1,Recap_11[#All],7,FALSE)</f>
        <v>0</v>
      </c>
      <c r="D15" s="73">
        <f>VLOOKUP($B$1,Recap_11[#All],8,FALSE)</f>
        <v>0</v>
      </c>
      <c r="E15" s="73">
        <f>VLOOKUP($B$1,Recap_11[#All],11,FALSE)</f>
        <v>0</v>
      </c>
      <c r="F15" s="73">
        <f>VLOOKUP($B$1,Recap_11[#All],14,FALSE)</f>
        <v>0</v>
      </c>
      <c r="G15" s="73">
        <f t="shared" si="0"/>
        <v>3</v>
      </c>
      <c r="I15" s="75" t="s">
        <v>19</v>
      </c>
      <c r="J15" s="73">
        <v>1</v>
      </c>
    </row>
    <row r="16" spans="1:10" ht="16.5" x14ac:dyDescent="0.3">
      <c r="A16" s="75" t="s">
        <v>20</v>
      </c>
      <c r="B16" s="73">
        <f>VLOOKUP($B$1,Recap_12[#All],4,FALSE)</f>
        <v>0</v>
      </c>
      <c r="C16" s="73">
        <f>VLOOKUP($B$1,Recap_12[#All],7,FALSE)</f>
        <v>0</v>
      </c>
      <c r="D16" s="73">
        <f>VLOOKUP($B$1,Recap_12[#All],8,FALSE)</f>
        <v>0</v>
      </c>
      <c r="E16" s="73">
        <f>VLOOKUP($B$1,Recap_12[#All],11,FALSE)</f>
        <v>0</v>
      </c>
      <c r="F16" s="73">
        <f>VLOOKUP($B$1,Recap_12[#All],14,FALSE)</f>
        <v>0</v>
      </c>
      <c r="G16" s="73">
        <f t="shared" si="0"/>
        <v>0</v>
      </c>
      <c r="I16" s="75" t="s">
        <v>20</v>
      </c>
      <c r="J16" s="73">
        <v>1</v>
      </c>
    </row>
    <row r="17" spans="1:10" ht="16.5" x14ac:dyDescent="0.3">
      <c r="A17" s="75" t="s">
        <v>9</v>
      </c>
      <c r="B17" s="73">
        <f>VLOOKUP($B$1,_1[#All],4,FALSE)</f>
        <v>0</v>
      </c>
      <c r="C17" s="73">
        <f>VLOOKUP($B$1,_1[#All],7,FALSE)</f>
        <v>0</v>
      </c>
      <c r="D17" s="73">
        <f>VLOOKUP($B$1,_1[#All],8,FALSE)</f>
        <v>0</v>
      </c>
      <c r="E17" s="73">
        <f>VLOOKUP($B$1,_1[#All],11,FALSE)</f>
        <v>0</v>
      </c>
      <c r="F17" s="73">
        <f>VLOOKUP($B$1,_1[#All],14,FALSE)</f>
        <v>0</v>
      </c>
      <c r="G17" s="73">
        <f t="shared" si="0"/>
        <v>0</v>
      </c>
      <c r="I17" s="75" t="s">
        <v>9</v>
      </c>
      <c r="J17" s="73">
        <v>1</v>
      </c>
    </row>
    <row r="18" spans="1:10" ht="16.5" x14ac:dyDescent="0.3">
      <c r="A18" s="75" t="s">
        <v>10</v>
      </c>
      <c r="B18" s="73">
        <f>VLOOKUP($B$1,_2[#All],4,FALSE)</f>
        <v>0</v>
      </c>
      <c r="C18" s="73">
        <f>VLOOKUP($B$1,_2[#All],7,FALSE)</f>
        <v>0</v>
      </c>
      <c r="D18" s="73">
        <f>VLOOKUP($B$1,_2[#All],8,FALSE)</f>
        <v>0</v>
      </c>
      <c r="E18" s="73">
        <f>VLOOKUP($B$1,_2[#All],11,FALSE)</f>
        <v>0</v>
      </c>
      <c r="F18" s="73">
        <f>VLOOKUP($B$1,_2[#All],14,FALSE)</f>
        <v>0</v>
      </c>
      <c r="G18" s="73">
        <f t="shared" si="0"/>
        <v>0</v>
      </c>
      <c r="I18" s="75" t="s">
        <v>10</v>
      </c>
      <c r="J18" s="73">
        <v>0</v>
      </c>
    </row>
    <row r="19" spans="1:10" ht="16.5" x14ac:dyDescent="0.3">
      <c r="A19" s="75" t="s">
        <v>11</v>
      </c>
      <c r="B19" s="73">
        <f>VLOOKUP($B$1,_3[#All],4,FALSE)</f>
        <v>0</v>
      </c>
      <c r="C19" s="73">
        <f>VLOOKUP($B$1,_3[#All],7,FALSE)</f>
        <v>0</v>
      </c>
      <c r="D19" s="73">
        <f>VLOOKUP($B$1,_3[#All],8,FALSE)</f>
        <v>0</v>
      </c>
      <c r="E19" s="73">
        <f>VLOOKUP($B$1,_3[#All],11,FALSE)</f>
        <v>0</v>
      </c>
      <c r="F19" s="73">
        <f>VLOOKUP($B$1,_3[#All],14,FALSE)</f>
        <v>0</v>
      </c>
      <c r="G19" s="73">
        <f t="shared" si="0"/>
        <v>0</v>
      </c>
      <c r="I19" s="75" t="s">
        <v>11</v>
      </c>
      <c r="J19" s="73" t="e">
        <f>VLOOKUP("silvia cecutti",_3[#All],4,FALSE)</f>
        <v>#N/A</v>
      </c>
    </row>
    <row r="20" spans="1:10" ht="16.5" x14ac:dyDescent="0.3">
      <c r="A20" s="75" t="s">
        <v>12</v>
      </c>
      <c r="B20" s="73">
        <f>VLOOKUP($B$1,_4[#All],4,FALSE)</f>
        <v>0</v>
      </c>
      <c r="C20" s="73">
        <f>VLOOKUP($B$1,_4[#All],7,FALSE)</f>
        <v>0</v>
      </c>
      <c r="D20" s="73">
        <f>VLOOKUP($B$1,_4[#All],8,FALSE)</f>
        <v>0</v>
      </c>
      <c r="E20" s="73">
        <f>VLOOKUP($B$1,_4[#All],11,FALSE)</f>
        <v>0</v>
      </c>
      <c r="F20" s="73">
        <f>VLOOKUP($B$1,_4[#All],14,FALSE)</f>
        <v>0</v>
      </c>
      <c r="G20" s="73">
        <f t="shared" si="0"/>
        <v>0</v>
      </c>
      <c r="I20" s="75" t="s">
        <v>12</v>
      </c>
      <c r="J20" s="73" t="e">
        <f>VLOOKUP("silvia cecutti",_3[#All],4,FALSE)</f>
        <v>#N/A</v>
      </c>
    </row>
    <row r="21" spans="1:10" ht="16.5" x14ac:dyDescent="0.3">
      <c r="A21" s="75" t="s">
        <v>13</v>
      </c>
      <c r="B21" s="73">
        <f>VLOOKUP($B$1,_5[#All],4,FALSE)</f>
        <v>0</v>
      </c>
      <c r="C21" s="73">
        <f>VLOOKUP($B$1,_5[#All],7,FALSE)</f>
        <v>0</v>
      </c>
      <c r="D21" s="73">
        <f>VLOOKUP($B$1,_5[#All],8,FALSE)</f>
        <v>0</v>
      </c>
      <c r="E21" s="73">
        <f>VLOOKUP($B$1,_5[#All],11,FALSE)</f>
        <v>0</v>
      </c>
      <c r="F21" s="73">
        <f>VLOOKUP($B$1,_5[#All],14,FALSE)</f>
        <v>0</v>
      </c>
      <c r="G21" s="73">
        <f t="shared" si="0"/>
        <v>0</v>
      </c>
      <c r="I21" s="75" t="s">
        <v>13</v>
      </c>
      <c r="J21" s="73" t="e">
        <f>VLOOKUP("silvia cecutti",_3[#All],4,FALSE)</f>
        <v>#N/A</v>
      </c>
    </row>
    <row r="22" spans="1:10" ht="16.5" x14ac:dyDescent="0.3">
      <c r="A22" s="90" t="s">
        <v>1</v>
      </c>
      <c r="B22" s="90">
        <f>SUM(B10:B21)</f>
        <v>19</v>
      </c>
      <c r="C22" s="90">
        <f t="shared" ref="C22:G22" si="1">SUM(C10:C21)</f>
        <v>0</v>
      </c>
      <c r="D22" s="90">
        <f t="shared" si="1"/>
        <v>0</v>
      </c>
      <c r="E22" s="90">
        <f t="shared" si="1"/>
        <v>0</v>
      </c>
      <c r="F22" s="90">
        <f t="shared" si="1"/>
        <v>0</v>
      </c>
      <c r="G22" s="90">
        <f t="shared" si="1"/>
        <v>19</v>
      </c>
      <c r="I22" s="90" t="s">
        <v>1</v>
      </c>
      <c r="J22" s="90" t="e">
        <f>SUM(J10:J21)</f>
        <v>#N/A</v>
      </c>
    </row>
    <row r="24" spans="1:10" x14ac:dyDescent="0.25">
      <c r="A24" s="107" t="s">
        <v>131</v>
      </c>
    </row>
  </sheetData>
  <mergeCells count="7">
    <mergeCell ref="I8:J8"/>
    <mergeCell ref="C2:C3"/>
    <mergeCell ref="D2:D3"/>
    <mergeCell ref="E2:E3"/>
    <mergeCell ref="C4:C5"/>
    <mergeCell ref="D4:D5"/>
    <mergeCell ref="E4:E5"/>
  </mergeCells>
  <dataValidations count="1">
    <dataValidation allowBlank="1" showErrorMessage="1" sqref="B8 D8:F8"/>
  </dataValidations>
  <hyperlinks>
    <hyperlink ref="A10" location="'2017'!A64:AF72" display="Juin"/>
    <hyperlink ref="A11" location="'2017'!A76:AF84" display="Juillet"/>
    <hyperlink ref="A13" location="'2017'!A100:AF108" display="Septembre"/>
    <hyperlink ref="A12" location="'2017'!A88:AF96" display="Août"/>
    <hyperlink ref="A14" location="'2017'!A112:AF120" display="Octobre"/>
    <hyperlink ref="A15" location="'2017'!A124:AF132" display="Novembre"/>
    <hyperlink ref="A16" location="'2017'!A136:AF145" display="Décembre"/>
    <hyperlink ref="A17" location="'2018'!A4:AF12" display="Janvier"/>
    <hyperlink ref="A18" location="'2018'!A16:AF24" display="Février"/>
    <hyperlink ref="A19" location="'2018'!A28:AF36" display="Mars"/>
    <hyperlink ref="A20" location="'2018'!A40:AF48" display="Avril"/>
    <hyperlink ref="A21" location="'2018'!A52:AF60" display="Mai"/>
    <hyperlink ref="A24" r:id="rId1"/>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J24"/>
  <sheetViews>
    <sheetView showGridLines="0" workbookViewId="0">
      <selection activeCell="D25" sqref="D25:D26"/>
    </sheetView>
  </sheetViews>
  <sheetFormatPr baseColWidth="10" defaultRowHeight="15" x14ac:dyDescent="0.25"/>
  <cols>
    <col min="1" max="1" width="33.140625" bestFit="1" customWidth="1"/>
    <col min="2" max="2" width="14.7109375" customWidth="1"/>
    <col min="8" max="8" width="1.7109375" customWidth="1"/>
    <col min="9" max="9" width="16.42578125" customWidth="1"/>
  </cols>
  <sheetData>
    <row r="1" spans="1:10" ht="16.5" x14ac:dyDescent="0.25">
      <c r="A1" s="62" t="s">
        <v>2</v>
      </c>
      <c r="B1" s="62" t="s">
        <v>123</v>
      </c>
      <c r="C1" s="62" t="s">
        <v>1</v>
      </c>
      <c r="D1" s="62" t="s">
        <v>22</v>
      </c>
      <c r="E1" s="62" t="s">
        <v>5</v>
      </c>
    </row>
    <row r="2" spans="1:10" ht="16.5" x14ac:dyDescent="0.3">
      <c r="A2" s="85" t="s">
        <v>4</v>
      </c>
      <c r="B2" s="91">
        <v>4</v>
      </c>
      <c r="C2" s="136">
        <f>B2+B3</f>
        <v>4</v>
      </c>
      <c r="D2" s="136">
        <f>B22</f>
        <v>8</v>
      </c>
      <c r="E2" s="136">
        <f>C2-D2</f>
        <v>-4</v>
      </c>
    </row>
    <row r="3" spans="1:10" ht="16.5" x14ac:dyDescent="0.3">
      <c r="A3" s="86" t="s">
        <v>21</v>
      </c>
      <c r="B3" s="91">
        <v>0</v>
      </c>
      <c r="C3" s="137"/>
      <c r="D3" s="137"/>
      <c r="E3" s="137"/>
    </row>
    <row r="4" spans="1:10" ht="16.5" x14ac:dyDescent="0.3">
      <c r="A4" s="87" t="s">
        <v>6</v>
      </c>
      <c r="B4" s="92">
        <v>8</v>
      </c>
      <c r="C4" s="138">
        <f>B4+B5</f>
        <v>8</v>
      </c>
      <c r="D4" s="138">
        <f>C22</f>
        <v>8</v>
      </c>
      <c r="E4" s="138">
        <f>C4-D4</f>
        <v>0</v>
      </c>
    </row>
    <row r="5" spans="1:10" ht="16.5" x14ac:dyDescent="0.3">
      <c r="A5" s="88" t="s">
        <v>7</v>
      </c>
      <c r="B5" s="92">
        <v>0</v>
      </c>
      <c r="C5" s="139"/>
      <c r="D5" s="139"/>
      <c r="E5" s="139"/>
    </row>
    <row r="6" spans="1:10" ht="16.5" x14ac:dyDescent="0.3">
      <c r="A6" s="89" t="s">
        <v>1</v>
      </c>
      <c r="B6" s="93"/>
      <c r="C6" s="93">
        <f>SUM(C2:C5)</f>
        <v>12</v>
      </c>
      <c r="D6" s="93">
        <f>SUM(D2:D5)</f>
        <v>16</v>
      </c>
      <c r="E6" s="93">
        <f>SUM(E2:E5)</f>
        <v>-4</v>
      </c>
    </row>
    <row r="8" spans="1:10" s="1" customFormat="1" ht="16.5" x14ac:dyDescent="0.3">
      <c r="A8" s="95"/>
      <c r="B8" s="96" t="s">
        <v>76</v>
      </c>
      <c r="C8" s="97" t="s">
        <v>3</v>
      </c>
      <c r="D8" s="98" t="s">
        <v>25</v>
      </c>
      <c r="E8" s="99" t="s">
        <v>67</v>
      </c>
      <c r="F8" s="100" t="s">
        <v>69</v>
      </c>
      <c r="G8" s="101"/>
      <c r="H8" s="63"/>
      <c r="I8" s="135" t="s">
        <v>8</v>
      </c>
      <c r="J8" s="135"/>
    </row>
    <row r="9" spans="1:10" ht="33" x14ac:dyDescent="0.25">
      <c r="A9" s="94" t="s">
        <v>93</v>
      </c>
      <c r="B9" s="94" t="s">
        <v>0</v>
      </c>
      <c r="C9" s="94" t="s">
        <v>0</v>
      </c>
      <c r="D9" s="94" t="s">
        <v>0</v>
      </c>
      <c r="E9" s="94" t="s">
        <v>0</v>
      </c>
      <c r="F9" s="94" t="s">
        <v>0</v>
      </c>
      <c r="G9" s="94" t="s">
        <v>1</v>
      </c>
      <c r="I9" s="94" t="s">
        <v>93</v>
      </c>
      <c r="J9" s="94" t="s">
        <v>0</v>
      </c>
    </row>
    <row r="10" spans="1:10" ht="16.5" x14ac:dyDescent="0.3">
      <c r="A10" s="75" t="s">
        <v>14</v>
      </c>
      <c r="B10" s="73">
        <f>VLOOKUP($B$1,Recap_6[#All],4,FALSE)</f>
        <v>0</v>
      </c>
      <c r="C10" s="73">
        <f>VLOOKUP($B$1,Recap_6[#All],7,FALSE)</f>
        <v>0</v>
      </c>
      <c r="D10" s="73">
        <f>VLOOKUP($B$1,Recap_6[#All],8,FALSE)</f>
        <v>0</v>
      </c>
      <c r="E10" s="73">
        <f>VLOOKUP($B$1,Recap_6[#All],11,FALSE)</f>
        <v>0</v>
      </c>
      <c r="F10" s="73">
        <f>VLOOKUP($B$1,Recap_6[#All],14,FALSE)</f>
        <v>0</v>
      </c>
      <c r="G10" s="73">
        <f t="shared" ref="G10:G21" si="0">SUM(B10:F10)</f>
        <v>0</v>
      </c>
      <c r="I10" s="74" t="s">
        <v>14</v>
      </c>
      <c r="J10" s="73">
        <v>1</v>
      </c>
    </row>
    <row r="11" spans="1:10" ht="16.5" x14ac:dyDescent="0.3">
      <c r="A11" s="75" t="s">
        <v>15</v>
      </c>
      <c r="B11" s="73">
        <f>VLOOKUP($B$1,Recap_7[#All],4,FALSE)</f>
        <v>0</v>
      </c>
      <c r="C11" s="73">
        <f>VLOOKUP($B$1,Recap_7[#All],7,FALSE)</f>
        <v>0</v>
      </c>
      <c r="D11" s="73">
        <f>VLOOKUP($B$1,Recap_7[#All],8,FALSE)</f>
        <v>0</v>
      </c>
      <c r="E11" s="73">
        <f>VLOOKUP($B$1,Recap_7[#All],11,FALSE)</f>
        <v>0</v>
      </c>
      <c r="F11" s="73">
        <f>VLOOKUP($B$1,Recap_7[#All],14,FALSE)</f>
        <v>0</v>
      </c>
      <c r="G11" s="73">
        <f t="shared" si="0"/>
        <v>0</v>
      </c>
      <c r="I11" s="74" t="s">
        <v>15</v>
      </c>
      <c r="J11" s="73">
        <v>1</v>
      </c>
    </row>
    <row r="12" spans="1:10" ht="16.5" x14ac:dyDescent="0.3">
      <c r="A12" s="75" t="s">
        <v>16</v>
      </c>
      <c r="B12" s="73">
        <f>VLOOKUP($B$1,Recap_8[#All],4,FALSE)</f>
        <v>7</v>
      </c>
      <c r="C12" s="73">
        <f>VLOOKUP($B$1,Recap_8[#All],7,FALSE)</f>
        <v>2</v>
      </c>
      <c r="D12" s="73">
        <f>VLOOKUP($B$1,Recap_8[#All],8,FALSE)</f>
        <v>0</v>
      </c>
      <c r="E12" s="73">
        <f>VLOOKUP($B$1,Recap_8[#All],11,FALSE)</f>
        <v>0</v>
      </c>
      <c r="F12" s="73">
        <f>VLOOKUP($B$1,Recap_8[#All],14,FALSE)</f>
        <v>0</v>
      </c>
      <c r="G12" s="73">
        <f t="shared" si="0"/>
        <v>9</v>
      </c>
      <c r="I12" s="75" t="s">
        <v>16</v>
      </c>
      <c r="J12" s="73">
        <v>0</v>
      </c>
    </row>
    <row r="13" spans="1:10" ht="16.5" x14ac:dyDescent="0.3">
      <c r="A13" s="75" t="s">
        <v>17</v>
      </c>
      <c r="B13" s="73">
        <f>VLOOKUP($B$1,Recap_9[#All],4,FALSE)</f>
        <v>0</v>
      </c>
      <c r="C13" s="73">
        <f>VLOOKUP($B$1,Recap_9[#All],7,FALSE)</f>
        <v>2</v>
      </c>
      <c r="D13" s="73">
        <f>VLOOKUP($B$1,Recap_9[#All],8,FALSE)</f>
        <v>0</v>
      </c>
      <c r="E13" s="73">
        <f>VLOOKUP($B$1,Recap_9[#All],11,FALSE)</f>
        <v>0</v>
      </c>
      <c r="F13" s="73">
        <f>VLOOKUP($B$1,Recap_9[#All],14,FALSE)</f>
        <v>0</v>
      </c>
      <c r="G13" s="73">
        <f t="shared" si="0"/>
        <v>2</v>
      </c>
      <c r="I13" s="75" t="s">
        <v>17</v>
      </c>
      <c r="J13" s="73">
        <v>1</v>
      </c>
    </row>
    <row r="14" spans="1:10" ht="16.5" x14ac:dyDescent="0.3">
      <c r="A14" s="75" t="s">
        <v>18</v>
      </c>
      <c r="B14" s="73">
        <f>VLOOKUP($B$1,Recap_10[#All],4,FALSE)</f>
        <v>0</v>
      </c>
      <c r="C14" s="73">
        <f>VLOOKUP($B$1,Recap_10[#All],7,FALSE)</f>
        <v>0</v>
      </c>
      <c r="D14" s="73">
        <f>VLOOKUP($B$1,Recap_10[#All],8,FALSE)</f>
        <v>0</v>
      </c>
      <c r="E14" s="73">
        <f>VLOOKUP($B$1,Recap_10[#All],11,FALSE)</f>
        <v>0</v>
      </c>
      <c r="F14" s="73">
        <f>VLOOKUP($B$1,Recap_10[#All],14,FALSE)</f>
        <v>0</v>
      </c>
      <c r="G14" s="73">
        <f t="shared" si="0"/>
        <v>0</v>
      </c>
      <c r="I14" s="75" t="s">
        <v>18</v>
      </c>
      <c r="J14" s="73">
        <v>1</v>
      </c>
    </row>
    <row r="15" spans="1:10" ht="16.5" x14ac:dyDescent="0.3">
      <c r="A15" s="75" t="s">
        <v>19</v>
      </c>
      <c r="B15" s="73">
        <f>VLOOKUP($B$1,Recap_11[#All],4,FALSE)</f>
        <v>0</v>
      </c>
      <c r="C15" s="73">
        <f>VLOOKUP($B$1,Recap_11[#All],7,FALSE)</f>
        <v>0</v>
      </c>
      <c r="D15" s="73">
        <f>VLOOKUP($B$1,Recap_11[#All],8,FALSE)</f>
        <v>0</v>
      </c>
      <c r="E15" s="73">
        <f>VLOOKUP($B$1,Recap_11[#All],11,FALSE)</f>
        <v>0</v>
      </c>
      <c r="F15" s="73">
        <f>VLOOKUP($B$1,Recap_11[#All],14,FALSE)</f>
        <v>0</v>
      </c>
      <c r="G15" s="73">
        <f t="shared" si="0"/>
        <v>0</v>
      </c>
      <c r="I15" s="75" t="s">
        <v>19</v>
      </c>
      <c r="J15" s="73">
        <v>1</v>
      </c>
    </row>
    <row r="16" spans="1:10" ht="16.5" x14ac:dyDescent="0.3">
      <c r="A16" s="75" t="s">
        <v>20</v>
      </c>
      <c r="B16" s="73">
        <f>VLOOKUP($B$1,Recap_12[#All],4,FALSE)</f>
        <v>0</v>
      </c>
      <c r="C16" s="73">
        <f>VLOOKUP($B$1,Recap_12[#All],7,FALSE)</f>
        <v>0</v>
      </c>
      <c r="D16" s="73">
        <f>VLOOKUP($B$1,Recap_12[#All],8,FALSE)</f>
        <v>0</v>
      </c>
      <c r="E16" s="73">
        <f>VLOOKUP($B$1,Recap_12[#All],11,FALSE)</f>
        <v>0</v>
      </c>
      <c r="F16" s="73">
        <f>VLOOKUP($B$1,Recap_12[#All],14,FALSE)</f>
        <v>0</v>
      </c>
      <c r="G16" s="73">
        <f t="shared" si="0"/>
        <v>0</v>
      </c>
      <c r="I16" s="75" t="s">
        <v>20</v>
      </c>
      <c r="J16" s="73">
        <v>1</v>
      </c>
    </row>
    <row r="17" spans="1:10" ht="16.5" x14ac:dyDescent="0.3">
      <c r="A17" s="75" t="s">
        <v>9</v>
      </c>
      <c r="B17" s="73">
        <f>VLOOKUP($B$1,_1[#All],4,FALSE)</f>
        <v>1</v>
      </c>
      <c r="C17" s="73">
        <f>VLOOKUP($B$1,_1[#All],7,FALSE)</f>
        <v>4</v>
      </c>
      <c r="D17" s="73">
        <f>VLOOKUP($B$1,_1[#All],8,FALSE)</f>
        <v>0</v>
      </c>
      <c r="E17" s="73">
        <f>VLOOKUP($B$1,_1[#All],11,FALSE)</f>
        <v>0</v>
      </c>
      <c r="F17" s="73">
        <f>VLOOKUP($B$1,_1[#All],14,FALSE)</f>
        <v>0</v>
      </c>
      <c r="G17" s="73">
        <f t="shared" si="0"/>
        <v>5</v>
      </c>
      <c r="I17" s="75" t="s">
        <v>9</v>
      </c>
      <c r="J17" s="73">
        <v>1</v>
      </c>
    </row>
    <row r="18" spans="1:10" ht="16.5" x14ac:dyDescent="0.3">
      <c r="A18" s="75" t="s">
        <v>10</v>
      </c>
      <c r="B18" s="73">
        <f>VLOOKUP($B$1,_2[#All],4,FALSE)</f>
        <v>0</v>
      </c>
      <c r="C18" s="73">
        <f>VLOOKUP($B$1,_2[#All],7,FALSE)</f>
        <v>0</v>
      </c>
      <c r="D18" s="73">
        <f>VLOOKUP($B$1,_2[#All],8,FALSE)</f>
        <v>0</v>
      </c>
      <c r="E18" s="73">
        <f>VLOOKUP($B$1,_2[#All],11,FALSE)</f>
        <v>0</v>
      </c>
      <c r="F18" s="73">
        <f>VLOOKUP($B$1,_2[#All],14,FALSE)</f>
        <v>0</v>
      </c>
      <c r="G18" s="73">
        <f t="shared" si="0"/>
        <v>0</v>
      </c>
      <c r="I18" s="75" t="s">
        <v>10</v>
      </c>
      <c r="J18" s="73">
        <v>0</v>
      </c>
    </row>
    <row r="19" spans="1:10" ht="16.5" x14ac:dyDescent="0.3">
      <c r="A19" s="75" t="s">
        <v>11</v>
      </c>
      <c r="B19" s="73">
        <f>VLOOKUP($B$1,_3[#All],4,FALSE)</f>
        <v>0</v>
      </c>
      <c r="C19" s="73">
        <f>VLOOKUP($B$1,_3[#All],7,FALSE)</f>
        <v>0</v>
      </c>
      <c r="D19" s="73">
        <f>VLOOKUP($B$1,_3[#All],8,FALSE)</f>
        <v>0</v>
      </c>
      <c r="E19" s="73">
        <f>VLOOKUP($B$1,_3[#All],11,FALSE)</f>
        <v>0</v>
      </c>
      <c r="F19" s="73">
        <f>VLOOKUP($B$1,_3[#All],14,FALSE)</f>
        <v>0</v>
      </c>
      <c r="G19" s="73">
        <f t="shared" si="0"/>
        <v>0</v>
      </c>
      <c r="I19" s="75" t="s">
        <v>11</v>
      </c>
      <c r="J19" s="73" t="e">
        <f>VLOOKUP("silvia cecutti",_3[#All],4,FALSE)</f>
        <v>#N/A</v>
      </c>
    </row>
    <row r="20" spans="1:10" ht="16.5" x14ac:dyDescent="0.3">
      <c r="A20" s="75" t="s">
        <v>12</v>
      </c>
      <c r="B20" s="73">
        <f>VLOOKUP($B$1,_4[#All],4,FALSE)</f>
        <v>0</v>
      </c>
      <c r="C20" s="73">
        <f>VLOOKUP($B$1,_4[#All],7,FALSE)</f>
        <v>0</v>
      </c>
      <c r="D20" s="73">
        <f>VLOOKUP($B$1,_4[#All],8,FALSE)</f>
        <v>0</v>
      </c>
      <c r="E20" s="73">
        <f>VLOOKUP($B$1,_4[#All],11,FALSE)</f>
        <v>0</v>
      </c>
      <c r="F20" s="73">
        <f>VLOOKUP($B$1,_4[#All],14,FALSE)</f>
        <v>0</v>
      </c>
      <c r="G20" s="73">
        <f t="shared" si="0"/>
        <v>0</v>
      </c>
      <c r="I20" s="75" t="s">
        <v>12</v>
      </c>
      <c r="J20" s="73" t="e">
        <f>VLOOKUP("silvia cecutti",_4[#All],4,FALSE)</f>
        <v>#N/A</v>
      </c>
    </row>
    <row r="21" spans="1:10" ht="16.5" x14ac:dyDescent="0.3">
      <c r="A21" s="75" t="s">
        <v>13</v>
      </c>
      <c r="B21" s="73">
        <f>VLOOKUP($B$1,_5[#All],4,FALSE)</f>
        <v>0</v>
      </c>
      <c r="C21" s="73">
        <f>VLOOKUP($B$1,_5[#All],7,FALSE)</f>
        <v>0</v>
      </c>
      <c r="D21" s="73">
        <f>VLOOKUP($B$1,_5[#All],8,FALSE)</f>
        <v>0</v>
      </c>
      <c r="E21" s="73">
        <f>VLOOKUP($B$1,_5[#All],11,FALSE)</f>
        <v>0</v>
      </c>
      <c r="F21" s="73">
        <f>VLOOKUP($B$1,_5[#All],14,FALSE)</f>
        <v>0</v>
      </c>
      <c r="G21" s="73">
        <f t="shared" si="0"/>
        <v>0</v>
      </c>
      <c r="I21" s="75" t="s">
        <v>13</v>
      </c>
      <c r="J21" s="73" t="e">
        <f>VLOOKUP("silvia cecutti",_5[#All],4,FALSE)</f>
        <v>#N/A</v>
      </c>
    </row>
    <row r="22" spans="1:10" ht="16.5" x14ac:dyDescent="0.3">
      <c r="A22" s="90" t="s">
        <v>1</v>
      </c>
      <c r="B22" s="90">
        <f>SUM(B10:B21)</f>
        <v>8</v>
      </c>
      <c r="C22" s="90">
        <f t="shared" ref="C22:G22" si="1">SUM(C10:C21)</f>
        <v>8</v>
      </c>
      <c r="D22" s="90">
        <f t="shared" si="1"/>
        <v>0</v>
      </c>
      <c r="E22" s="90">
        <f t="shared" si="1"/>
        <v>0</v>
      </c>
      <c r="F22" s="90">
        <f t="shared" si="1"/>
        <v>0</v>
      </c>
      <c r="G22" s="90">
        <f t="shared" si="1"/>
        <v>16</v>
      </c>
      <c r="I22" s="90" t="s">
        <v>1</v>
      </c>
      <c r="J22" s="90" t="e">
        <f>SUM(J10:J21)</f>
        <v>#N/A</v>
      </c>
    </row>
    <row r="24" spans="1:10" x14ac:dyDescent="0.25">
      <c r="A24" s="107" t="s">
        <v>129</v>
      </c>
    </row>
  </sheetData>
  <mergeCells count="7">
    <mergeCell ref="I8:J8"/>
    <mergeCell ref="C2:C3"/>
    <mergeCell ref="D2:D3"/>
    <mergeCell ref="E2:E3"/>
    <mergeCell ref="C4:C5"/>
    <mergeCell ref="D4:D5"/>
    <mergeCell ref="E4:E5"/>
  </mergeCells>
  <dataValidations count="1">
    <dataValidation allowBlank="1" showErrorMessage="1" sqref="B8 D8:F8"/>
  </dataValidations>
  <hyperlinks>
    <hyperlink ref="A10" location="'2017'!A64:AF72" display="Juin"/>
    <hyperlink ref="A11" location="'2017'!A76:AF84" display="Juillet"/>
    <hyperlink ref="A13" location="'2017'!A100:AF108" display="Septembre"/>
    <hyperlink ref="A12" location="'2017'!A88:AF96" display="Août"/>
    <hyperlink ref="A14" location="'2017'!A112:AF120" display="Octobre"/>
    <hyperlink ref="A15" location="'2017'!A124:AF132" display="Novembre"/>
    <hyperlink ref="A16" location="'2017'!A136:AF145" display="Décembre"/>
    <hyperlink ref="A17" location="'2018'!A4:AF12" display="Janvier"/>
    <hyperlink ref="A18" location="'2018'!A16:AF24" display="Février"/>
    <hyperlink ref="A19" location="'2018'!A28:AF36" display="Mars"/>
    <hyperlink ref="A20" location="'2018'!A40:AF48" display="Avril"/>
    <hyperlink ref="A21" location="'2018'!A52:AF60" display="Mai"/>
    <hyperlink ref="A24" r:id="rId1"/>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J24"/>
  <sheetViews>
    <sheetView showGridLines="0" workbookViewId="0">
      <selection activeCell="B1" sqref="B1"/>
    </sheetView>
  </sheetViews>
  <sheetFormatPr baseColWidth="10" defaultRowHeight="15" x14ac:dyDescent="0.25"/>
  <cols>
    <col min="1" max="1" width="33.140625" bestFit="1" customWidth="1"/>
    <col min="2" max="2" width="14.7109375" customWidth="1"/>
    <col min="8" max="8" width="1.7109375" customWidth="1"/>
    <col min="9" max="9" width="16.42578125" customWidth="1"/>
  </cols>
  <sheetData>
    <row r="1" spans="1:10" ht="16.5" x14ac:dyDescent="0.25">
      <c r="A1" s="62" t="s">
        <v>2</v>
      </c>
      <c r="B1" s="62" t="s">
        <v>122</v>
      </c>
      <c r="C1" s="62" t="s">
        <v>1</v>
      </c>
      <c r="D1" s="62" t="s">
        <v>22</v>
      </c>
      <c r="E1" s="62" t="s">
        <v>5</v>
      </c>
    </row>
    <row r="2" spans="1:10" ht="16.5" x14ac:dyDescent="0.3">
      <c r="A2" s="85" t="s">
        <v>4</v>
      </c>
      <c r="B2" s="91">
        <v>0</v>
      </c>
      <c r="C2" s="136">
        <f>B2+B3</f>
        <v>0</v>
      </c>
      <c r="D2" s="136">
        <f>B22</f>
        <v>0</v>
      </c>
      <c r="E2" s="136">
        <f>C2-D2</f>
        <v>0</v>
      </c>
    </row>
    <row r="3" spans="1:10" ht="16.5" x14ac:dyDescent="0.3">
      <c r="A3" s="86" t="s">
        <v>21</v>
      </c>
      <c r="B3" s="91">
        <v>0</v>
      </c>
      <c r="C3" s="137"/>
      <c r="D3" s="137"/>
      <c r="E3" s="137"/>
    </row>
    <row r="4" spans="1:10" ht="16.5" x14ac:dyDescent="0.3">
      <c r="A4" s="87" t="s">
        <v>6</v>
      </c>
      <c r="B4" s="92" t="e">
        <f>J22</f>
        <v>#N/A</v>
      </c>
      <c r="C4" s="138" t="e">
        <f>B4+B5</f>
        <v>#N/A</v>
      </c>
      <c r="D4" s="138">
        <f>C22</f>
        <v>2</v>
      </c>
      <c r="E4" s="138" t="e">
        <f>C4-D4</f>
        <v>#N/A</v>
      </c>
    </row>
    <row r="5" spans="1:10" ht="16.5" x14ac:dyDescent="0.3">
      <c r="A5" s="88" t="s">
        <v>7</v>
      </c>
      <c r="B5" s="92">
        <v>0</v>
      </c>
      <c r="C5" s="139"/>
      <c r="D5" s="139"/>
      <c r="E5" s="139"/>
    </row>
    <row r="6" spans="1:10" ht="16.5" x14ac:dyDescent="0.3">
      <c r="A6" s="89" t="s">
        <v>1</v>
      </c>
      <c r="B6" s="93"/>
      <c r="C6" s="93" t="e">
        <f>SUM(C2:C5)</f>
        <v>#N/A</v>
      </c>
      <c r="D6" s="93">
        <f>SUM(D2:D5)</f>
        <v>2</v>
      </c>
      <c r="E6" s="93" t="e">
        <f>SUM(E2:E5)</f>
        <v>#N/A</v>
      </c>
    </row>
    <row r="8" spans="1:10" s="1" customFormat="1" ht="16.5" x14ac:dyDescent="0.3">
      <c r="A8" s="95"/>
      <c r="B8" s="96" t="s">
        <v>76</v>
      </c>
      <c r="C8" s="97" t="s">
        <v>3</v>
      </c>
      <c r="D8" s="98" t="s">
        <v>25</v>
      </c>
      <c r="E8" s="99" t="s">
        <v>67</v>
      </c>
      <c r="F8" s="100" t="s">
        <v>69</v>
      </c>
      <c r="G8" s="101"/>
      <c r="H8" s="63"/>
      <c r="I8" s="135" t="s">
        <v>8</v>
      </c>
      <c r="J8" s="135"/>
    </row>
    <row r="9" spans="1:10" ht="33" x14ac:dyDescent="0.25">
      <c r="A9" s="94" t="s">
        <v>93</v>
      </c>
      <c r="B9" s="94" t="s">
        <v>0</v>
      </c>
      <c r="C9" s="94" t="s">
        <v>0</v>
      </c>
      <c r="D9" s="94" t="s">
        <v>0</v>
      </c>
      <c r="E9" s="94" t="s">
        <v>0</v>
      </c>
      <c r="F9" s="94" t="s">
        <v>0</v>
      </c>
      <c r="G9" s="94" t="s">
        <v>1</v>
      </c>
      <c r="I9" s="94" t="s">
        <v>93</v>
      </c>
      <c r="J9" s="94" t="s">
        <v>0</v>
      </c>
    </row>
    <row r="10" spans="1:10" ht="16.5" x14ac:dyDescent="0.3">
      <c r="A10" s="75" t="s">
        <v>14</v>
      </c>
      <c r="B10" s="73"/>
      <c r="C10" s="73"/>
      <c r="D10" s="73"/>
      <c r="E10" s="73"/>
      <c r="F10" s="73"/>
      <c r="G10" s="73"/>
      <c r="I10" s="74" t="s">
        <v>14</v>
      </c>
      <c r="J10" s="73">
        <v>0</v>
      </c>
    </row>
    <row r="11" spans="1:10" ht="16.5" x14ac:dyDescent="0.3">
      <c r="A11" s="75" t="s">
        <v>15</v>
      </c>
      <c r="B11" s="73"/>
      <c r="C11" s="73"/>
      <c r="D11" s="73"/>
      <c r="E11" s="73"/>
      <c r="F11" s="73"/>
      <c r="G11" s="73"/>
      <c r="I11" s="74" t="s">
        <v>15</v>
      </c>
      <c r="J11" s="73">
        <v>0</v>
      </c>
    </row>
    <row r="12" spans="1:10" ht="16.5" x14ac:dyDescent="0.3">
      <c r="A12" s="75" t="s">
        <v>16</v>
      </c>
      <c r="B12" s="73"/>
      <c r="C12" s="73"/>
      <c r="D12" s="73"/>
      <c r="E12" s="73"/>
      <c r="F12" s="73"/>
      <c r="G12" s="73"/>
      <c r="I12" s="75" t="s">
        <v>16</v>
      </c>
      <c r="J12" s="73">
        <v>0</v>
      </c>
    </row>
    <row r="13" spans="1:10" ht="16.5" x14ac:dyDescent="0.3">
      <c r="A13" s="75" t="s">
        <v>17</v>
      </c>
      <c r="B13" s="73"/>
      <c r="C13" s="73"/>
      <c r="D13" s="73"/>
      <c r="E13" s="73"/>
      <c r="F13" s="73"/>
      <c r="G13" s="73"/>
      <c r="I13" s="75" t="s">
        <v>17</v>
      </c>
      <c r="J13" s="73">
        <v>0</v>
      </c>
    </row>
    <row r="14" spans="1:10" ht="16.5" x14ac:dyDescent="0.3">
      <c r="A14" s="75" t="s">
        <v>18</v>
      </c>
      <c r="B14" s="73"/>
      <c r="C14" s="73"/>
      <c r="D14" s="73"/>
      <c r="E14" s="73"/>
      <c r="F14" s="73"/>
      <c r="G14" s="73"/>
      <c r="I14" s="75" t="s">
        <v>18</v>
      </c>
      <c r="J14" s="73">
        <v>0</v>
      </c>
    </row>
    <row r="15" spans="1:10" ht="16.5" x14ac:dyDescent="0.3">
      <c r="A15" s="75" t="s">
        <v>19</v>
      </c>
      <c r="B15" s="73"/>
      <c r="C15" s="73"/>
      <c r="D15" s="73"/>
      <c r="E15" s="73"/>
      <c r="F15" s="73"/>
      <c r="G15" s="73"/>
      <c r="I15" s="75" t="s">
        <v>19</v>
      </c>
      <c r="J15" s="73">
        <v>0</v>
      </c>
    </row>
    <row r="16" spans="1:10" ht="16.5" x14ac:dyDescent="0.3">
      <c r="A16" s="75" t="s">
        <v>20</v>
      </c>
      <c r="B16" s="73">
        <f>VLOOKUP($B$1,Recap_12[#All],4,FALSE)</f>
        <v>0</v>
      </c>
      <c r="C16" s="73">
        <f>VLOOKUP($B$1,Recap_12[#All],7,FALSE)</f>
        <v>2</v>
      </c>
      <c r="D16" s="73">
        <f>VLOOKUP($B$1,Recap_12[#All],8,FALSE)</f>
        <v>0</v>
      </c>
      <c r="E16" s="73">
        <f>VLOOKUP($B$1,Recap_12[#All],11,FALSE)</f>
        <v>1</v>
      </c>
      <c r="F16" s="73">
        <f>VLOOKUP($B$1,Recap_12[#All],14,FALSE)</f>
        <v>0</v>
      </c>
      <c r="G16" s="73">
        <f t="shared" ref="G16:G21" si="0">SUM(B16:F16)</f>
        <v>3</v>
      </c>
      <c r="I16" s="75" t="s">
        <v>20</v>
      </c>
      <c r="J16" s="73">
        <v>1</v>
      </c>
    </row>
    <row r="17" spans="1:10" ht="16.5" x14ac:dyDescent="0.3">
      <c r="A17" s="75" t="s">
        <v>9</v>
      </c>
      <c r="B17" s="73">
        <f>VLOOKUP($B$1,_1[#All],4,FALSE)</f>
        <v>0</v>
      </c>
      <c r="C17" s="73">
        <f>VLOOKUP($B$1,_1[#All],7,FALSE)</f>
        <v>0</v>
      </c>
      <c r="D17" s="73">
        <f>VLOOKUP($B$1,_1[#All],8,FALSE)</f>
        <v>0</v>
      </c>
      <c r="E17" s="73">
        <f>VLOOKUP($B$1,_1[#All],11,FALSE)</f>
        <v>0</v>
      </c>
      <c r="F17" s="73">
        <f>VLOOKUP($B$1,_1[#All],14,FALSE)</f>
        <v>3</v>
      </c>
      <c r="G17" s="73">
        <f t="shared" si="0"/>
        <v>3</v>
      </c>
      <c r="I17" s="75" t="s">
        <v>9</v>
      </c>
      <c r="J17" s="73">
        <v>1</v>
      </c>
    </row>
    <row r="18" spans="1:10" ht="16.5" x14ac:dyDescent="0.3">
      <c r="A18" s="75" t="s">
        <v>10</v>
      </c>
      <c r="B18" s="73">
        <f>VLOOKUP($B$1,_2[#All],4,FALSE)</f>
        <v>0</v>
      </c>
      <c r="C18" s="73">
        <f>VLOOKUP($B$1,_2[#All],7,FALSE)</f>
        <v>0</v>
      </c>
      <c r="D18" s="73">
        <f>VLOOKUP($B$1,_2[#All],8,FALSE)</f>
        <v>0</v>
      </c>
      <c r="E18" s="73">
        <f>VLOOKUP($B$1,_2[#All],11,FALSE)</f>
        <v>0</v>
      </c>
      <c r="F18" s="73">
        <f>VLOOKUP($B$1,_2[#All],14,FALSE)</f>
        <v>0</v>
      </c>
      <c r="G18" s="73">
        <f t="shared" si="0"/>
        <v>0</v>
      </c>
      <c r="I18" s="75" t="s">
        <v>10</v>
      </c>
      <c r="J18" s="73">
        <v>0</v>
      </c>
    </row>
    <row r="19" spans="1:10" ht="18.75" customHeight="1" x14ac:dyDescent="0.3">
      <c r="A19" s="75" t="s">
        <v>11</v>
      </c>
      <c r="B19" s="73">
        <f>VLOOKUP($B$1,_3[#All],4,FALSE)</f>
        <v>0</v>
      </c>
      <c r="C19" s="73">
        <f>VLOOKUP($B$1,_3[#All],7,FALSE)</f>
        <v>0</v>
      </c>
      <c r="D19" s="73">
        <f>VLOOKUP($B$1,_3[#All],8,FALSE)</f>
        <v>0</v>
      </c>
      <c r="E19" s="73">
        <f>VLOOKUP($B$1,_3[#All],11,FALSE)</f>
        <v>0</v>
      </c>
      <c r="F19" s="73">
        <f>VLOOKUP($B$1,_3[#All],14,FALSE)</f>
        <v>0</v>
      </c>
      <c r="G19" s="73">
        <f t="shared" si="0"/>
        <v>0</v>
      </c>
      <c r="I19" s="75" t="s">
        <v>11</v>
      </c>
      <c r="J19" s="73" t="e">
        <f>VLOOKUP("silvia cecutti",_3[#All],4,FALSE)</f>
        <v>#N/A</v>
      </c>
    </row>
    <row r="20" spans="1:10" ht="16.5" x14ac:dyDescent="0.3">
      <c r="A20" s="75" t="s">
        <v>12</v>
      </c>
      <c r="B20" s="73">
        <f>VLOOKUP($B$1,_4[#All],4,FALSE)</f>
        <v>0</v>
      </c>
      <c r="C20" s="73">
        <f>VLOOKUP($B$1,_4[#All],7,FALSE)</f>
        <v>0</v>
      </c>
      <c r="D20" s="73">
        <f>VLOOKUP($B$1,_4[#All],8,FALSE)</f>
        <v>0</v>
      </c>
      <c r="E20" s="73">
        <f>VLOOKUP($B$1,_4[#All],11,FALSE)</f>
        <v>0</v>
      </c>
      <c r="F20" s="73">
        <f>VLOOKUP($B$1,_4[#All],14,FALSE)</f>
        <v>0</v>
      </c>
      <c r="G20" s="73">
        <f t="shared" si="0"/>
        <v>0</v>
      </c>
      <c r="I20" s="75" t="s">
        <v>12</v>
      </c>
      <c r="J20" s="73" t="e">
        <f>VLOOKUP("silvia cecutti",_4[#All],4,FALSE)</f>
        <v>#N/A</v>
      </c>
    </row>
    <row r="21" spans="1:10" ht="16.5" x14ac:dyDescent="0.3">
      <c r="A21" s="75" t="s">
        <v>13</v>
      </c>
      <c r="B21" s="73">
        <f>VLOOKUP($B$1,_5[#All],4,FALSE)</f>
        <v>0</v>
      </c>
      <c r="C21" s="73">
        <f>VLOOKUP($B$1,_5[#All],7,FALSE)</f>
        <v>0</v>
      </c>
      <c r="D21" s="73">
        <f>VLOOKUP($B$1,_5[#All],8,FALSE)</f>
        <v>0</v>
      </c>
      <c r="E21" s="73">
        <f>VLOOKUP($B$1,_5[#All],11,FALSE)</f>
        <v>0</v>
      </c>
      <c r="F21" s="73">
        <f>VLOOKUP($B$1,_5[#All],14,FALSE)</f>
        <v>0</v>
      </c>
      <c r="G21" s="73">
        <f t="shared" si="0"/>
        <v>0</v>
      </c>
      <c r="I21" s="75" t="s">
        <v>13</v>
      </c>
      <c r="J21" s="73" t="e">
        <f>VLOOKUP("silvia cecutti",_5[#All],4,FALSE)</f>
        <v>#N/A</v>
      </c>
    </row>
    <row r="22" spans="1:10" ht="16.5" x14ac:dyDescent="0.3">
      <c r="A22" s="90" t="s">
        <v>1</v>
      </c>
      <c r="B22" s="90">
        <f>SUM(B10:B21)</f>
        <v>0</v>
      </c>
      <c r="C22" s="90">
        <f t="shared" ref="C22:G22" si="1">SUM(C10:C21)</f>
        <v>2</v>
      </c>
      <c r="D22" s="90">
        <f t="shared" si="1"/>
        <v>0</v>
      </c>
      <c r="E22" s="90">
        <f t="shared" si="1"/>
        <v>1</v>
      </c>
      <c r="F22" s="90">
        <f t="shared" si="1"/>
        <v>3</v>
      </c>
      <c r="G22" s="90">
        <f t="shared" si="1"/>
        <v>6</v>
      </c>
      <c r="I22" s="90" t="s">
        <v>1</v>
      </c>
      <c r="J22" s="90" t="e">
        <f>SUM(J10:J21)</f>
        <v>#N/A</v>
      </c>
    </row>
    <row r="24" spans="1:10" x14ac:dyDescent="0.25">
      <c r="A24" s="107" t="s">
        <v>128</v>
      </c>
    </row>
  </sheetData>
  <mergeCells count="7">
    <mergeCell ref="I8:J8"/>
    <mergeCell ref="C2:C3"/>
    <mergeCell ref="D2:D3"/>
    <mergeCell ref="E2:E3"/>
    <mergeCell ref="C4:C5"/>
    <mergeCell ref="D4:D5"/>
    <mergeCell ref="E4:E5"/>
  </mergeCells>
  <dataValidations count="1">
    <dataValidation allowBlank="1" showErrorMessage="1" sqref="B8 D8:F8"/>
  </dataValidations>
  <hyperlinks>
    <hyperlink ref="A10" location="'2017'!A64:AF72" display="Juin"/>
    <hyperlink ref="A11" location="'2017'!A76:AF84" display="Juillet"/>
    <hyperlink ref="A13" location="'2017'!A100:AF108" display="Septembre"/>
    <hyperlink ref="A12" location="'2017'!A88:AF96" display="Août"/>
    <hyperlink ref="A14" location="'2017'!A112:AF120" display="Octobre"/>
    <hyperlink ref="A15" location="'2017'!A124:AF132" display="Novembre"/>
    <hyperlink ref="A16" location="'2017'!A136:AF145" display="Décembre"/>
    <hyperlink ref="A17" location="'2018'!A4:AF12" display="Janvier"/>
    <hyperlink ref="A18" location="'2018'!A16:AF24" display="Février"/>
    <hyperlink ref="A19" location="'2018'!A28:AF36" display="Mars"/>
    <hyperlink ref="A20" location="'2018'!A40:AF48" display="Avril"/>
    <hyperlink ref="A21" location="'2018'!A52:AF60" display="Mai"/>
    <hyperlink ref="A24" r:id="rId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W145"/>
  <sheetViews>
    <sheetView showGridLines="0" topLeftCell="A10" zoomScaleNormal="100" workbookViewId="0">
      <pane xSplit="1" topLeftCell="B1" activePane="topRight" state="frozen"/>
      <selection activeCell="F35" sqref="F35"/>
      <selection pane="topRight" activeCell="A16" sqref="A16"/>
    </sheetView>
  </sheetViews>
  <sheetFormatPr baseColWidth="10" defaultRowHeight="16.5" x14ac:dyDescent="0.3"/>
  <cols>
    <col min="1" max="1" width="24.5703125" style="1" customWidth="1"/>
    <col min="2" max="32" width="4.7109375" style="1" customWidth="1"/>
    <col min="33" max="33" width="1.140625" style="1" customWidth="1"/>
    <col min="34" max="34" width="24.7109375" style="1" customWidth="1"/>
    <col min="35" max="36" width="4.7109375" style="1" hidden="1" customWidth="1"/>
    <col min="37" max="37" width="5.85546875" style="1" customWidth="1"/>
    <col min="38" max="39" width="4.7109375" style="1" hidden="1" customWidth="1"/>
    <col min="40" max="40" width="5.7109375" style="1" customWidth="1"/>
    <col min="41" max="41" width="4.7109375" style="1" customWidth="1"/>
    <col min="42" max="43" width="4.7109375" style="1" hidden="1" customWidth="1"/>
    <col min="44" max="44" width="5.85546875" style="1" customWidth="1"/>
    <col min="45" max="46" width="4.7109375" style="1" hidden="1" customWidth="1"/>
    <col min="47" max="47" width="8" style="1" customWidth="1"/>
    <col min="48" max="48" width="9.140625" style="1" customWidth="1"/>
    <col min="49" max="49" width="14.42578125" style="61" customWidth="1"/>
    <col min="50" max="16384" width="11.42578125" style="1"/>
  </cols>
  <sheetData>
    <row r="1" spans="1:49" ht="32.25" x14ac:dyDescent="0.3">
      <c r="A1" s="141" t="s">
        <v>26</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41"/>
      <c r="AL1" s="141"/>
      <c r="AM1" s="141"/>
      <c r="AN1" s="141"/>
      <c r="AO1" s="141"/>
      <c r="AP1" s="141"/>
      <c r="AQ1" s="141"/>
      <c r="AR1" s="141"/>
      <c r="AS1" s="141"/>
      <c r="AT1" s="141"/>
      <c r="AU1" s="141"/>
      <c r="AV1" s="141"/>
      <c r="AW1" s="141"/>
    </row>
    <row r="2" spans="1:49" s="18" customFormat="1" ht="14.25" thickBot="1" x14ac:dyDescent="0.3">
      <c r="A2" s="19" t="s">
        <v>79</v>
      </c>
      <c r="B2" s="20" t="s">
        <v>27</v>
      </c>
      <c r="C2" s="21" t="s">
        <v>76</v>
      </c>
      <c r="E2" s="22" t="s">
        <v>80</v>
      </c>
      <c r="F2" s="23" t="s">
        <v>77</v>
      </c>
      <c r="G2" s="23"/>
      <c r="H2" s="24" t="s">
        <v>70</v>
      </c>
      <c r="I2" s="25" t="s">
        <v>3</v>
      </c>
      <c r="J2" s="23"/>
      <c r="K2" s="26" t="s">
        <v>81</v>
      </c>
      <c r="L2" s="27" t="s">
        <v>78</v>
      </c>
      <c r="M2" s="23"/>
      <c r="N2" s="28" t="s">
        <v>25</v>
      </c>
      <c r="O2" s="25" t="s">
        <v>28</v>
      </c>
      <c r="P2" s="25"/>
      <c r="Q2" s="29" t="s">
        <v>67</v>
      </c>
      <c r="R2" s="30" t="s">
        <v>66</v>
      </c>
      <c r="S2" s="30"/>
      <c r="U2" s="31" t="s">
        <v>84</v>
      </c>
      <c r="V2" s="23" t="s">
        <v>85</v>
      </c>
      <c r="W2" s="23"/>
      <c r="X2" s="23"/>
      <c r="Y2" s="32" t="s">
        <v>68</v>
      </c>
      <c r="Z2" s="33" t="s">
        <v>69</v>
      </c>
      <c r="AA2" s="33"/>
      <c r="AB2" s="34" t="s">
        <v>83</v>
      </c>
      <c r="AC2" s="33" t="s">
        <v>86</v>
      </c>
      <c r="AD2" s="33"/>
      <c r="AE2" s="33"/>
      <c r="AF2" s="33"/>
      <c r="AW2" s="71"/>
    </row>
    <row r="3" spans="1:49" s="61" customFormat="1" ht="32.25" customHeight="1" x14ac:dyDescent="0.3">
      <c r="A3" s="126" t="s">
        <v>111</v>
      </c>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c r="AF3" s="125"/>
      <c r="AH3" s="125"/>
    </row>
    <row r="4" spans="1:49" ht="36.75" customHeight="1" thickBot="1" x14ac:dyDescent="0.35">
      <c r="A4" s="14" t="s">
        <v>9</v>
      </c>
      <c r="B4" s="140" t="s">
        <v>29</v>
      </c>
      <c r="C4" s="140"/>
      <c r="D4" s="140"/>
      <c r="E4" s="140"/>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
      <c r="AH4" s="140" t="s">
        <v>91</v>
      </c>
      <c r="AI4" s="140"/>
      <c r="AJ4" s="140"/>
      <c r="AK4" s="140"/>
      <c r="AL4" s="140"/>
      <c r="AM4" s="140"/>
      <c r="AN4" s="140"/>
      <c r="AO4" s="140"/>
      <c r="AP4" s="140"/>
      <c r="AQ4" s="140"/>
      <c r="AR4" s="140"/>
      <c r="AS4" s="140"/>
      <c r="AT4" s="140"/>
      <c r="AU4" s="140"/>
      <c r="AV4" s="140"/>
      <c r="AW4" s="140"/>
    </row>
    <row r="5" spans="1:49" ht="18" thickTop="1" thickBot="1" x14ac:dyDescent="0.35">
      <c r="A5" s="35">
        <v>1</v>
      </c>
      <c r="B5" s="133">
        <f ca="1">DATE(RIGHT(CELL("nomfichier",A1),4),A5,1)</f>
        <v>43101</v>
      </c>
      <c r="C5" s="133">
        <f ca="1">B5+1</f>
        <v>43102</v>
      </c>
      <c r="D5" s="133">
        <f t="shared" ref="D5:AF5" ca="1" si="0">C5+1</f>
        <v>43103</v>
      </c>
      <c r="E5" s="133">
        <f t="shared" ca="1" si="0"/>
        <v>43104</v>
      </c>
      <c r="F5" s="133">
        <f t="shared" ca="1" si="0"/>
        <v>43105</v>
      </c>
      <c r="G5" s="133">
        <f t="shared" ca="1" si="0"/>
        <v>43106</v>
      </c>
      <c r="H5" s="133">
        <f t="shared" ca="1" si="0"/>
        <v>43107</v>
      </c>
      <c r="I5" s="133">
        <f t="shared" ca="1" si="0"/>
        <v>43108</v>
      </c>
      <c r="J5" s="133">
        <f t="shared" ca="1" si="0"/>
        <v>43109</v>
      </c>
      <c r="K5" s="133">
        <f t="shared" ca="1" si="0"/>
        <v>43110</v>
      </c>
      <c r="L5" s="133">
        <f t="shared" ca="1" si="0"/>
        <v>43111</v>
      </c>
      <c r="M5" s="133">
        <f t="shared" ca="1" si="0"/>
        <v>43112</v>
      </c>
      <c r="N5" s="133">
        <f t="shared" ca="1" si="0"/>
        <v>43113</v>
      </c>
      <c r="O5" s="133">
        <f t="shared" ca="1" si="0"/>
        <v>43114</v>
      </c>
      <c r="P5" s="133">
        <f t="shared" ca="1" si="0"/>
        <v>43115</v>
      </c>
      <c r="Q5" s="133">
        <f t="shared" ca="1" si="0"/>
        <v>43116</v>
      </c>
      <c r="R5" s="133">
        <f t="shared" ca="1" si="0"/>
        <v>43117</v>
      </c>
      <c r="S5" s="133">
        <f t="shared" ca="1" si="0"/>
        <v>43118</v>
      </c>
      <c r="T5" s="133">
        <f t="shared" ca="1" si="0"/>
        <v>43119</v>
      </c>
      <c r="U5" s="133">
        <f t="shared" ca="1" si="0"/>
        <v>43120</v>
      </c>
      <c r="V5" s="133">
        <f t="shared" ca="1" si="0"/>
        <v>43121</v>
      </c>
      <c r="W5" s="133">
        <f t="shared" ca="1" si="0"/>
        <v>43122</v>
      </c>
      <c r="X5" s="133">
        <f t="shared" ca="1" si="0"/>
        <v>43123</v>
      </c>
      <c r="Y5" s="133">
        <f t="shared" ca="1" si="0"/>
        <v>43124</v>
      </c>
      <c r="Z5" s="133">
        <f t="shared" ca="1" si="0"/>
        <v>43125</v>
      </c>
      <c r="AA5" s="133">
        <f t="shared" ca="1" si="0"/>
        <v>43126</v>
      </c>
      <c r="AB5" s="133">
        <f t="shared" ca="1" si="0"/>
        <v>43127</v>
      </c>
      <c r="AC5" s="133">
        <f t="shared" ca="1" si="0"/>
        <v>43128</v>
      </c>
      <c r="AD5" s="133">
        <f t="shared" ca="1" si="0"/>
        <v>43129</v>
      </c>
      <c r="AE5" s="133">
        <f t="shared" ca="1" si="0"/>
        <v>43130</v>
      </c>
      <c r="AF5" s="133">
        <f t="shared" ca="1" si="0"/>
        <v>43131</v>
      </c>
      <c r="AG5" s="18"/>
      <c r="AH5" s="35">
        <v>1</v>
      </c>
      <c r="AI5" s="18"/>
      <c r="AJ5" s="18"/>
      <c r="AK5" s="18"/>
      <c r="AL5" s="18"/>
      <c r="AM5" s="18"/>
      <c r="AN5" s="18"/>
      <c r="AO5" s="18"/>
      <c r="AP5" s="18"/>
      <c r="AQ5" s="18"/>
      <c r="AR5" s="18"/>
      <c r="AS5" s="18"/>
      <c r="AT5" s="18"/>
      <c r="AU5" s="18"/>
      <c r="AV5" s="18"/>
      <c r="AW5" s="71"/>
    </row>
    <row r="6" spans="1:49" x14ac:dyDescent="0.3">
      <c r="A6" s="37" t="s">
        <v>24</v>
      </c>
      <c r="B6" s="38" t="s">
        <v>30</v>
      </c>
      <c r="C6" s="39" t="s">
        <v>31</v>
      </c>
      <c r="D6" s="39" t="s">
        <v>32</v>
      </c>
      <c r="E6" s="39" t="s">
        <v>33</v>
      </c>
      <c r="F6" s="39" t="s">
        <v>34</v>
      </c>
      <c r="G6" s="39" t="s">
        <v>35</v>
      </c>
      <c r="H6" s="38" t="s">
        <v>36</v>
      </c>
      <c r="I6" s="38" t="s">
        <v>37</v>
      </c>
      <c r="J6" s="38" t="s">
        <v>38</v>
      </c>
      <c r="K6" s="38" t="s">
        <v>39</v>
      </c>
      <c r="L6" s="38" t="s">
        <v>40</v>
      </c>
      <c r="M6" s="38" t="s">
        <v>41</v>
      </c>
      <c r="N6" s="38" t="s">
        <v>42</v>
      </c>
      <c r="O6" s="38" t="s">
        <v>43</v>
      </c>
      <c r="P6" s="38" t="s">
        <v>44</v>
      </c>
      <c r="Q6" s="38" t="s">
        <v>45</v>
      </c>
      <c r="R6" s="38" t="s">
        <v>46</v>
      </c>
      <c r="S6" s="38" t="s">
        <v>47</v>
      </c>
      <c r="T6" s="38" t="s">
        <v>48</v>
      </c>
      <c r="U6" s="38" t="s">
        <v>49</v>
      </c>
      <c r="V6" s="38" t="s">
        <v>50</v>
      </c>
      <c r="W6" s="38" t="s">
        <v>51</v>
      </c>
      <c r="X6" s="38" t="s">
        <v>52</v>
      </c>
      <c r="Y6" s="38" t="s">
        <v>53</v>
      </c>
      <c r="Z6" s="38" t="s">
        <v>54</v>
      </c>
      <c r="AA6" s="38" t="s">
        <v>55</v>
      </c>
      <c r="AB6" s="38" t="s">
        <v>56</v>
      </c>
      <c r="AC6" s="38" t="s">
        <v>57</v>
      </c>
      <c r="AD6" s="38" t="s">
        <v>58</v>
      </c>
      <c r="AE6" s="38" t="s">
        <v>59</v>
      </c>
      <c r="AF6" s="38" t="s">
        <v>60</v>
      </c>
      <c r="AG6" s="18"/>
      <c r="AH6" s="37" t="s">
        <v>24</v>
      </c>
      <c r="AI6" s="40" t="s">
        <v>27</v>
      </c>
      <c r="AJ6" s="41" t="s">
        <v>80</v>
      </c>
      <c r="AK6" s="20" t="s">
        <v>76</v>
      </c>
      <c r="AL6" s="42" t="s">
        <v>70</v>
      </c>
      <c r="AM6" s="43" t="s">
        <v>81</v>
      </c>
      <c r="AN6" s="24" t="s">
        <v>3</v>
      </c>
      <c r="AO6" s="44" t="s">
        <v>25</v>
      </c>
      <c r="AP6" s="45" t="s">
        <v>67</v>
      </c>
      <c r="AQ6" s="31" t="s">
        <v>84</v>
      </c>
      <c r="AR6" s="70" t="s">
        <v>101</v>
      </c>
      <c r="AS6" s="46" t="s">
        <v>68</v>
      </c>
      <c r="AT6" s="34" t="s">
        <v>83</v>
      </c>
      <c r="AU6" s="64" t="s">
        <v>69</v>
      </c>
      <c r="AV6" s="58" t="s">
        <v>1</v>
      </c>
      <c r="AW6" s="81" t="s">
        <v>92</v>
      </c>
    </row>
    <row r="7" spans="1:49" ht="20.100000000000001" customHeight="1" x14ac:dyDescent="0.3">
      <c r="A7" s="48" t="s">
        <v>120</v>
      </c>
      <c r="B7" s="49"/>
      <c r="C7" s="50" t="s">
        <v>74</v>
      </c>
      <c r="D7" s="50" t="s">
        <v>74</v>
      </c>
      <c r="E7" s="50"/>
      <c r="F7" s="50"/>
      <c r="G7" s="50"/>
      <c r="H7" s="50"/>
      <c r="I7" s="50"/>
      <c r="J7" s="50"/>
      <c r="K7" s="50"/>
      <c r="L7" s="50"/>
      <c r="M7" s="50" t="s">
        <v>71</v>
      </c>
      <c r="N7" s="50"/>
      <c r="O7" s="50"/>
      <c r="P7" s="50"/>
      <c r="Q7" s="50"/>
      <c r="R7" s="50"/>
      <c r="S7" s="50"/>
      <c r="T7" s="50"/>
      <c r="U7" s="50"/>
      <c r="V7" s="50"/>
      <c r="W7" s="50"/>
      <c r="X7" s="50"/>
      <c r="Y7" s="50"/>
      <c r="Z7" s="50"/>
      <c r="AA7" s="50"/>
      <c r="AB7" s="50"/>
      <c r="AC7" s="50"/>
      <c r="AD7" s="50"/>
      <c r="AE7" s="50"/>
      <c r="AF7" s="50"/>
      <c r="AG7" s="18"/>
      <c r="AH7" s="48" t="s">
        <v>120</v>
      </c>
      <c r="AI7" s="51">
        <f>COUNTIF(Janvier[[#This Row],[1]:[31]],AI$6)</f>
        <v>1</v>
      </c>
      <c r="AJ7" s="51">
        <f>COUNTIF(Janvier[[#This Row],[1]:[31]],AJ$6)/2</f>
        <v>0</v>
      </c>
      <c r="AK7" s="51">
        <f>SUM(AI7:AJ7)</f>
        <v>1</v>
      </c>
      <c r="AL7" s="51">
        <f>COUNTIF(Janvier[[#This Row],[1]:[31]],AL$6)</f>
        <v>2</v>
      </c>
      <c r="AM7" s="51">
        <f>COUNTIF(Janvier[[#This Row],[1]:[31]],AM$6)/2</f>
        <v>0</v>
      </c>
      <c r="AN7" s="51">
        <f>SUM(AL7:AM7)</f>
        <v>2</v>
      </c>
      <c r="AO7" s="51">
        <f>COUNTIF(Janvier[[#This Row],[1]:[31]],AO$6)</f>
        <v>0</v>
      </c>
      <c r="AP7" s="51">
        <f>COUNTIF(Janvier[[#This Row],[1]:[31]],AP$6)</f>
        <v>0</v>
      </c>
      <c r="AQ7" s="51">
        <f>COUNTIF(Janvier[[#This Row],[1]:[31]],AQ$6)/2</f>
        <v>0</v>
      </c>
      <c r="AR7" s="51">
        <f>SUM(AP7:AQ7)</f>
        <v>0</v>
      </c>
      <c r="AS7" s="51">
        <f>COUNTIF(Janvier[[#This Row],[1]:[31]],AS$6)</f>
        <v>0</v>
      </c>
      <c r="AT7" s="51">
        <f>COUNTIF(Janvier[[#This Row],[1]:[31]],AT$6)/2</f>
        <v>0</v>
      </c>
      <c r="AU7" s="51">
        <f>SUM(AS7:AT7)</f>
        <v>0</v>
      </c>
      <c r="AV7" s="52">
        <f>AK7+AN7+AO7+AR7+AU7</f>
        <v>3</v>
      </c>
      <c r="AW7" s="82">
        <f>COUNTA('2017'!V145:AF145,Janvier[[#This Row],[1]:[20]])</f>
        <v>3</v>
      </c>
    </row>
    <row r="8" spans="1:49" ht="20.100000000000001" customHeight="1" x14ac:dyDescent="0.3">
      <c r="A8" s="48" t="s">
        <v>121</v>
      </c>
      <c r="B8" s="49"/>
      <c r="C8" s="50" t="s">
        <v>74</v>
      </c>
      <c r="D8" s="50"/>
      <c r="E8" s="50" t="s">
        <v>72</v>
      </c>
      <c r="F8" s="50" t="s">
        <v>72</v>
      </c>
      <c r="G8" s="50"/>
      <c r="H8" s="50"/>
      <c r="I8" s="50"/>
      <c r="J8" s="50"/>
      <c r="K8" s="50"/>
      <c r="L8" s="50"/>
      <c r="M8" s="50"/>
      <c r="N8" s="50"/>
      <c r="O8" s="50"/>
      <c r="P8" s="50"/>
      <c r="Q8" s="50"/>
      <c r="R8" s="50"/>
      <c r="S8" s="50"/>
      <c r="T8" s="50"/>
      <c r="U8" s="50"/>
      <c r="V8" s="50"/>
      <c r="W8" s="50"/>
      <c r="X8" s="50"/>
      <c r="Y8" s="50"/>
      <c r="Z8" s="50"/>
      <c r="AA8" s="50"/>
      <c r="AB8" s="50"/>
      <c r="AC8" s="50"/>
      <c r="AD8" s="50"/>
      <c r="AE8" s="50"/>
      <c r="AF8" s="50"/>
      <c r="AG8" s="18"/>
      <c r="AH8" s="48" t="s">
        <v>121</v>
      </c>
      <c r="AI8" s="53">
        <f>COUNTIF(Janvier[[#This Row],[1]:[31]],AI$6)</f>
        <v>0</v>
      </c>
      <c r="AJ8" s="53">
        <f>COUNTIF(Janvier[[#This Row],[1]:[31]],AJ$6)/2</f>
        <v>0</v>
      </c>
      <c r="AK8" s="53">
        <f t="shared" ref="AK8:AK12" si="1">SUM(AI8:AJ8)</f>
        <v>0</v>
      </c>
      <c r="AL8" s="53">
        <f>COUNTIF(Janvier[[#This Row],[1]:[31]],AL$6)</f>
        <v>1</v>
      </c>
      <c r="AM8" s="53">
        <f>COUNTIF(Janvier[[#This Row],[1]:[31]],AM$6)/2</f>
        <v>0</v>
      </c>
      <c r="AN8" s="53">
        <f t="shared" ref="AN8:AN12" si="2">SUM(AL8:AM8)</f>
        <v>1</v>
      </c>
      <c r="AO8" s="53">
        <f>COUNTIF(Janvier[[#This Row],[1]:[31]],AO$6)</f>
        <v>2</v>
      </c>
      <c r="AP8" s="53">
        <f>COUNTIF(Janvier[[#This Row],[1]:[31]],AP$6)</f>
        <v>0</v>
      </c>
      <c r="AQ8" s="53">
        <f>COUNTIF(Janvier[[#This Row],[1]:[31]],AQ$6)/2</f>
        <v>0</v>
      </c>
      <c r="AR8" s="53">
        <f t="shared" ref="AR8:AR12" si="3">SUM(AP8:AQ8)</f>
        <v>0</v>
      </c>
      <c r="AS8" s="53">
        <f>COUNTIF(Janvier[[#This Row],[1]:[31]],AS$6)</f>
        <v>0</v>
      </c>
      <c r="AT8" s="53">
        <f>COUNTIF(Janvier[[#This Row],[1]:[31]],AT$6)/2</f>
        <v>0</v>
      </c>
      <c r="AU8" s="53">
        <f t="shared" ref="AU8:AU12" si="4">SUM(AS8:AT8)</f>
        <v>0</v>
      </c>
      <c r="AV8" s="54">
        <f t="shared" ref="AV8:AV12" si="5">AK8+AN8+AO8+AR8+AU8</f>
        <v>3</v>
      </c>
      <c r="AW8" s="83">
        <f>COUNTA('2017'!V146:AF146,Janvier[[#This Row],[1]:[20]])</f>
        <v>3</v>
      </c>
    </row>
    <row r="9" spans="1:49" ht="20.100000000000001" customHeight="1" x14ac:dyDescent="0.3">
      <c r="A9" s="48" t="s">
        <v>122</v>
      </c>
      <c r="B9" s="49"/>
      <c r="C9" s="50"/>
      <c r="D9" s="50"/>
      <c r="E9" s="50"/>
      <c r="F9" s="50"/>
      <c r="G9" s="50"/>
      <c r="H9" s="50"/>
      <c r="I9" s="50"/>
      <c r="J9" s="50"/>
      <c r="K9" s="50"/>
      <c r="L9" s="50"/>
      <c r="M9" s="50"/>
      <c r="N9" s="50"/>
      <c r="O9" s="50"/>
      <c r="P9" s="50"/>
      <c r="Q9" s="50" t="s">
        <v>75</v>
      </c>
      <c r="R9" s="50"/>
      <c r="S9" s="50"/>
      <c r="T9" s="50"/>
      <c r="U9" s="50"/>
      <c r="V9" s="50"/>
      <c r="W9" s="50" t="s">
        <v>75</v>
      </c>
      <c r="X9" s="50" t="s">
        <v>75</v>
      </c>
      <c r="Y9" s="50"/>
      <c r="Z9" s="50"/>
      <c r="AA9" s="50"/>
      <c r="AB9" s="50"/>
      <c r="AC9" s="50"/>
      <c r="AD9" s="50"/>
      <c r="AE9" s="50"/>
      <c r="AF9" s="50"/>
      <c r="AG9" s="18"/>
      <c r="AH9" s="48" t="s">
        <v>122</v>
      </c>
      <c r="AI9" s="51">
        <f>COUNTIF(Janvier[[#This Row],[1]:[31]],AI$6)</f>
        <v>0</v>
      </c>
      <c r="AJ9" s="51">
        <f>COUNTIF(Janvier[[#This Row],[1]:[31]],AJ$6)/2</f>
        <v>0</v>
      </c>
      <c r="AK9" s="51">
        <f t="shared" si="1"/>
        <v>0</v>
      </c>
      <c r="AL9" s="51">
        <f>COUNTIF(Janvier[[#This Row],[1]:[31]],AL$6)</f>
        <v>0</v>
      </c>
      <c r="AM9" s="51">
        <f>COUNTIF(Janvier[[#This Row],[1]:[31]],AM$6)/2</f>
        <v>0</v>
      </c>
      <c r="AN9" s="51">
        <f t="shared" si="2"/>
        <v>0</v>
      </c>
      <c r="AO9" s="51">
        <f>COUNTIF(Janvier[[#This Row],[1]:[31]],AO$6)</f>
        <v>0</v>
      </c>
      <c r="AP9" s="51">
        <f>COUNTIF(Janvier[[#This Row],[1]:[31]],AP$6)</f>
        <v>0</v>
      </c>
      <c r="AQ9" s="51">
        <f>COUNTIF(Janvier[[#This Row],[1]:[31]],AQ$6)/2</f>
        <v>0</v>
      </c>
      <c r="AR9" s="51">
        <f t="shared" si="3"/>
        <v>0</v>
      </c>
      <c r="AS9" s="51">
        <f>COUNTIF(Janvier[[#This Row],[1]:[31]],AS$6)</f>
        <v>3</v>
      </c>
      <c r="AT9" s="51">
        <f>COUNTIF(Janvier[[#This Row],[1]:[31]],AT$6)/2</f>
        <v>0</v>
      </c>
      <c r="AU9" s="51">
        <f t="shared" si="4"/>
        <v>3</v>
      </c>
      <c r="AV9" s="52">
        <f t="shared" si="5"/>
        <v>3</v>
      </c>
      <c r="AW9" s="82">
        <f>COUNTA('2017'!V147:AF147,Janvier[[#This Row],[1]:[20]])</f>
        <v>1</v>
      </c>
    </row>
    <row r="10" spans="1:49" ht="20.100000000000001" customHeight="1" x14ac:dyDescent="0.3">
      <c r="A10" s="48" t="s">
        <v>123</v>
      </c>
      <c r="B10" s="49"/>
      <c r="C10" s="50" t="s">
        <v>71</v>
      </c>
      <c r="D10" s="50" t="s">
        <v>74</v>
      </c>
      <c r="E10" s="50" t="s">
        <v>74</v>
      </c>
      <c r="F10" s="50" t="s">
        <v>74</v>
      </c>
      <c r="G10" s="50"/>
      <c r="H10" s="50"/>
      <c r="I10" s="50"/>
      <c r="J10" s="50"/>
      <c r="K10" s="50"/>
      <c r="L10" s="50"/>
      <c r="M10" s="50"/>
      <c r="N10" s="50"/>
      <c r="O10" s="50"/>
      <c r="P10" s="50"/>
      <c r="Q10" s="50"/>
      <c r="R10" s="50"/>
      <c r="S10" s="50"/>
      <c r="T10" s="50"/>
      <c r="U10" s="50"/>
      <c r="V10" s="50"/>
      <c r="W10" s="50"/>
      <c r="X10" s="50"/>
      <c r="Y10" s="50"/>
      <c r="Z10" s="50"/>
      <c r="AA10" s="50" t="s">
        <v>74</v>
      </c>
      <c r="AB10" s="50"/>
      <c r="AC10" s="50"/>
      <c r="AD10" s="50"/>
      <c r="AE10" s="50"/>
      <c r="AF10" s="50"/>
      <c r="AG10" s="18"/>
      <c r="AH10" s="48" t="s">
        <v>123</v>
      </c>
      <c r="AI10" s="53">
        <f>COUNTIF(Janvier[[#This Row],[1]:[31]],AI$6)</f>
        <v>1</v>
      </c>
      <c r="AJ10" s="53">
        <f>COUNTIF(Janvier[[#This Row],[1]:[31]],AJ$6)/2</f>
        <v>0</v>
      </c>
      <c r="AK10" s="53">
        <f t="shared" si="1"/>
        <v>1</v>
      </c>
      <c r="AL10" s="53">
        <f>COUNTIF(Janvier[[#This Row],[1]:[31]],AL$6)</f>
        <v>4</v>
      </c>
      <c r="AM10" s="53">
        <f>COUNTIF(Janvier[[#This Row],[1]:[31]],AM$6)/2</f>
        <v>0</v>
      </c>
      <c r="AN10" s="53">
        <f t="shared" si="2"/>
        <v>4</v>
      </c>
      <c r="AO10" s="53">
        <f>COUNTIF(Janvier[[#This Row],[1]:[31]],AO$6)</f>
        <v>0</v>
      </c>
      <c r="AP10" s="53">
        <f>COUNTIF(Janvier[[#This Row],[1]:[31]],AP$6)</f>
        <v>0</v>
      </c>
      <c r="AQ10" s="53">
        <f>COUNTIF(Janvier[[#This Row],[1]:[31]],AQ$6)/2</f>
        <v>0</v>
      </c>
      <c r="AR10" s="53">
        <f t="shared" si="3"/>
        <v>0</v>
      </c>
      <c r="AS10" s="53">
        <f>COUNTIF(Janvier[[#This Row],[1]:[31]],AS$6)</f>
        <v>0</v>
      </c>
      <c r="AT10" s="53">
        <f>COUNTIF(Janvier[[#This Row],[1]:[31]],AT$6)/2</f>
        <v>0</v>
      </c>
      <c r="AU10" s="53">
        <f t="shared" si="4"/>
        <v>0</v>
      </c>
      <c r="AV10" s="54">
        <f t="shared" si="5"/>
        <v>5</v>
      </c>
      <c r="AW10" s="83">
        <f>COUNTA('2017'!V148:AF148,Janvier[[#This Row],[1]:[20]])</f>
        <v>4</v>
      </c>
    </row>
    <row r="11" spans="1:49" ht="20.100000000000001" customHeight="1" x14ac:dyDescent="0.3">
      <c r="A11" s="48" t="s">
        <v>124</v>
      </c>
      <c r="B11" s="49"/>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18"/>
      <c r="AH11" s="48" t="s">
        <v>124</v>
      </c>
      <c r="AI11" s="51">
        <f>COUNTIF(Janvier[[#This Row],[1]:[31]],AI$6)</f>
        <v>0</v>
      </c>
      <c r="AJ11" s="51">
        <f>COUNTIF(Janvier[[#This Row],[1]:[31]],AJ$6)/2</f>
        <v>0</v>
      </c>
      <c r="AK11" s="51">
        <f t="shared" si="1"/>
        <v>0</v>
      </c>
      <c r="AL11" s="51">
        <f>COUNTIF(Janvier[[#This Row],[1]:[31]],AL$6)</f>
        <v>0</v>
      </c>
      <c r="AM11" s="51">
        <f>COUNTIF(Janvier[[#This Row],[1]:[31]],AM$6)/2</f>
        <v>0</v>
      </c>
      <c r="AN11" s="51">
        <f t="shared" si="2"/>
        <v>0</v>
      </c>
      <c r="AO11" s="51">
        <f>COUNTIF(Janvier[[#This Row],[1]:[31]],AO$6)</f>
        <v>0</v>
      </c>
      <c r="AP11" s="51">
        <f>COUNTIF(Janvier[[#This Row],[1]:[31]],AP$6)</f>
        <v>0</v>
      </c>
      <c r="AQ11" s="51">
        <f>COUNTIF(Janvier[[#This Row],[1]:[31]],AQ$6)/2</f>
        <v>0</v>
      </c>
      <c r="AR11" s="51">
        <f t="shared" si="3"/>
        <v>0</v>
      </c>
      <c r="AS11" s="51">
        <f>COUNTIF(Janvier[[#This Row],[1]:[31]],AS$6)</f>
        <v>0</v>
      </c>
      <c r="AT11" s="51">
        <f>COUNTIF(Janvier[[#This Row],[1]:[31]],AT$6)/2</f>
        <v>0</v>
      </c>
      <c r="AU11" s="51">
        <f t="shared" si="4"/>
        <v>0</v>
      </c>
      <c r="AV11" s="52">
        <f t="shared" si="5"/>
        <v>0</v>
      </c>
      <c r="AW11" s="82">
        <f>COUNTA('2017'!V149:AF149,Janvier[[#This Row],[1]:[20]])</f>
        <v>0</v>
      </c>
    </row>
    <row r="12" spans="1:49" ht="20.100000000000001" customHeight="1" thickBot="1" x14ac:dyDescent="0.35">
      <c r="A12" s="48" t="s">
        <v>125</v>
      </c>
      <c r="B12" s="49"/>
      <c r="C12" s="50"/>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C12" s="50"/>
      <c r="AD12" s="50"/>
      <c r="AE12" s="50"/>
      <c r="AF12" s="50"/>
      <c r="AG12" s="18"/>
      <c r="AH12" s="48" t="s">
        <v>125</v>
      </c>
      <c r="AI12" s="53">
        <f>COUNTIF(Janvier[[#This Row],[1]:[31]],AI$6)</f>
        <v>0</v>
      </c>
      <c r="AJ12" s="53">
        <f>COUNTIF(Janvier[[#This Row],[1]:[31]],AJ$6)/2</f>
        <v>0</v>
      </c>
      <c r="AK12" s="53">
        <f t="shared" si="1"/>
        <v>0</v>
      </c>
      <c r="AL12" s="53">
        <f>COUNTIF(Janvier[[#This Row],[1]:[31]],AL$6)</f>
        <v>0</v>
      </c>
      <c r="AM12" s="53">
        <f>COUNTIF(Janvier[[#This Row],[1]:[31]],AM$6)/2</f>
        <v>0</v>
      </c>
      <c r="AN12" s="53">
        <f t="shared" si="2"/>
        <v>0</v>
      </c>
      <c r="AO12" s="53">
        <f>COUNTIF(Janvier[[#This Row],[1]:[31]],AO$6)</f>
        <v>0</v>
      </c>
      <c r="AP12" s="53">
        <f>COUNTIF(Janvier[[#This Row],[1]:[31]],AP$6)</f>
        <v>0</v>
      </c>
      <c r="AQ12" s="53">
        <f>COUNTIF(Janvier[[#This Row],[1]:[31]],AQ$6)/2</f>
        <v>0</v>
      </c>
      <c r="AR12" s="53">
        <f t="shared" si="3"/>
        <v>0</v>
      </c>
      <c r="AS12" s="53">
        <f>COUNTIF(Janvier[[#This Row],[1]:[31]],AS$6)</f>
        <v>0</v>
      </c>
      <c r="AT12" s="53">
        <f>COUNTIF(Janvier[[#This Row],[1]:[31]],AT$6)/2</f>
        <v>0</v>
      </c>
      <c r="AU12" s="53">
        <f t="shared" si="4"/>
        <v>0</v>
      </c>
      <c r="AV12" s="55">
        <f t="shared" si="5"/>
        <v>0</v>
      </c>
      <c r="AW12" s="84">
        <f>COUNTA('2017'!V150:AF150,Janvier[[#This Row],[1]:[20]])</f>
        <v>0</v>
      </c>
    </row>
    <row r="13" spans="1:49" x14ac:dyDescent="0.3">
      <c r="A13" s="134" t="str">
        <f ca="1">RIGHT(CELL("nomfichier",A1),4)</f>
        <v>2018</v>
      </c>
      <c r="B13" s="65"/>
      <c r="C13" s="65"/>
      <c r="D13" s="65"/>
      <c r="E13" s="65"/>
      <c r="F13" s="65"/>
      <c r="G13" s="65"/>
      <c r="H13" s="65"/>
      <c r="I13" s="65"/>
      <c r="J13" s="65"/>
      <c r="K13" s="65"/>
      <c r="L13" s="65"/>
      <c r="M13" s="65"/>
      <c r="N13" s="65"/>
      <c r="O13" s="65"/>
      <c r="P13" s="65"/>
      <c r="Q13" s="65"/>
      <c r="R13" s="65"/>
      <c r="S13" s="65"/>
      <c r="T13" s="65"/>
      <c r="U13" s="65"/>
      <c r="V13" s="65"/>
      <c r="W13" s="65"/>
      <c r="X13" s="65"/>
      <c r="Y13" s="65"/>
      <c r="Z13" s="65"/>
      <c r="AA13" s="65"/>
      <c r="AB13" s="65"/>
      <c r="AC13" s="65"/>
      <c r="AD13" s="65"/>
      <c r="AE13" s="65"/>
      <c r="AF13" s="65"/>
    </row>
    <row r="14" spans="1:49" s="18" customFormat="1" ht="14.25" thickBot="1" x14ac:dyDescent="0.3">
      <c r="A14" s="19" t="s">
        <v>79</v>
      </c>
      <c r="B14" s="20" t="s">
        <v>27</v>
      </c>
      <c r="C14" s="21" t="s">
        <v>76</v>
      </c>
      <c r="E14" s="22" t="s">
        <v>80</v>
      </c>
      <c r="F14" s="23" t="s">
        <v>77</v>
      </c>
      <c r="G14" s="23"/>
      <c r="H14" s="24" t="s">
        <v>70</v>
      </c>
      <c r="I14" s="25" t="s">
        <v>3</v>
      </c>
      <c r="J14" s="23"/>
      <c r="K14" s="26" t="s">
        <v>81</v>
      </c>
      <c r="L14" s="27" t="s">
        <v>78</v>
      </c>
      <c r="M14" s="23"/>
      <c r="N14" s="28" t="s">
        <v>25</v>
      </c>
      <c r="O14" s="25" t="s">
        <v>28</v>
      </c>
      <c r="P14" s="25"/>
      <c r="Q14" s="29" t="s">
        <v>67</v>
      </c>
      <c r="R14" s="30" t="s">
        <v>66</v>
      </c>
      <c r="S14" s="30"/>
      <c r="T14" s="31" t="s">
        <v>84</v>
      </c>
      <c r="U14" s="23" t="s">
        <v>85</v>
      </c>
      <c r="V14" s="23"/>
      <c r="W14" s="23"/>
      <c r="X14" s="32" t="s">
        <v>68</v>
      </c>
      <c r="Y14" s="33" t="s">
        <v>69</v>
      </c>
      <c r="Z14" s="33"/>
      <c r="AA14" s="34" t="s">
        <v>83</v>
      </c>
      <c r="AB14" s="33" t="s">
        <v>86</v>
      </c>
      <c r="AC14" s="33"/>
      <c r="AD14" s="33"/>
      <c r="AE14" s="33"/>
      <c r="AF14" s="33"/>
      <c r="AW14" s="71"/>
    </row>
    <row r="15" spans="1:49" s="61" customFormat="1" ht="32.25" customHeight="1" x14ac:dyDescent="0.3">
      <c r="A15" s="126" t="s">
        <v>111</v>
      </c>
      <c r="B15" s="125"/>
      <c r="C15" s="125"/>
      <c r="D15" s="125"/>
      <c r="E15" s="125"/>
      <c r="F15" s="125"/>
      <c r="G15" s="125"/>
      <c r="H15" s="125"/>
      <c r="I15" s="125"/>
      <c r="J15" s="125"/>
      <c r="K15" s="125"/>
      <c r="L15" s="125"/>
      <c r="M15" s="125"/>
      <c r="N15" s="125"/>
      <c r="O15" s="125"/>
      <c r="P15" s="125"/>
      <c r="Q15" s="125"/>
      <c r="R15" s="125"/>
      <c r="S15" s="125"/>
      <c r="T15" s="125"/>
      <c r="U15" s="125"/>
      <c r="V15" s="125"/>
      <c r="W15" s="125"/>
      <c r="X15" s="125"/>
      <c r="Y15" s="125"/>
      <c r="Z15" s="125"/>
      <c r="AA15" s="125"/>
      <c r="AB15" s="125"/>
      <c r="AC15" s="125"/>
      <c r="AD15" s="125"/>
      <c r="AE15" s="125"/>
      <c r="AF15" s="125"/>
      <c r="AH15" s="125"/>
    </row>
    <row r="16" spans="1:49" ht="36.75" customHeight="1" thickBot="1" x14ac:dyDescent="0.35">
      <c r="A16" s="14" t="s">
        <v>10</v>
      </c>
      <c r="B16" s="140" t="s">
        <v>29</v>
      </c>
      <c r="C16" s="140"/>
      <c r="D16" s="140"/>
      <c r="E16" s="140"/>
      <c r="F16" s="140"/>
      <c r="G16" s="140"/>
      <c r="H16" s="140"/>
      <c r="I16" s="140"/>
      <c r="J16" s="140"/>
      <c r="K16" s="140"/>
      <c r="L16" s="140"/>
      <c r="M16" s="140"/>
      <c r="N16" s="140"/>
      <c r="O16" s="140"/>
      <c r="P16" s="140"/>
      <c r="Q16" s="140"/>
      <c r="R16" s="140"/>
      <c r="S16" s="140"/>
      <c r="T16" s="140"/>
      <c r="U16" s="140"/>
      <c r="V16" s="140"/>
      <c r="W16" s="140"/>
      <c r="X16" s="140"/>
      <c r="Y16" s="140"/>
      <c r="Z16" s="140"/>
      <c r="AA16" s="140"/>
      <c r="AB16" s="140"/>
      <c r="AC16" s="140"/>
      <c r="AD16" s="140"/>
      <c r="AE16" s="140"/>
      <c r="AF16" s="140"/>
      <c r="AG16" s="14"/>
      <c r="AH16" s="140" t="s">
        <v>91</v>
      </c>
      <c r="AI16" s="140"/>
      <c r="AJ16" s="140"/>
      <c r="AK16" s="140"/>
      <c r="AL16" s="140"/>
      <c r="AM16" s="140"/>
      <c r="AN16" s="140"/>
      <c r="AO16" s="140"/>
      <c r="AP16" s="140"/>
      <c r="AQ16" s="140"/>
      <c r="AR16" s="140"/>
      <c r="AS16" s="140"/>
      <c r="AT16" s="140"/>
      <c r="AU16" s="140"/>
      <c r="AV16" s="140"/>
      <c r="AW16" s="140"/>
    </row>
    <row r="17" spans="1:49" ht="18" thickTop="1" thickBot="1" x14ac:dyDescent="0.35">
      <c r="A17" s="35">
        <v>2</v>
      </c>
      <c r="B17" s="133">
        <f ca="1">DATE(RIGHT(CELL("nomfichier",A13),4),A17,1)</f>
        <v>43132</v>
      </c>
      <c r="C17" s="133">
        <f ca="1">B17+1</f>
        <v>43133</v>
      </c>
      <c r="D17" s="133">
        <f t="shared" ref="D17:AC17" ca="1" si="6">C17+1</f>
        <v>43134</v>
      </c>
      <c r="E17" s="133">
        <f t="shared" ca="1" si="6"/>
        <v>43135</v>
      </c>
      <c r="F17" s="133">
        <f t="shared" ca="1" si="6"/>
        <v>43136</v>
      </c>
      <c r="G17" s="133">
        <f t="shared" ca="1" si="6"/>
        <v>43137</v>
      </c>
      <c r="H17" s="133">
        <f t="shared" ca="1" si="6"/>
        <v>43138</v>
      </c>
      <c r="I17" s="133">
        <f t="shared" ca="1" si="6"/>
        <v>43139</v>
      </c>
      <c r="J17" s="133">
        <f t="shared" ca="1" si="6"/>
        <v>43140</v>
      </c>
      <c r="K17" s="133">
        <f t="shared" ca="1" si="6"/>
        <v>43141</v>
      </c>
      <c r="L17" s="133">
        <f t="shared" ca="1" si="6"/>
        <v>43142</v>
      </c>
      <c r="M17" s="133">
        <f t="shared" ca="1" si="6"/>
        <v>43143</v>
      </c>
      <c r="N17" s="133">
        <f t="shared" ca="1" si="6"/>
        <v>43144</v>
      </c>
      <c r="O17" s="133">
        <f t="shared" ca="1" si="6"/>
        <v>43145</v>
      </c>
      <c r="P17" s="133">
        <f t="shared" ca="1" si="6"/>
        <v>43146</v>
      </c>
      <c r="Q17" s="133">
        <f t="shared" ca="1" si="6"/>
        <v>43147</v>
      </c>
      <c r="R17" s="133">
        <f t="shared" ca="1" si="6"/>
        <v>43148</v>
      </c>
      <c r="S17" s="133">
        <f t="shared" ca="1" si="6"/>
        <v>43149</v>
      </c>
      <c r="T17" s="133">
        <f t="shared" ca="1" si="6"/>
        <v>43150</v>
      </c>
      <c r="U17" s="133">
        <f t="shared" ca="1" si="6"/>
        <v>43151</v>
      </c>
      <c r="V17" s="133">
        <f t="shared" ca="1" si="6"/>
        <v>43152</v>
      </c>
      <c r="W17" s="133">
        <f t="shared" ca="1" si="6"/>
        <v>43153</v>
      </c>
      <c r="X17" s="133">
        <f t="shared" ca="1" si="6"/>
        <v>43154</v>
      </c>
      <c r="Y17" s="133">
        <f t="shared" ca="1" si="6"/>
        <v>43155</v>
      </c>
      <c r="Z17" s="133">
        <f t="shared" ca="1" si="6"/>
        <v>43156</v>
      </c>
      <c r="AA17" s="133">
        <f t="shared" ca="1" si="6"/>
        <v>43157</v>
      </c>
      <c r="AB17" s="133">
        <f t="shared" ca="1" si="6"/>
        <v>43158</v>
      </c>
      <c r="AC17" s="133">
        <f t="shared" ca="1" si="6"/>
        <v>43159</v>
      </c>
      <c r="AD17" s="36"/>
      <c r="AE17" s="36"/>
      <c r="AF17" s="36"/>
      <c r="AG17" s="18"/>
      <c r="AH17" s="35">
        <v>2</v>
      </c>
      <c r="AI17" s="18"/>
      <c r="AJ17" s="18"/>
      <c r="AK17" s="18"/>
      <c r="AL17" s="18"/>
      <c r="AM17" s="18"/>
      <c r="AN17" s="18"/>
      <c r="AO17" s="18"/>
      <c r="AP17" s="18"/>
      <c r="AQ17" s="18"/>
      <c r="AR17" s="18"/>
      <c r="AS17" s="18"/>
      <c r="AT17" s="18"/>
      <c r="AU17" s="18"/>
      <c r="AV17" s="18"/>
      <c r="AW17" s="71"/>
    </row>
    <row r="18" spans="1:49" x14ac:dyDescent="0.3">
      <c r="A18" s="37" t="s">
        <v>24</v>
      </c>
      <c r="B18" s="56" t="s">
        <v>30</v>
      </c>
      <c r="C18" s="56" t="s">
        <v>31</v>
      </c>
      <c r="D18" s="56" t="s">
        <v>32</v>
      </c>
      <c r="E18" s="56" t="s">
        <v>33</v>
      </c>
      <c r="F18" s="56" t="s">
        <v>34</v>
      </c>
      <c r="G18" s="56" t="s">
        <v>35</v>
      </c>
      <c r="H18" s="56" t="s">
        <v>36</v>
      </c>
      <c r="I18" s="56" t="s">
        <v>37</v>
      </c>
      <c r="J18" s="56" t="s">
        <v>38</v>
      </c>
      <c r="K18" s="56" t="s">
        <v>39</v>
      </c>
      <c r="L18" s="56" t="s">
        <v>40</v>
      </c>
      <c r="M18" s="56" t="s">
        <v>41</v>
      </c>
      <c r="N18" s="56" t="s">
        <v>42</v>
      </c>
      <c r="O18" s="56" t="s">
        <v>43</v>
      </c>
      <c r="P18" s="56" t="s">
        <v>44</v>
      </c>
      <c r="Q18" s="56" t="s">
        <v>45</v>
      </c>
      <c r="R18" s="56" t="s">
        <v>46</v>
      </c>
      <c r="S18" s="56" t="s">
        <v>47</v>
      </c>
      <c r="T18" s="56" t="s">
        <v>48</v>
      </c>
      <c r="U18" s="56" t="s">
        <v>49</v>
      </c>
      <c r="V18" s="56" t="s">
        <v>50</v>
      </c>
      <c r="W18" s="56" t="s">
        <v>51</v>
      </c>
      <c r="X18" s="56" t="s">
        <v>52</v>
      </c>
      <c r="Y18" s="56" t="s">
        <v>53</v>
      </c>
      <c r="Z18" s="56" t="s">
        <v>54</v>
      </c>
      <c r="AA18" s="56" t="s">
        <v>55</v>
      </c>
      <c r="AB18" s="56" t="s">
        <v>56</v>
      </c>
      <c r="AC18" s="56" t="s">
        <v>57</v>
      </c>
      <c r="AD18" s="57" t="s">
        <v>58</v>
      </c>
      <c r="AE18" s="57" t="s">
        <v>59</v>
      </c>
      <c r="AF18" s="57" t="s">
        <v>60</v>
      </c>
      <c r="AG18" s="18"/>
      <c r="AH18" s="37" t="s">
        <v>24</v>
      </c>
      <c r="AI18" s="40" t="s">
        <v>27</v>
      </c>
      <c r="AJ18" s="41" t="s">
        <v>80</v>
      </c>
      <c r="AK18" s="20" t="s">
        <v>76</v>
      </c>
      <c r="AL18" s="42" t="s">
        <v>70</v>
      </c>
      <c r="AM18" s="43" t="s">
        <v>81</v>
      </c>
      <c r="AN18" s="24" t="s">
        <v>3</v>
      </c>
      <c r="AO18" s="44" t="s">
        <v>25</v>
      </c>
      <c r="AP18" s="45" t="s">
        <v>67</v>
      </c>
      <c r="AQ18" s="31" t="s">
        <v>84</v>
      </c>
      <c r="AR18" s="70" t="s">
        <v>101</v>
      </c>
      <c r="AS18" s="46" t="s">
        <v>68</v>
      </c>
      <c r="AT18" s="34" t="s">
        <v>83</v>
      </c>
      <c r="AU18" s="64" t="s">
        <v>69</v>
      </c>
      <c r="AV18" s="58" t="s">
        <v>1</v>
      </c>
      <c r="AW18" s="81" t="s">
        <v>92</v>
      </c>
    </row>
    <row r="19" spans="1:49" ht="20.100000000000001" customHeight="1" x14ac:dyDescent="0.3">
      <c r="A19" s="48" t="s">
        <v>120</v>
      </c>
      <c r="B19" s="50"/>
      <c r="C19" s="50"/>
      <c r="D19" s="50"/>
      <c r="E19" s="50"/>
      <c r="F19" s="50"/>
      <c r="G19" s="50"/>
      <c r="H19" s="50"/>
      <c r="I19" s="50"/>
      <c r="J19" s="50"/>
      <c r="K19" s="50"/>
      <c r="L19" s="50"/>
      <c r="M19" s="50"/>
      <c r="N19" s="50"/>
      <c r="O19" s="50"/>
      <c r="P19" s="50"/>
      <c r="Q19" s="50"/>
      <c r="R19" s="50"/>
      <c r="S19" s="50"/>
      <c r="T19" s="50"/>
      <c r="U19" s="50"/>
      <c r="V19" s="50"/>
      <c r="W19" s="50"/>
      <c r="X19" s="50" t="s">
        <v>71</v>
      </c>
      <c r="Y19" s="50"/>
      <c r="Z19" s="50"/>
      <c r="AA19" s="50" t="s">
        <v>71</v>
      </c>
      <c r="AB19" s="50" t="s">
        <v>71</v>
      </c>
      <c r="AC19" s="50" t="s">
        <v>71</v>
      </c>
      <c r="AD19" s="50"/>
      <c r="AE19" s="50"/>
      <c r="AF19" s="50"/>
      <c r="AG19" s="18"/>
      <c r="AH19" s="48" t="s">
        <v>120</v>
      </c>
      <c r="AI19" s="51">
        <f>COUNTIF(Février[[#This Row],[1]:[31]],AI$6)</f>
        <v>4</v>
      </c>
      <c r="AJ19" s="51">
        <f>COUNTIF(Février[[#This Row],[1]:[31]],AJ$6)/2</f>
        <v>0</v>
      </c>
      <c r="AK19" s="51">
        <f>SUM(AI19:AJ19)</f>
        <v>4</v>
      </c>
      <c r="AL19" s="51">
        <f>COUNTIF(Février[[#This Row],[1]:[31]],AL$6)</f>
        <v>0</v>
      </c>
      <c r="AM19" s="51">
        <f>COUNTIF(Février[[#This Row],[1]:[31]],AM$6)/2</f>
        <v>0</v>
      </c>
      <c r="AN19" s="51">
        <f>SUM(AL19:AM19)</f>
        <v>0</v>
      </c>
      <c r="AO19" s="51">
        <f>COUNTIF(Février[[#This Row],[1]:[31]],AO$6)</f>
        <v>0</v>
      </c>
      <c r="AP19" s="51">
        <f>COUNTIF(Février[[#This Row],[1]:[31]],AP$6)</f>
        <v>0</v>
      </c>
      <c r="AQ19" s="51">
        <f>COUNTIF(Février[[#This Row],[1]:[31]],AQ$6)/2</f>
        <v>0</v>
      </c>
      <c r="AR19" s="51">
        <f>SUM(AP19:AQ19)</f>
        <v>0</v>
      </c>
      <c r="AS19" s="51">
        <f>COUNTIF(Février[[#This Row],[1]:[31]],AS$6)</f>
        <v>0</v>
      </c>
      <c r="AT19" s="51">
        <f>COUNTIF(Février[[#This Row],[1]:[31]],AT$6)/2</f>
        <v>0</v>
      </c>
      <c r="AU19" s="51">
        <f>SUM(AS19:AT19)</f>
        <v>0</v>
      </c>
      <c r="AV19" s="52">
        <f>AK19+AN19+AO19+AR19+AU19</f>
        <v>4</v>
      </c>
      <c r="AW19" s="82">
        <f t="shared" ref="AW19:AW24" si="7">COUNTA(V7,AF7,W7,X7,Y7,Z7,AA7,AB7,AC7,AD7,AE7,B19:U19)</f>
        <v>0</v>
      </c>
    </row>
    <row r="20" spans="1:49" ht="20.100000000000001" customHeight="1" x14ac:dyDescent="0.3">
      <c r="A20" s="48" t="s">
        <v>121</v>
      </c>
      <c r="B20" s="50"/>
      <c r="C20" s="50"/>
      <c r="D20" s="50"/>
      <c r="E20" s="50"/>
      <c r="F20" s="50"/>
      <c r="G20" s="50"/>
      <c r="H20" s="50"/>
      <c r="I20" s="50"/>
      <c r="J20" s="50"/>
      <c r="K20" s="50"/>
      <c r="L20" s="50"/>
      <c r="M20" s="50"/>
      <c r="N20" s="50"/>
      <c r="O20" s="50"/>
      <c r="P20" s="50"/>
      <c r="Q20" s="50" t="s">
        <v>71</v>
      </c>
      <c r="R20" s="50"/>
      <c r="S20" s="50"/>
      <c r="T20" s="50" t="s">
        <v>71</v>
      </c>
      <c r="U20" s="50" t="s">
        <v>71</v>
      </c>
      <c r="V20" s="50" t="s">
        <v>71</v>
      </c>
      <c r="W20" s="50" t="s">
        <v>71</v>
      </c>
      <c r="X20" s="50" t="s">
        <v>71</v>
      </c>
      <c r="Y20" s="50"/>
      <c r="Z20" s="50"/>
      <c r="AA20" s="50"/>
      <c r="AB20" s="50"/>
      <c r="AC20" s="50"/>
      <c r="AD20" s="50"/>
      <c r="AE20" s="50"/>
      <c r="AF20" s="50"/>
      <c r="AG20" s="18"/>
      <c r="AH20" s="48" t="s">
        <v>121</v>
      </c>
      <c r="AI20" s="53">
        <f>COUNTIF(Février[[#This Row],[1]:[31]],AI$6)</f>
        <v>6</v>
      </c>
      <c r="AJ20" s="53">
        <f>COUNTIF(Février[[#This Row],[1]:[31]],AJ$6)/2</f>
        <v>0</v>
      </c>
      <c r="AK20" s="53">
        <f t="shared" ref="AK20:AK24" si="8">SUM(AI20:AJ20)</f>
        <v>6</v>
      </c>
      <c r="AL20" s="53">
        <f>COUNTIF(Février[[#This Row],[1]:[31]],AL$6)</f>
        <v>0</v>
      </c>
      <c r="AM20" s="53">
        <f>COUNTIF(Février[[#This Row],[1]:[31]],AM$6)/2</f>
        <v>0</v>
      </c>
      <c r="AN20" s="53">
        <f t="shared" ref="AN20:AN24" si="9">SUM(AL20:AM20)</f>
        <v>0</v>
      </c>
      <c r="AO20" s="53">
        <f>COUNTIF(Février[[#This Row],[1]:[31]],AO$6)</f>
        <v>0</v>
      </c>
      <c r="AP20" s="53">
        <f>COUNTIF(Février[[#This Row],[1]:[31]],AP$6)</f>
        <v>0</v>
      </c>
      <c r="AQ20" s="53">
        <f>COUNTIF(Février[[#This Row],[1]:[31]],AQ$6)/2</f>
        <v>0</v>
      </c>
      <c r="AR20" s="53">
        <f t="shared" ref="AR20:AR24" si="10">SUM(AP20:AQ20)</f>
        <v>0</v>
      </c>
      <c r="AS20" s="53">
        <f>COUNTIF(Février[[#This Row],[1]:[31]],AS$6)</f>
        <v>0</v>
      </c>
      <c r="AT20" s="53">
        <f>COUNTIF(Février[[#This Row],[1]:[31]],AT$6)/2</f>
        <v>0</v>
      </c>
      <c r="AU20" s="53">
        <f t="shared" ref="AU20:AU24" si="11">SUM(AS20:AT20)</f>
        <v>0</v>
      </c>
      <c r="AV20" s="54">
        <f t="shared" ref="AV20:AV24" si="12">AK20+AN20+AO20+AR20+AU20</f>
        <v>6</v>
      </c>
      <c r="AW20" s="83">
        <f t="shared" si="7"/>
        <v>3</v>
      </c>
    </row>
    <row r="21" spans="1:49" ht="20.100000000000001" customHeight="1" x14ac:dyDescent="0.3">
      <c r="A21" s="48" t="s">
        <v>122</v>
      </c>
      <c r="B21" s="50"/>
      <c r="C21" s="50"/>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18"/>
      <c r="AH21" s="48" t="s">
        <v>122</v>
      </c>
      <c r="AI21" s="51">
        <f>COUNTIF(Février[[#This Row],[1]:[31]],AI$6)</f>
        <v>0</v>
      </c>
      <c r="AJ21" s="51">
        <f>COUNTIF(Février[[#This Row],[1]:[31]],AJ$6)/2</f>
        <v>0</v>
      </c>
      <c r="AK21" s="51">
        <f t="shared" si="8"/>
        <v>0</v>
      </c>
      <c r="AL21" s="51">
        <f>COUNTIF(Février[[#This Row],[1]:[31]],AL$6)</f>
        <v>0</v>
      </c>
      <c r="AM21" s="51">
        <f>COUNTIF(Février[[#This Row],[1]:[31]],AM$6)/2</f>
        <v>0</v>
      </c>
      <c r="AN21" s="51">
        <f t="shared" si="9"/>
        <v>0</v>
      </c>
      <c r="AO21" s="51">
        <f>COUNTIF(Février[[#This Row],[1]:[31]],AO$6)</f>
        <v>0</v>
      </c>
      <c r="AP21" s="51">
        <f>COUNTIF(Février[[#This Row],[1]:[31]],AP$6)</f>
        <v>0</v>
      </c>
      <c r="AQ21" s="51">
        <f>COUNTIF(Février[[#This Row],[1]:[31]],AQ$6)/2</f>
        <v>0</v>
      </c>
      <c r="AR21" s="51">
        <f t="shared" si="10"/>
        <v>0</v>
      </c>
      <c r="AS21" s="51">
        <f>COUNTIF(Février[[#This Row],[1]:[31]],AS$6)</f>
        <v>0</v>
      </c>
      <c r="AT21" s="51">
        <f>COUNTIF(Février[[#This Row],[1]:[31]],AT$6)/2</f>
        <v>0</v>
      </c>
      <c r="AU21" s="51">
        <f t="shared" si="11"/>
        <v>0</v>
      </c>
      <c r="AV21" s="52">
        <f t="shared" si="12"/>
        <v>0</v>
      </c>
      <c r="AW21" s="82">
        <f t="shared" si="7"/>
        <v>2</v>
      </c>
    </row>
    <row r="22" spans="1:49" ht="20.100000000000001" customHeight="1" x14ac:dyDescent="0.3">
      <c r="A22" s="48" t="s">
        <v>123</v>
      </c>
      <c r="B22" s="50"/>
      <c r="C22" s="50"/>
      <c r="D22" s="50"/>
      <c r="E22" s="50"/>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c r="AE22" s="50"/>
      <c r="AF22" s="50"/>
      <c r="AG22" s="18"/>
      <c r="AH22" s="48" t="s">
        <v>123</v>
      </c>
      <c r="AI22" s="53">
        <f>COUNTIF(Février[[#This Row],[1]:[31]],AI$6)</f>
        <v>0</v>
      </c>
      <c r="AJ22" s="53">
        <f>COUNTIF(Février[[#This Row],[1]:[31]],AJ$6)/2</f>
        <v>0</v>
      </c>
      <c r="AK22" s="53">
        <f t="shared" si="8"/>
        <v>0</v>
      </c>
      <c r="AL22" s="53">
        <f>COUNTIF(Février[[#This Row],[1]:[31]],AL$6)</f>
        <v>0</v>
      </c>
      <c r="AM22" s="53">
        <f>COUNTIF(Février[[#This Row],[1]:[31]],AM$6)/2</f>
        <v>0</v>
      </c>
      <c r="AN22" s="53">
        <f t="shared" si="9"/>
        <v>0</v>
      </c>
      <c r="AO22" s="53">
        <f>COUNTIF(Février[[#This Row],[1]:[31]],AO$6)</f>
        <v>0</v>
      </c>
      <c r="AP22" s="53">
        <f>COUNTIF(Février[[#This Row],[1]:[31]],AP$6)</f>
        <v>0</v>
      </c>
      <c r="AQ22" s="53">
        <f>COUNTIF(Février[[#This Row],[1]:[31]],AQ$6)/2</f>
        <v>0</v>
      </c>
      <c r="AR22" s="53">
        <f t="shared" si="10"/>
        <v>0</v>
      </c>
      <c r="AS22" s="53">
        <f>COUNTIF(Février[[#This Row],[1]:[31]],AS$6)</f>
        <v>0</v>
      </c>
      <c r="AT22" s="53">
        <f>COUNTIF(Février[[#This Row],[1]:[31]],AT$6)/2</f>
        <v>0</v>
      </c>
      <c r="AU22" s="53">
        <f t="shared" si="11"/>
        <v>0</v>
      </c>
      <c r="AV22" s="54">
        <f t="shared" si="12"/>
        <v>0</v>
      </c>
      <c r="AW22" s="83">
        <f t="shared" si="7"/>
        <v>1</v>
      </c>
    </row>
    <row r="23" spans="1:49" ht="20.100000000000001" customHeight="1" x14ac:dyDescent="0.3">
      <c r="A23" s="48" t="s">
        <v>124</v>
      </c>
      <c r="B23" s="50"/>
      <c r="C23" s="50"/>
      <c r="D23" s="50"/>
      <c r="E23" s="50"/>
      <c r="F23" s="50"/>
      <c r="G23" s="50"/>
      <c r="H23" s="50"/>
      <c r="I23" s="50"/>
      <c r="J23" s="50"/>
      <c r="K23" s="50"/>
      <c r="L23" s="50"/>
      <c r="M23" s="50"/>
      <c r="N23" s="50"/>
      <c r="O23" s="50"/>
      <c r="P23" s="50"/>
      <c r="Q23" s="50"/>
      <c r="R23" s="50"/>
      <c r="S23" s="50"/>
      <c r="T23" s="50" t="s">
        <v>74</v>
      </c>
      <c r="U23" s="50" t="s">
        <v>74</v>
      </c>
      <c r="V23" s="50" t="s">
        <v>82</v>
      </c>
      <c r="W23" s="50" t="s">
        <v>82</v>
      </c>
      <c r="X23" s="50" t="s">
        <v>82</v>
      </c>
      <c r="Y23" s="50"/>
      <c r="Z23" s="50"/>
      <c r="AA23" s="50"/>
      <c r="AB23" s="50"/>
      <c r="AC23" s="50"/>
      <c r="AD23" s="50"/>
      <c r="AE23" s="50"/>
      <c r="AF23" s="50"/>
      <c r="AG23" s="18"/>
      <c r="AH23" s="48" t="s">
        <v>124</v>
      </c>
      <c r="AI23" s="51">
        <f>COUNTIF(Février[[#This Row],[1]:[31]],AI$6)</f>
        <v>0</v>
      </c>
      <c r="AJ23" s="51">
        <f>COUNTIF(Février[[#This Row],[1]:[31]],AJ$6)/2</f>
        <v>0</v>
      </c>
      <c r="AK23" s="51">
        <f t="shared" si="8"/>
        <v>0</v>
      </c>
      <c r="AL23" s="51">
        <f>COUNTIF(Février[[#This Row],[1]:[31]],AL$6)</f>
        <v>2</v>
      </c>
      <c r="AM23" s="51">
        <f>COUNTIF(Février[[#This Row],[1]:[31]],AM$6)/2</f>
        <v>0</v>
      </c>
      <c r="AN23" s="51">
        <f t="shared" si="9"/>
        <v>2</v>
      </c>
      <c r="AO23" s="51">
        <f>COUNTIF(Février[[#This Row],[1]:[31]],AO$6)</f>
        <v>0</v>
      </c>
      <c r="AP23" s="51">
        <f>COUNTIF(Février[[#This Row],[1]:[31]],AP$6)</f>
        <v>3</v>
      </c>
      <c r="AQ23" s="51">
        <f>COUNTIF(Février[[#This Row],[1]:[31]],AQ$6)/2</f>
        <v>0</v>
      </c>
      <c r="AR23" s="51">
        <f t="shared" si="10"/>
        <v>3</v>
      </c>
      <c r="AS23" s="51">
        <f>COUNTIF(Février[[#This Row],[1]:[31]],AS$6)</f>
        <v>0</v>
      </c>
      <c r="AT23" s="51">
        <f>COUNTIF(Février[[#This Row],[1]:[31]],AT$6)/2</f>
        <v>0</v>
      </c>
      <c r="AU23" s="51">
        <f t="shared" si="11"/>
        <v>0</v>
      </c>
      <c r="AV23" s="52">
        <f t="shared" si="12"/>
        <v>5</v>
      </c>
      <c r="AW23" s="82">
        <f t="shared" si="7"/>
        <v>2</v>
      </c>
    </row>
    <row r="24" spans="1:49" ht="20.100000000000001" customHeight="1" thickBot="1" x14ac:dyDescent="0.35">
      <c r="A24" s="48" t="s">
        <v>125</v>
      </c>
      <c r="B24" s="50"/>
      <c r="C24" s="50"/>
      <c r="D24" s="50"/>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18"/>
      <c r="AH24" s="48" t="s">
        <v>125</v>
      </c>
      <c r="AI24" s="53">
        <f>COUNTIF(Février[[#This Row],[1]:[31]],AI$6)</f>
        <v>0</v>
      </c>
      <c r="AJ24" s="53">
        <f>COUNTIF(Février[[#This Row],[1]:[31]],AJ$6)/2</f>
        <v>0</v>
      </c>
      <c r="AK24" s="53">
        <f t="shared" si="8"/>
        <v>0</v>
      </c>
      <c r="AL24" s="53">
        <f>COUNTIF(Février[[#This Row],[1]:[31]],AL$6)</f>
        <v>0</v>
      </c>
      <c r="AM24" s="53">
        <f>COUNTIF(Février[[#This Row],[1]:[31]],AM$6)/2</f>
        <v>0</v>
      </c>
      <c r="AN24" s="53">
        <f t="shared" si="9"/>
        <v>0</v>
      </c>
      <c r="AO24" s="53">
        <f>COUNTIF(Février[[#This Row],[1]:[31]],AO$6)</f>
        <v>0</v>
      </c>
      <c r="AP24" s="53">
        <f>COUNTIF(Février[[#This Row],[1]:[31]],AP$6)</f>
        <v>0</v>
      </c>
      <c r="AQ24" s="53">
        <f>COUNTIF(Février[[#This Row],[1]:[31]],AQ$6)/2</f>
        <v>0</v>
      </c>
      <c r="AR24" s="53">
        <f t="shared" si="10"/>
        <v>0</v>
      </c>
      <c r="AS24" s="53">
        <f>COUNTIF(Février[[#This Row],[1]:[31]],AS$6)</f>
        <v>0</v>
      </c>
      <c r="AT24" s="53">
        <f>COUNTIF(Février[[#This Row],[1]:[31]],AT$6)/2</f>
        <v>0</v>
      </c>
      <c r="AU24" s="53">
        <f t="shared" si="11"/>
        <v>0</v>
      </c>
      <c r="AV24" s="55">
        <f t="shared" si="12"/>
        <v>0</v>
      </c>
      <c r="AW24" s="84">
        <f t="shared" si="7"/>
        <v>0</v>
      </c>
    </row>
    <row r="26" spans="1:49" s="18" customFormat="1" ht="14.25" thickBot="1" x14ac:dyDescent="0.3">
      <c r="A26" s="19" t="s">
        <v>79</v>
      </c>
      <c r="B26" s="20" t="s">
        <v>27</v>
      </c>
      <c r="C26" s="21" t="s">
        <v>76</v>
      </c>
      <c r="E26" s="22" t="s">
        <v>80</v>
      </c>
      <c r="F26" s="23" t="s">
        <v>77</v>
      </c>
      <c r="G26" s="23"/>
      <c r="H26" s="24" t="s">
        <v>70</v>
      </c>
      <c r="I26" s="25" t="s">
        <v>3</v>
      </c>
      <c r="J26" s="23"/>
      <c r="K26" s="26" t="s">
        <v>81</v>
      </c>
      <c r="L26" s="27" t="s">
        <v>78</v>
      </c>
      <c r="M26" s="23"/>
      <c r="N26" s="28" t="s">
        <v>25</v>
      </c>
      <c r="O26" s="25" t="s">
        <v>28</v>
      </c>
      <c r="P26" s="25"/>
      <c r="Q26" s="29" t="s">
        <v>67</v>
      </c>
      <c r="R26" s="30" t="s">
        <v>66</v>
      </c>
      <c r="S26" s="30"/>
      <c r="T26" s="31" t="s">
        <v>84</v>
      </c>
      <c r="U26" s="23" t="s">
        <v>85</v>
      </c>
      <c r="V26" s="23"/>
      <c r="W26" s="23"/>
      <c r="X26" s="32" t="s">
        <v>68</v>
      </c>
      <c r="Y26" s="33" t="s">
        <v>69</v>
      </c>
      <c r="Z26" s="33"/>
      <c r="AA26" s="34" t="s">
        <v>83</v>
      </c>
      <c r="AB26" s="33" t="s">
        <v>86</v>
      </c>
      <c r="AC26" s="33"/>
      <c r="AD26" s="33"/>
      <c r="AE26" s="33"/>
      <c r="AF26" s="33"/>
      <c r="AW26" s="71"/>
    </row>
    <row r="27" spans="1:49" s="61" customFormat="1" ht="32.25" customHeight="1" x14ac:dyDescent="0.3">
      <c r="A27" s="126" t="s">
        <v>111</v>
      </c>
      <c r="B27" s="125"/>
      <c r="C27" s="125"/>
      <c r="D27" s="125"/>
      <c r="E27" s="125"/>
      <c r="F27" s="125"/>
      <c r="G27" s="125"/>
      <c r="H27" s="125"/>
      <c r="I27" s="125"/>
      <c r="J27" s="125"/>
      <c r="K27" s="125"/>
      <c r="L27" s="125"/>
      <c r="M27" s="125"/>
      <c r="N27" s="125"/>
      <c r="O27" s="125"/>
      <c r="P27" s="125"/>
      <c r="Q27" s="125"/>
      <c r="R27" s="125"/>
      <c r="S27" s="125"/>
      <c r="T27" s="125"/>
      <c r="U27" s="125"/>
      <c r="V27" s="125"/>
      <c r="W27" s="125"/>
      <c r="X27" s="125"/>
      <c r="Y27" s="125"/>
      <c r="Z27" s="125"/>
      <c r="AA27" s="125"/>
      <c r="AB27" s="125"/>
      <c r="AC27" s="125"/>
      <c r="AD27" s="125"/>
      <c r="AE27" s="125"/>
      <c r="AF27" s="125"/>
      <c r="AH27" s="125"/>
    </row>
    <row r="28" spans="1:49" ht="36.75" customHeight="1" thickBot="1" x14ac:dyDescent="0.35">
      <c r="A28" s="14" t="s">
        <v>11</v>
      </c>
      <c r="B28" s="140" t="s">
        <v>29</v>
      </c>
      <c r="C28" s="140"/>
      <c r="D28" s="140"/>
      <c r="E28" s="140"/>
      <c r="F28" s="140"/>
      <c r="G28" s="140"/>
      <c r="H28" s="140"/>
      <c r="I28" s="140"/>
      <c r="J28" s="140"/>
      <c r="K28" s="140"/>
      <c r="L28" s="140"/>
      <c r="M28" s="140"/>
      <c r="N28" s="140"/>
      <c r="O28" s="140"/>
      <c r="P28" s="140"/>
      <c r="Q28" s="140"/>
      <c r="R28" s="140"/>
      <c r="S28" s="140"/>
      <c r="T28" s="140"/>
      <c r="U28" s="140"/>
      <c r="V28" s="140"/>
      <c r="W28" s="140"/>
      <c r="X28" s="140"/>
      <c r="Y28" s="140"/>
      <c r="Z28" s="140"/>
      <c r="AA28" s="140"/>
      <c r="AB28" s="140"/>
      <c r="AC28" s="140"/>
      <c r="AD28" s="140"/>
      <c r="AE28" s="140"/>
      <c r="AF28" s="140"/>
      <c r="AG28" s="14"/>
      <c r="AH28" s="140" t="s">
        <v>91</v>
      </c>
      <c r="AI28" s="140"/>
      <c r="AJ28" s="140"/>
      <c r="AK28" s="140"/>
      <c r="AL28" s="140"/>
      <c r="AM28" s="140"/>
      <c r="AN28" s="140"/>
      <c r="AO28" s="140"/>
      <c r="AP28" s="140"/>
      <c r="AQ28" s="140"/>
      <c r="AR28" s="140"/>
      <c r="AS28" s="140"/>
      <c r="AT28" s="140"/>
      <c r="AU28" s="140"/>
      <c r="AV28" s="140"/>
      <c r="AW28" s="140"/>
    </row>
    <row r="29" spans="1:49" ht="18" thickTop="1" thickBot="1" x14ac:dyDescent="0.35">
      <c r="A29" s="35">
        <v>3</v>
      </c>
      <c r="B29" s="133">
        <f ca="1">DATE(RIGHT(CELL("nomfichier",A25),4),A29,1)</f>
        <v>43160</v>
      </c>
      <c r="C29" s="133">
        <f ca="1">B29+1</f>
        <v>43161</v>
      </c>
      <c r="D29" s="133">
        <f t="shared" ref="D29:AF29" ca="1" si="13">C29+1</f>
        <v>43162</v>
      </c>
      <c r="E29" s="133">
        <f t="shared" ca="1" si="13"/>
        <v>43163</v>
      </c>
      <c r="F29" s="133">
        <f t="shared" ca="1" si="13"/>
        <v>43164</v>
      </c>
      <c r="G29" s="133">
        <f t="shared" ca="1" si="13"/>
        <v>43165</v>
      </c>
      <c r="H29" s="133">
        <f t="shared" ca="1" si="13"/>
        <v>43166</v>
      </c>
      <c r="I29" s="133">
        <f t="shared" ca="1" si="13"/>
        <v>43167</v>
      </c>
      <c r="J29" s="133">
        <f t="shared" ca="1" si="13"/>
        <v>43168</v>
      </c>
      <c r="K29" s="133">
        <f t="shared" ca="1" si="13"/>
        <v>43169</v>
      </c>
      <c r="L29" s="133">
        <f t="shared" ca="1" si="13"/>
        <v>43170</v>
      </c>
      <c r="M29" s="133">
        <f t="shared" ca="1" si="13"/>
        <v>43171</v>
      </c>
      <c r="N29" s="133">
        <f t="shared" ca="1" si="13"/>
        <v>43172</v>
      </c>
      <c r="O29" s="133">
        <f t="shared" ca="1" si="13"/>
        <v>43173</v>
      </c>
      <c r="P29" s="133">
        <f t="shared" ca="1" si="13"/>
        <v>43174</v>
      </c>
      <c r="Q29" s="133">
        <f t="shared" ca="1" si="13"/>
        <v>43175</v>
      </c>
      <c r="R29" s="133">
        <f t="shared" ca="1" si="13"/>
        <v>43176</v>
      </c>
      <c r="S29" s="133">
        <f t="shared" ca="1" si="13"/>
        <v>43177</v>
      </c>
      <c r="T29" s="133">
        <f t="shared" ca="1" si="13"/>
        <v>43178</v>
      </c>
      <c r="U29" s="133">
        <f t="shared" ca="1" si="13"/>
        <v>43179</v>
      </c>
      <c r="V29" s="133">
        <f t="shared" ca="1" si="13"/>
        <v>43180</v>
      </c>
      <c r="W29" s="133">
        <f t="shared" ca="1" si="13"/>
        <v>43181</v>
      </c>
      <c r="X29" s="133">
        <f t="shared" ca="1" si="13"/>
        <v>43182</v>
      </c>
      <c r="Y29" s="133">
        <f t="shared" ca="1" si="13"/>
        <v>43183</v>
      </c>
      <c r="Z29" s="133">
        <f t="shared" ca="1" si="13"/>
        <v>43184</v>
      </c>
      <c r="AA29" s="133">
        <f t="shared" ca="1" si="13"/>
        <v>43185</v>
      </c>
      <c r="AB29" s="133">
        <f t="shared" ca="1" si="13"/>
        <v>43186</v>
      </c>
      <c r="AC29" s="133">
        <f t="shared" ca="1" si="13"/>
        <v>43187</v>
      </c>
      <c r="AD29" s="133">
        <f t="shared" ca="1" si="13"/>
        <v>43188</v>
      </c>
      <c r="AE29" s="133">
        <f t="shared" ca="1" si="13"/>
        <v>43189</v>
      </c>
      <c r="AF29" s="133">
        <f t="shared" ca="1" si="13"/>
        <v>43190</v>
      </c>
      <c r="AG29" s="18"/>
      <c r="AH29" s="35">
        <v>3</v>
      </c>
      <c r="AI29" s="18"/>
      <c r="AJ29" s="18"/>
      <c r="AK29" s="18"/>
      <c r="AL29" s="18"/>
      <c r="AM29" s="18"/>
      <c r="AN29" s="18"/>
      <c r="AO29" s="18"/>
      <c r="AP29" s="18"/>
      <c r="AQ29" s="18"/>
      <c r="AR29" s="18"/>
      <c r="AS29" s="18"/>
      <c r="AT29" s="18"/>
      <c r="AU29" s="18"/>
      <c r="AV29" s="18"/>
      <c r="AW29" s="71"/>
    </row>
    <row r="30" spans="1:49" x14ac:dyDescent="0.3">
      <c r="A30" s="59" t="s">
        <v>24</v>
      </c>
      <c r="B30" s="56" t="s">
        <v>30</v>
      </c>
      <c r="C30" s="56" t="s">
        <v>31</v>
      </c>
      <c r="D30" s="56" t="s">
        <v>32</v>
      </c>
      <c r="E30" s="56" t="s">
        <v>33</v>
      </c>
      <c r="F30" s="56" t="s">
        <v>34</v>
      </c>
      <c r="G30" s="56" t="s">
        <v>35</v>
      </c>
      <c r="H30" s="56" t="s">
        <v>36</v>
      </c>
      <c r="I30" s="56" t="s">
        <v>37</v>
      </c>
      <c r="J30" s="56" t="s">
        <v>38</v>
      </c>
      <c r="K30" s="56" t="s">
        <v>39</v>
      </c>
      <c r="L30" s="56" t="s">
        <v>40</v>
      </c>
      <c r="M30" s="56" t="s">
        <v>41</v>
      </c>
      <c r="N30" s="56" t="s">
        <v>42</v>
      </c>
      <c r="O30" s="56" t="s">
        <v>43</v>
      </c>
      <c r="P30" s="56" t="s">
        <v>44</v>
      </c>
      <c r="Q30" s="56" t="s">
        <v>45</v>
      </c>
      <c r="R30" s="56" t="s">
        <v>46</v>
      </c>
      <c r="S30" s="56" t="s">
        <v>47</v>
      </c>
      <c r="T30" s="56" t="s">
        <v>48</v>
      </c>
      <c r="U30" s="56" t="s">
        <v>49</v>
      </c>
      <c r="V30" s="56" t="s">
        <v>50</v>
      </c>
      <c r="W30" s="56" t="s">
        <v>51</v>
      </c>
      <c r="X30" s="56" t="s">
        <v>52</v>
      </c>
      <c r="Y30" s="56" t="s">
        <v>53</v>
      </c>
      <c r="Z30" s="56" t="s">
        <v>54</v>
      </c>
      <c r="AA30" s="56" t="s">
        <v>55</v>
      </c>
      <c r="AB30" s="56" t="s">
        <v>56</v>
      </c>
      <c r="AC30" s="56" t="s">
        <v>57</v>
      </c>
      <c r="AD30" s="60" t="s">
        <v>58</v>
      </c>
      <c r="AE30" s="60" t="s">
        <v>59</v>
      </c>
      <c r="AF30" s="60" t="s">
        <v>60</v>
      </c>
      <c r="AG30" s="18"/>
      <c r="AH30" s="59" t="s">
        <v>24</v>
      </c>
      <c r="AI30" s="40" t="s">
        <v>27</v>
      </c>
      <c r="AJ30" s="41" t="s">
        <v>80</v>
      </c>
      <c r="AK30" s="20" t="s">
        <v>76</v>
      </c>
      <c r="AL30" s="42" t="s">
        <v>70</v>
      </c>
      <c r="AM30" s="43" t="s">
        <v>81</v>
      </c>
      <c r="AN30" s="24" t="s">
        <v>3</v>
      </c>
      <c r="AO30" s="44" t="s">
        <v>25</v>
      </c>
      <c r="AP30" s="45" t="s">
        <v>67</v>
      </c>
      <c r="AQ30" s="31" t="s">
        <v>84</v>
      </c>
      <c r="AR30" s="70" t="s">
        <v>101</v>
      </c>
      <c r="AS30" s="46" t="s">
        <v>68</v>
      </c>
      <c r="AT30" s="34" t="s">
        <v>83</v>
      </c>
      <c r="AU30" s="64" t="s">
        <v>69</v>
      </c>
      <c r="AV30" s="58" t="s">
        <v>1</v>
      </c>
      <c r="AW30" s="81" t="s">
        <v>92</v>
      </c>
    </row>
    <row r="31" spans="1:49" ht="20.100000000000001" customHeight="1" x14ac:dyDescent="0.3">
      <c r="A31" s="48" t="s">
        <v>120</v>
      </c>
      <c r="B31" s="50" t="s">
        <v>71</v>
      </c>
      <c r="C31" s="50" t="s">
        <v>71</v>
      </c>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18"/>
      <c r="AH31" s="48" t="s">
        <v>120</v>
      </c>
      <c r="AI31" s="51">
        <f>COUNTIF(Mars[[#This Row],[1]:[31]],AI$6)</f>
        <v>2</v>
      </c>
      <c r="AJ31" s="51">
        <f>COUNTIF(Mars[[#This Row],[1]:[31]],AJ$6)/2</f>
        <v>0</v>
      </c>
      <c r="AK31" s="51">
        <f>SUM(AI31:AJ31)</f>
        <v>2</v>
      </c>
      <c r="AL31" s="51">
        <f>COUNTIF(Mars[[#This Row],[1]:[31]],AL$6)</f>
        <v>0</v>
      </c>
      <c r="AM31" s="51">
        <f>COUNTIF(Mars[[#This Row],[1]:[31]],AM$6)/2</f>
        <v>0</v>
      </c>
      <c r="AN31" s="51">
        <f>SUM(AL31:AM31)</f>
        <v>0</v>
      </c>
      <c r="AO31" s="51">
        <f>COUNTIF(Mars[[#This Row],[1]:[31]],AO$6)</f>
        <v>0</v>
      </c>
      <c r="AP31" s="51">
        <f>COUNTIF(Mars[[#This Row],[1]:[31]],AP$6)</f>
        <v>0</v>
      </c>
      <c r="AQ31" s="51">
        <f>COUNTIF(Mars[[#This Row],[1]:[31]],AQ$6)/2</f>
        <v>0</v>
      </c>
      <c r="AR31" s="51">
        <f>SUM(AP31:AQ31)</f>
        <v>0</v>
      </c>
      <c r="AS31" s="51">
        <f>COUNTIF(Mars[[#This Row],[1]:[31]],AS$6)</f>
        <v>0</v>
      </c>
      <c r="AT31" s="51">
        <f>COUNTIF(Mars[[#This Row],[1]:[31]],AT$6)/2</f>
        <v>0</v>
      </c>
      <c r="AU31" s="51">
        <f>SUM(AS31:AT31)</f>
        <v>0</v>
      </c>
      <c r="AV31" s="52">
        <f>AK31+AN31+AO31+AR31+AU31</f>
        <v>2</v>
      </c>
      <c r="AW31" s="82">
        <f>COUNTA(V19,AF19,W19,X19,Y19,Z19,AA19,AB19,AC19,AD19,AE19,B31:U31)</f>
        <v>6</v>
      </c>
    </row>
    <row r="32" spans="1:49" ht="20.100000000000001" customHeight="1" x14ac:dyDescent="0.3">
      <c r="A32" s="48" t="s">
        <v>121</v>
      </c>
      <c r="B32" s="50"/>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18"/>
      <c r="AH32" s="48" t="s">
        <v>121</v>
      </c>
      <c r="AI32" s="53">
        <f>COUNTIF(Mars[[#This Row],[1]:[31]],AI$6)</f>
        <v>0</v>
      </c>
      <c r="AJ32" s="53">
        <f>COUNTIF(Mars[[#This Row],[1]:[31]],AJ$6)/2</f>
        <v>0</v>
      </c>
      <c r="AK32" s="53">
        <f t="shared" ref="AK32:AK36" si="14">SUM(AI32:AJ32)</f>
        <v>0</v>
      </c>
      <c r="AL32" s="53">
        <f>COUNTIF(Mars[[#This Row],[1]:[31]],AL$6)</f>
        <v>0</v>
      </c>
      <c r="AM32" s="53">
        <f>COUNTIF(Mars[[#This Row],[1]:[31]],AM$6)/2</f>
        <v>0</v>
      </c>
      <c r="AN32" s="53">
        <f t="shared" ref="AN32:AN36" si="15">SUM(AL32:AM32)</f>
        <v>0</v>
      </c>
      <c r="AO32" s="53">
        <f>COUNTIF(Mars[[#This Row],[1]:[31]],AO$6)</f>
        <v>0</v>
      </c>
      <c r="AP32" s="53">
        <f>COUNTIF(Mars[[#This Row],[1]:[31]],AP$6)</f>
        <v>0</v>
      </c>
      <c r="AQ32" s="53">
        <f>COUNTIF(Mars[[#This Row],[1]:[31]],AQ$6)</f>
        <v>0</v>
      </c>
      <c r="AR32" s="53">
        <f t="shared" ref="AR32:AR36" si="16">SUM(AP32:AQ32)</f>
        <v>0</v>
      </c>
      <c r="AS32" s="53">
        <f>COUNTIF(Mars[[#This Row],[1]:[31]],AS$6)</f>
        <v>0</v>
      </c>
      <c r="AT32" s="53">
        <f>COUNTIF(Mars[[#This Row],[1]:[31]],AT$6)/2</f>
        <v>0</v>
      </c>
      <c r="AU32" s="53">
        <f t="shared" ref="AU32:AU36" si="17">SUM(AS32:AT32)</f>
        <v>0</v>
      </c>
      <c r="AV32" s="54">
        <f t="shared" ref="AV32:AV36" si="18">AK32+AN32+AO32+AR32+AU32</f>
        <v>0</v>
      </c>
      <c r="AW32" s="83">
        <f t="shared" ref="AW32:AW36" si="19">COUNTA(V20,AF20,W20,X20,Y20,Z20,AA20,AB20,AC20,AD20,AE20,B32:U32)</f>
        <v>3</v>
      </c>
    </row>
    <row r="33" spans="1:49" ht="20.100000000000001" customHeight="1" x14ac:dyDescent="0.3">
      <c r="A33" s="48" t="s">
        <v>122</v>
      </c>
      <c r="B33" s="50"/>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18"/>
      <c r="AH33" s="48" t="s">
        <v>122</v>
      </c>
      <c r="AI33" s="51">
        <f>COUNTIF(Mars[[#This Row],[1]:[31]],AI$6)</f>
        <v>0</v>
      </c>
      <c r="AJ33" s="51">
        <f>COUNTIF(Mars[[#This Row],[1]:[31]],AJ$6)/2</f>
        <v>0</v>
      </c>
      <c r="AK33" s="51">
        <f t="shared" si="14"/>
        <v>0</v>
      </c>
      <c r="AL33" s="51">
        <f>COUNTIF(Mars[[#This Row],[1]:[31]],AL$6)</f>
        <v>0</v>
      </c>
      <c r="AM33" s="51">
        <f>COUNTIF(Mars[[#This Row],[1]:[31]],AM$6)/2</f>
        <v>0</v>
      </c>
      <c r="AN33" s="51">
        <f t="shared" si="15"/>
        <v>0</v>
      </c>
      <c r="AO33" s="51">
        <f>COUNTIF(Mars[[#This Row],[1]:[31]],AO$6)</f>
        <v>0</v>
      </c>
      <c r="AP33" s="51">
        <f>COUNTIF(Mars[[#This Row],[1]:[31]],AP$6)</f>
        <v>0</v>
      </c>
      <c r="AQ33" s="51">
        <f>COUNTIF(Mars[[#This Row],[1]:[31]],AQ$6)</f>
        <v>0</v>
      </c>
      <c r="AR33" s="51">
        <f t="shared" si="16"/>
        <v>0</v>
      </c>
      <c r="AS33" s="51">
        <f>COUNTIF(Mars[[#This Row],[1]:[31]],AS$6)</f>
        <v>0</v>
      </c>
      <c r="AT33" s="51">
        <f>COUNTIF(Mars[[#This Row],[1]:[31]],AT$6)/2</f>
        <v>0</v>
      </c>
      <c r="AU33" s="51">
        <f t="shared" si="17"/>
        <v>0</v>
      </c>
      <c r="AV33" s="52">
        <f t="shared" si="18"/>
        <v>0</v>
      </c>
      <c r="AW33" s="82">
        <f t="shared" si="19"/>
        <v>0</v>
      </c>
    </row>
    <row r="34" spans="1:49" ht="20.100000000000001" customHeight="1" x14ac:dyDescent="0.3">
      <c r="A34" s="48" t="s">
        <v>123</v>
      </c>
      <c r="B34" s="5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18"/>
      <c r="AH34" s="48" t="s">
        <v>123</v>
      </c>
      <c r="AI34" s="53">
        <f>COUNTIF(Mars[[#This Row],[1]:[31]],AI$6)</f>
        <v>0</v>
      </c>
      <c r="AJ34" s="53">
        <f>COUNTIF(Mars[[#This Row],[1]:[31]],AJ$6)/2</f>
        <v>0</v>
      </c>
      <c r="AK34" s="53">
        <f t="shared" si="14"/>
        <v>0</v>
      </c>
      <c r="AL34" s="53">
        <f>COUNTIF(Mars[[#This Row],[1]:[31]],AL$6)</f>
        <v>0</v>
      </c>
      <c r="AM34" s="53">
        <f>COUNTIF(Mars[[#This Row],[1]:[31]],AM$6)/2</f>
        <v>0</v>
      </c>
      <c r="AN34" s="53">
        <f t="shared" si="15"/>
        <v>0</v>
      </c>
      <c r="AO34" s="53">
        <f>COUNTIF(Mars[[#This Row],[1]:[31]],AO$6)</f>
        <v>0</v>
      </c>
      <c r="AP34" s="53">
        <f>COUNTIF(Mars[[#This Row],[1]:[31]],AP$6)</f>
        <v>0</v>
      </c>
      <c r="AQ34" s="53">
        <f>COUNTIF(Mars[[#This Row],[1]:[31]],AQ$6)</f>
        <v>0</v>
      </c>
      <c r="AR34" s="53">
        <f t="shared" si="16"/>
        <v>0</v>
      </c>
      <c r="AS34" s="53">
        <f>COUNTIF(Mars[[#This Row],[1]:[31]],AS$6)</f>
        <v>0</v>
      </c>
      <c r="AT34" s="53">
        <f>COUNTIF(Mars[[#This Row],[1]:[31]],AT$6)/2</f>
        <v>0</v>
      </c>
      <c r="AU34" s="53">
        <f t="shared" si="17"/>
        <v>0</v>
      </c>
      <c r="AV34" s="54">
        <f t="shared" si="18"/>
        <v>0</v>
      </c>
      <c r="AW34" s="83">
        <f t="shared" si="19"/>
        <v>0</v>
      </c>
    </row>
    <row r="35" spans="1:49" ht="20.100000000000001" customHeight="1" x14ac:dyDescent="0.3">
      <c r="A35" s="48" t="s">
        <v>124</v>
      </c>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18"/>
      <c r="AH35" s="48" t="s">
        <v>124</v>
      </c>
      <c r="AI35" s="51">
        <f>COUNTIF(Mars[[#This Row],[1]:[31]],AI$6)</f>
        <v>0</v>
      </c>
      <c r="AJ35" s="51">
        <f>COUNTIF(Mars[[#This Row],[1]:[31]],AJ$6)/2</f>
        <v>0</v>
      </c>
      <c r="AK35" s="51">
        <f t="shared" si="14"/>
        <v>0</v>
      </c>
      <c r="AL35" s="51">
        <f>COUNTIF(Mars[[#This Row],[1]:[31]],AL$6)</f>
        <v>0</v>
      </c>
      <c r="AM35" s="51">
        <f>COUNTIF(Mars[[#This Row],[1]:[31]],AM$6)/2</f>
        <v>0</v>
      </c>
      <c r="AN35" s="51">
        <f t="shared" si="15"/>
        <v>0</v>
      </c>
      <c r="AO35" s="51">
        <f>COUNTIF(Mars[[#This Row],[1]:[31]],AO$6)</f>
        <v>0</v>
      </c>
      <c r="AP35" s="51">
        <f>COUNTIF(Mars[[#This Row],[1]:[31]],AP$6)</f>
        <v>0</v>
      </c>
      <c r="AQ35" s="51">
        <f>COUNTIF(Mars[[#This Row],[1]:[31]],AQ$6)</f>
        <v>0</v>
      </c>
      <c r="AR35" s="51">
        <f t="shared" si="16"/>
        <v>0</v>
      </c>
      <c r="AS35" s="51">
        <f>COUNTIF(Mars[[#This Row],[1]:[31]],AS$6)</f>
        <v>0</v>
      </c>
      <c r="AT35" s="51">
        <f>COUNTIF(Mars[[#This Row],[1]:[31]],AT$6)/2</f>
        <v>0</v>
      </c>
      <c r="AU35" s="51">
        <f t="shared" si="17"/>
        <v>0</v>
      </c>
      <c r="AV35" s="52">
        <f t="shared" si="18"/>
        <v>0</v>
      </c>
      <c r="AW35" s="82">
        <f t="shared" si="19"/>
        <v>3</v>
      </c>
    </row>
    <row r="36" spans="1:49" ht="20.100000000000001" customHeight="1" thickBot="1" x14ac:dyDescent="0.35">
      <c r="A36" s="48" t="s">
        <v>125</v>
      </c>
      <c r="B36" s="5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18"/>
      <c r="AH36" s="48" t="s">
        <v>125</v>
      </c>
      <c r="AI36" s="53">
        <f>COUNTIF(Mars[[#This Row],[1]:[31]],AI$6)</f>
        <v>0</v>
      </c>
      <c r="AJ36" s="53">
        <f>COUNTIF(Mars[[#This Row],[1]:[31]],AJ$6)/2</f>
        <v>0</v>
      </c>
      <c r="AK36" s="53">
        <f t="shared" si="14"/>
        <v>0</v>
      </c>
      <c r="AL36" s="53">
        <f>COUNTIF(Mars[[#This Row],[1]:[31]],AL$6)</f>
        <v>0</v>
      </c>
      <c r="AM36" s="53">
        <f>COUNTIF(Mars[[#This Row],[1]:[31]],AM$6)/2</f>
        <v>0</v>
      </c>
      <c r="AN36" s="53">
        <f t="shared" si="15"/>
        <v>0</v>
      </c>
      <c r="AO36" s="53">
        <f>COUNTIF(Mars[[#This Row],[1]:[31]],AO$6)</f>
        <v>0</v>
      </c>
      <c r="AP36" s="53">
        <f>COUNTIF(Mars[[#This Row],[1]:[31]],AP$6)</f>
        <v>0</v>
      </c>
      <c r="AQ36" s="53">
        <f>COUNTIF(Mars[[#This Row],[1]:[31]],AQ$6)</f>
        <v>0</v>
      </c>
      <c r="AR36" s="53">
        <f t="shared" si="16"/>
        <v>0</v>
      </c>
      <c r="AS36" s="53">
        <f>COUNTIF(Mars[[#This Row],[1]:[31]],AS$6)</f>
        <v>0</v>
      </c>
      <c r="AT36" s="53">
        <f>COUNTIF(Mars[[#This Row],[1]:[31]],AT$6)/2</f>
        <v>0</v>
      </c>
      <c r="AU36" s="53">
        <f t="shared" si="17"/>
        <v>0</v>
      </c>
      <c r="AV36" s="55">
        <f t="shared" si="18"/>
        <v>0</v>
      </c>
      <c r="AW36" s="84">
        <f t="shared" si="19"/>
        <v>0</v>
      </c>
    </row>
    <row r="38" spans="1:49" s="18" customFormat="1" ht="14.25" thickBot="1" x14ac:dyDescent="0.3">
      <c r="A38" s="19" t="s">
        <v>79</v>
      </c>
      <c r="B38" s="20" t="s">
        <v>27</v>
      </c>
      <c r="C38" s="21" t="s">
        <v>76</v>
      </c>
      <c r="E38" s="22" t="s">
        <v>80</v>
      </c>
      <c r="F38" s="23" t="s">
        <v>77</v>
      </c>
      <c r="G38" s="23"/>
      <c r="H38" s="24" t="s">
        <v>70</v>
      </c>
      <c r="I38" s="25" t="s">
        <v>3</v>
      </c>
      <c r="J38" s="23"/>
      <c r="K38" s="26" t="s">
        <v>81</v>
      </c>
      <c r="L38" s="27" t="s">
        <v>78</v>
      </c>
      <c r="M38" s="23"/>
      <c r="N38" s="28" t="s">
        <v>25</v>
      </c>
      <c r="O38" s="25" t="s">
        <v>28</v>
      </c>
      <c r="P38" s="25"/>
      <c r="Q38" s="29" t="s">
        <v>67</v>
      </c>
      <c r="R38" s="30" t="s">
        <v>66</v>
      </c>
      <c r="S38" s="30"/>
      <c r="T38" s="31" t="s">
        <v>84</v>
      </c>
      <c r="U38" s="23" t="s">
        <v>85</v>
      </c>
      <c r="V38" s="23"/>
      <c r="W38" s="23"/>
      <c r="X38" s="32" t="s">
        <v>68</v>
      </c>
      <c r="Y38" s="33" t="s">
        <v>69</v>
      </c>
      <c r="Z38" s="33"/>
      <c r="AA38" s="34" t="s">
        <v>83</v>
      </c>
      <c r="AB38" s="33" t="s">
        <v>86</v>
      </c>
      <c r="AC38" s="33"/>
      <c r="AD38" s="33"/>
      <c r="AE38" s="33"/>
      <c r="AF38" s="33"/>
      <c r="AW38" s="71"/>
    </row>
    <row r="39" spans="1:49" s="61" customFormat="1" ht="32.25" customHeight="1" x14ac:dyDescent="0.3">
      <c r="A39" s="126" t="s">
        <v>111</v>
      </c>
      <c r="B39" s="125"/>
      <c r="C39" s="125"/>
      <c r="D39" s="125"/>
      <c r="E39" s="125"/>
      <c r="F39" s="125"/>
      <c r="G39" s="125"/>
      <c r="H39" s="125"/>
      <c r="I39" s="125"/>
      <c r="J39" s="125"/>
      <c r="K39" s="125"/>
      <c r="L39" s="125"/>
      <c r="M39" s="125"/>
      <c r="N39" s="125"/>
      <c r="O39" s="125"/>
      <c r="P39" s="125"/>
      <c r="Q39" s="125"/>
      <c r="R39" s="125"/>
      <c r="S39" s="125"/>
      <c r="T39" s="125"/>
      <c r="U39" s="125"/>
      <c r="V39" s="125"/>
      <c r="W39" s="125"/>
      <c r="X39" s="125"/>
      <c r="Y39" s="125"/>
      <c r="Z39" s="125"/>
      <c r="AA39" s="125"/>
      <c r="AB39" s="125"/>
      <c r="AC39" s="125"/>
      <c r="AD39" s="125"/>
      <c r="AE39" s="125"/>
      <c r="AF39" s="125"/>
      <c r="AH39" s="125"/>
    </row>
    <row r="40" spans="1:49" ht="36.75" customHeight="1" thickBot="1" x14ac:dyDescent="0.35">
      <c r="A40" s="14" t="s">
        <v>12</v>
      </c>
      <c r="B40" s="140" t="s">
        <v>29</v>
      </c>
      <c r="C40" s="140"/>
      <c r="D40" s="140"/>
      <c r="E40" s="140"/>
      <c r="F40" s="140"/>
      <c r="G40" s="140"/>
      <c r="H40" s="140"/>
      <c r="I40" s="140"/>
      <c r="J40" s="140"/>
      <c r="K40" s="140"/>
      <c r="L40" s="140"/>
      <c r="M40" s="140"/>
      <c r="N40" s="140"/>
      <c r="O40" s="140"/>
      <c r="P40" s="140"/>
      <c r="Q40" s="140"/>
      <c r="R40" s="140"/>
      <c r="S40" s="140"/>
      <c r="T40" s="140"/>
      <c r="U40" s="140"/>
      <c r="V40" s="140"/>
      <c r="W40" s="140"/>
      <c r="X40" s="140"/>
      <c r="Y40" s="140"/>
      <c r="Z40" s="140"/>
      <c r="AA40" s="140"/>
      <c r="AB40" s="140"/>
      <c r="AC40" s="140"/>
      <c r="AD40" s="140"/>
      <c r="AE40" s="140"/>
      <c r="AF40" s="140"/>
      <c r="AG40" s="14"/>
      <c r="AH40" s="140" t="s">
        <v>91</v>
      </c>
      <c r="AI40" s="140"/>
      <c r="AJ40" s="140"/>
      <c r="AK40" s="140"/>
      <c r="AL40" s="140"/>
      <c r="AM40" s="140"/>
      <c r="AN40" s="140"/>
      <c r="AO40" s="140"/>
      <c r="AP40" s="140"/>
      <c r="AQ40" s="140"/>
      <c r="AR40" s="140"/>
      <c r="AS40" s="140"/>
      <c r="AT40" s="140"/>
      <c r="AU40" s="140"/>
      <c r="AV40" s="140"/>
      <c r="AW40" s="140"/>
    </row>
    <row r="41" spans="1:49" ht="18" thickTop="1" thickBot="1" x14ac:dyDescent="0.35">
      <c r="A41" s="35">
        <v>4</v>
      </c>
      <c r="B41" s="133">
        <f ca="1">DATE(RIGHT(CELL("nomfichier",A37),4),A41,1)</f>
        <v>43191</v>
      </c>
      <c r="C41" s="133">
        <f ca="1">B41+1</f>
        <v>43192</v>
      </c>
      <c r="D41" s="133">
        <f t="shared" ref="D41:AE41" ca="1" si="20">C41+1</f>
        <v>43193</v>
      </c>
      <c r="E41" s="133">
        <f t="shared" ca="1" si="20"/>
        <v>43194</v>
      </c>
      <c r="F41" s="133">
        <f t="shared" ca="1" si="20"/>
        <v>43195</v>
      </c>
      <c r="G41" s="133">
        <f t="shared" ca="1" si="20"/>
        <v>43196</v>
      </c>
      <c r="H41" s="133">
        <f t="shared" ca="1" si="20"/>
        <v>43197</v>
      </c>
      <c r="I41" s="133">
        <f t="shared" ca="1" si="20"/>
        <v>43198</v>
      </c>
      <c r="J41" s="133">
        <f t="shared" ca="1" si="20"/>
        <v>43199</v>
      </c>
      <c r="K41" s="133">
        <f t="shared" ca="1" si="20"/>
        <v>43200</v>
      </c>
      <c r="L41" s="133">
        <f t="shared" ca="1" si="20"/>
        <v>43201</v>
      </c>
      <c r="M41" s="133">
        <f t="shared" ca="1" si="20"/>
        <v>43202</v>
      </c>
      <c r="N41" s="133">
        <f t="shared" ca="1" si="20"/>
        <v>43203</v>
      </c>
      <c r="O41" s="133">
        <f t="shared" ca="1" si="20"/>
        <v>43204</v>
      </c>
      <c r="P41" s="133">
        <f t="shared" ca="1" si="20"/>
        <v>43205</v>
      </c>
      <c r="Q41" s="133">
        <f t="shared" ca="1" si="20"/>
        <v>43206</v>
      </c>
      <c r="R41" s="133">
        <f t="shared" ca="1" si="20"/>
        <v>43207</v>
      </c>
      <c r="S41" s="133">
        <f t="shared" ca="1" si="20"/>
        <v>43208</v>
      </c>
      <c r="T41" s="133">
        <f t="shared" ca="1" si="20"/>
        <v>43209</v>
      </c>
      <c r="U41" s="133">
        <f t="shared" ca="1" si="20"/>
        <v>43210</v>
      </c>
      <c r="V41" s="133">
        <f t="shared" ca="1" si="20"/>
        <v>43211</v>
      </c>
      <c r="W41" s="133">
        <f t="shared" ca="1" si="20"/>
        <v>43212</v>
      </c>
      <c r="X41" s="133">
        <f t="shared" ca="1" si="20"/>
        <v>43213</v>
      </c>
      <c r="Y41" s="133">
        <f t="shared" ca="1" si="20"/>
        <v>43214</v>
      </c>
      <c r="Z41" s="133">
        <f t="shared" ca="1" si="20"/>
        <v>43215</v>
      </c>
      <c r="AA41" s="133">
        <f t="shared" ca="1" si="20"/>
        <v>43216</v>
      </c>
      <c r="AB41" s="133">
        <f t="shared" ca="1" si="20"/>
        <v>43217</v>
      </c>
      <c r="AC41" s="133">
        <f t="shared" ca="1" si="20"/>
        <v>43218</v>
      </c>
      <c r="AD41" s="133">
        <f t="shared" ca="1" si="20"/>
        <v>43219</v>
      </c>
      <c r="AE41" s="133">
        <f t="shared" ca="1" si="20"/>
        <v>43220</v>
      </c>
      <c r="AF41" s="133"/>
      <c r="AG41" s="18"/>
      <c r="AH41" s="35">
        <v>4</v>
      </c>
      <c r="AI41" s="18"/>
      <c r="AJ41" s="18"/>
      <c r="AK41" s="18"/>
      <c r="AL41" s="18"/>
      <c r="AM41" s="18"/>
      <c r="AN41" s="18"/>
      <c r="AO41" s="18"/>
      <c r="AP41" s="18"/>
      <c r="AQ41" s="18"/>
      <c r="AR41" s="18"/>
      <c r="AS41" s="18"/>
      <c r="AT41" s="18"/>
      <c r="AU41" s="18"/>
      <c r="AV41" s="18"/>
      <c r="AW41" s="71"/>
    </row>
    <row r="42" spans="1:49" x14ac:dyDescent="0.3">
      <c r="A42" s="59" t="s">
        <v>24</v>
      </c>
      <c r="B42" s="56" t="s">
        <v>30</v>
      </c>
      <c r="C42" s="56" t="s">
        <v>31</v>
      </c>
      <c r="D42" s="56" t="s">
        <v>32</v>
      </c>
      <c r="E42" s="56" t="s">
        <v>33</v>
      </c>
      <c r="F42" s="56" t="s">
        <v>34</v>
      </c>
      <c r="G42" s="56" t="s">
        <v>35</v>
      </c>
      <c r="H42" s="56" t="s">
        <v>36</v>
      </c>
      <c r="I42" s="56" t="s">
        <v>37</v>
      </c>
      <c r="J42" s="56" t="s">
        <v>38</v>
      </c>
      <c r="K42" s="56" t="s">
        <v>39</v>
      </c>
      <c r="L42" s="56" t="s">
        <v>40</v>
      </c>
      <c r="M42" s="56" t="s">
        <v>41</v>
      </c>
      <c r="N42" s="56" t="s">
        <v>42</v>
      </c>
      <c r="O42" s="56" t="s">
        <v>43</v>
      </c>
      <c r="P42" s="56" t="s">
        <v>44</v>
      </c>
      <c r="Q42" s="56" t="s">
        <v>45</v>
      </c>
      <c r="R42" s="56" t="s">
        <v>46</v>
      </c>
      <c r="S42" s="56" t="s">
        <v>47</v>
      </c>
      <c r="T42" s="56" t="s">
        <v>48</v>
      </c>
      <c r="U42" s="56" t="s">
        <v>49</v>
      </c>
      <c r="V42" s="56" t="s">
        <v>50</v>
      </c>
      <c r="W42" s="56" t="s">
        <v>51</v>
      </c>
      <c r="X42" s="56" t="s">
        <v>52</v>
      </c>
      <c r="Y42" s="56" t="s">
        <v>53</v>
      </c>
      <c r="Z42" s="56" t="s">
        <v>54</v>
      </c>
      <c r="AA42" s="56" t="s">
        <v>55</v>
      </c>
      <c r="AB42" s="56" t="s">
        <v>56</v>
      </c>
      <c r="AC42" s="56" t="s">
        <v>57</v>
      </c>
      <c r="AD42" s="60" t="s">
        <v>58</v>
      </c>
      <c r="AE42" s="60" t="s">
        <v>59</v>
      </c>
      <c r="AF42" s="57" t="s">
        <v>60</v>
      </c>
      <c r="AG42" s="18"/>
      <c r="AH42" s="59" t="s">
        <v>24</v>
      </c>
      <c r="AI42" s="40" t="s">
        <v>27</v>
      </c>
      <c r="AJ42" s="41" t="s">
        <v>80</v>
      </c>
      <c r="AK42" s="20" t="s">
        <v>76</v>
      </c>
      <c r="AL42" s="42" t="s">
        <v>70</v>
      </c>
      <c r="AM42" s="43" t="s">
        <v>81</v>
      </c>
      <c r="AN42" s="24" t="s">
        <v>3</v>
      </c>
      <c r="AO42" s="44" t="s">
        <v>25</v>
      </c>
      <c r="AP42" s="45" t="s">
        <v>67</v>
      </c>
      <c r="AQ42" s="31" t="s">
        <v>84</v>
      </c>
      <c r="AR42" s="70" t="s">
        <v>101</v>
      </c>
      <c r="AS42" s="46" t="s">
        <v>68</v>
      </c>
      <c r="AT42" s="34" t="s">
        <v>83</v>
      </c>
      <c r="AU42" s="64" t="s">
        <v>69</v>
      </c>
      <c r="AV42" s="58" t="s">
        <v>1</v>
      </c>
      <c r="AW42" s="81" t="s">
        <v>92</v>
      </c>
    </row>
    <row r="43" spans="1:49" ht="20.100000000000001" customHeight="1" x14ac:dyDescent="0.3">
      <c r="A43" s="48" t="s">
        <v>120</v>
      </c>
      <c r="B43" s="50"/>
      <c r="C43" s="50"/>
      <c r="D43" s="50"/>
      <c r="E43" s="50"/>
      <c r="F43" s="50"/>
      <c r="G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18"/>
      <c r="AH43" s="48" t="s">
        <v>120</v>
      </c>
      <c r="AI43" s="51">
        <f>COUNTIF(Avril[[#This Row],[1]:[31]],AI$6)</f>
        <v>0</v>
      </c>
      <c r="AJ43" s="51">
        <f>COUNTIF(Avril[[#This Row],[1]:[31]],AJ$6)/2</f>
        <v>0</v>
      </c>
      <c r="AK43" s="51">
        <f>SUM(AI43:AJ43)</f>
        <v>0</v>
      </c>
      <c r="AL43" s="51">
        <f>COUNTIF(Avril[[#This Row],[1]:[31]],AL$6)</f>
        <v>0</v>
      </c>
      <c r="AM43" s="51">
        <f>COUNTIF(Avril[[#This Row],[1]:[31]],AM$6)/2</f>
        <v>0</v>
      </c>
      <c r="AN43" s="51">
        <f>SUM(AL43:AM43)</f>
        <v>0</v>
      </c>
      <c r="AO43" s="51">
        <f>COUNTIF(Avril[[#This Row],[1]:[31]],AO$6)</f>
        <v>0</v>
      </c>
      <c r="AP43" s="51">
        <f>COUNTIF(Avril[[#This Row],[1]:[31]],AP$6)</f>
        <v>0</v>
      </c>
      <c r="AQ43" s="51">
        <f>COUNTIF(Avril[[#This Row],[1]:[31]],AQ$6)/2</f>
        <v>0</v>
      </c>
      <c r="AR43" s="51">
        <f>SUM(AP43:AQ43)</f>
        <v>0</v>
      </c>
      <c r="AS43" s="51">
        <f>COUNTIF(Avril[[#This Row],[1]:[31]],AS$6)</f>
        <v>0</v>
      </c>
      <c r="AT43" s="51">
        <f>COUNTIF(Avril[[#This Row],[1]:[31]],AT$6)/2</f>
        <v>0</v>
      </c>
      <c r="AU43" s="51">
        <f>SUM(AS43:AT43)</f>
        <v>0</v>
      </c>
      <c r="AV43" s="52">
        <f>AK43+AN43+AO43+AR43+AU43</f>
        <v>0</v>
      </c>
      <c r="AW43" s="82">
        <f>COUNTA(V31,AF31,W31,X31,Y31,Z31,AA31,AB31,AC31,AD31,AE31,B43:U43)</f>
        <v>0</v>
      </c>
    </row>
    <row r="44" spans="1:49" ht="20.100000000000001" customHeight="1" x14ac:dyDescent="0.3">
      <c r="A44" s="48" t="s">
        <v>121</v>
      </c>
      <c r="B44" s="50"/>
      <c r="C44" s="50"/>
      <c r="D44" s="50"/>
      <c r="E44" s="50"/>
      <c r="F44" s="50"/>
      <c r="G44" s="50"/>
      <c r="H44" s="50"/>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18"/>
      <c r="AH44" s="48" t="s">
        <v>121</v>
      </c>
      <c r="AI44" s="53">
        <f>COUNTIF(Avril[[#This Row],[1]:[31]],AI$6)</f>
        <v>0</v>
      </c>
      <c r="AJ44" s="53">
        <f>COUNTIF(Avril[[#This Row],[1]:[31]],AJ$6)/2</f>
        <v>0</v>
      </c>
      <c r="AK44" s="53">
        <f t="shared" ref="AK44:AK48" si="21">SUM(AI44:AJ44)</f>
        <v>0</v>
      </c>
      <c r="AL44" s="53">
        <f>COUNTIF(Avril[[#This Row],[1]:[31]],AL$6)</f>
        <v>0</v>
      </c>
      <c r="AM44" s="53">
        <f>COUNTIF(Avril[[#This Row],[1]:[31]],AM$6)/2</f>
        <v>0</v>
      </c>
      <c r="AN44" s="53">
        <f t="shared" ref="AN44:AN48" si="22">SUM(AL44:AM44)</f>
        <v>0</v>
      </c>
      <c r="AO44" s="53">
        <f>COUNTIF(Avril[[#This Row],[1]:[31]],AO$6)</f>
        <v>0</v>
      </c>
      <c r="AP44" s="53">
        <f>COUNTIF(Avril[[#This Row],[1]:[31]],AP$6)</f>
        <v>0</v>
      </c>
      <c r="AQ44" s="53">
        <f>COUNTIF(Avril[[#This Row],[1]:[31]],AQ$6)/2</f>
        <v>0</v>
      </c>
      <c r="AR44" s="53">
        <f t="shared" ref="AR44:AR48" si="23">SUM(AP44:AQ44)</f>
        <v>0</v>
      </c>
      <c r="AS44" s="53">
        <f>COUNTIF(Avril[[#This Row],[1]:[31]],AS$6)</f>
        <v>0</v>
      </c>
      <c r="AT44" s="53">
        <f>COUNTIF(Avril[[#This Row],[1]:[31]],AT$6)/2</f>
        <v>0</v>
      </c>
      <c r="AU44" s="53">
        <f t="shared" ref="AU44:AU48" si="24">SUM(AS44:AT44)</f>
        <v>0</v>
      </c>
      <c r="AV44" s="54">
        <f t="shared" ref="AV44:AV48" si="25">AK44+AN44+AO44+AR44+AU44</f>
        <v>0</v>
      </c>
      <c r="AW44" s="83">
        <f t="shared" ref="AW44:AW48" si="26">COUNTA(V32,AF32,W32,X32,Y32,Z32,AA32,AB32,AC32,AD32,AE32,B44:U44)</f>
        <v>0</v>
      </c>
    </row>
    <row r="45" spans="1:49" ht="20.100000000000001" customHeight="1" x14ac:dyDescent="0.3">
      <c r="A45" s="48" t="s">
        <v>122</v>
      </c>
      <c r="B45" s="50"/>
      <c r="C45" s="50"/>
      <c r="D45" s="50"/>
      <c r="E45" s="50"/>
      <c r="F45" s="50"/>
      <c r="G45" s="50"/>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18"/>
      <c r="AH45" s="48" t="s">
        <v>122</v>
      </c>
      <c r="AI45" s="51">
        <f>COUNTIF(Avril[[#This Row],[1]:[31]],AI$6)</f>
        <v>0</v>
      </c>
      <c r="AJ45" s="51">
        <f>COUNTIF(Avril[[#This Row],[1]:[31]],AJ$6)/2</f>
        <v>0</v>
      </c>
      <c r="AK45" s="51">
        <f t="shared" si="21"/>
        <v>0</v>
      </c>
      <c r="AL45" s="51">
        <f>COUNTIF(Avril[[#This Row],[1]:[31]],AL$6)</f>
        <v>0</v>
      </c>
      <c r="AM45" s="51">
        <f>COUNTIF(Avril[[#This Row],[1]:[31]],AM$6)/2</f>
        <v>0</v>
      </c>
      <c r="AN45" s="51">
        <f t="shared" si="22"/>
        <v>0</v>
      </c>
      <c r="AO45" s="51">
        <f>COUNTIF(Avril[[#This Row],[1]:[31]],AO$6)</f>
        <v>0</v>
      </c>
      <c r="AP45" s="51">
        <f>COUNTIF(Avril[[#This Row],[1]:[31]],AP$6)</f>
        <v>0</v>
      </c>
      <c r="AQ45" s="51">
        <f>COUNTIF(Avril[[#This Row],[1]:[31]],AQ$6)/2</f>
        <v>0</v>
      </c>
      <c r="AR45" s="51">
        <f t="shared" si="23"/>
        <v>0</v>
      </c>
      <c r="AS45" s="51">
        <f>COUNTIF(Avril[[#This Row],[1]:[31]],AS$6)</f>
        <v>0</v>
      </c>
      <c r="AT45" s="51">
        <f>COUNTIF(Avril[[#This Row],[1]:[31]],AT$6)/2</f>
        <v>0</v>
      </c>
      <c r="AU45" s="51">
        <f t="shared" si="24"/>
        <v>0</v>
      </c>
      <c r="AV45" s="52">
        <f t="shared" si="25"/>
        <v>0</v>
      </c>
      <c r="AW45" s="82">
        <f t="shared" si="26"/>
        <v>0</v>
      </c>
    </row>
    <row r="46" spans="1:49" ht="20.100000000000001" customHeight="1" x14ac:dyDescent="0.3">
      <c r="A46" s="48" t="s">
        <v>123</v>
      </c>
      <c r="B46" s="50"/>
      <c r="C46" s="50"/>
      <c r="D46" s="50"/>
      <c r="E46" s="50"/>
      <c r="F46" s="50"/>
      <c r="G46" s="50"/>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18"/>
      <c r="AH46" s="48" t="s">
        <v>123</v>
      </c>
      <c r="AI46" s="53">
        <f>COUNTIF(Avril[[#This Row],[1]:[31]],AI$6)</f>
        <v>0</v>
      </c>
      <c r="AJ46" s="53">
        <f>COUNTIF(Avril[[#This Row],[1]:[31]],AJ$6)/2</f>
        <v>0</v>
      </c>
      <c r="AK46" s="53">
        <f t="shared" si="21"/>
        <v>0</v>
      </c>
      <c r="AL46" s="53">
        <f>COUNTIF(Avril[[#This Row],[1]:[31]],AL$6)</f>
        <v>0</v>
      </c>
      <c r="AM46" s="53">
        <f>COUNTIF(Avril[[#This Row],[1]:[31]],AM$6)/2</f>
        <v>0</v>
      </c>
      <c r="AN46" s="53">
        <f t="shared" si="22"/>
        <v>0</v>
      </c>
      <c r="AO46" s="53">
        <f>COUNTIF(Avril[[#This Row],[1]:[31]],AO$6)</f>
        <v>0</v>
      </c>
      <c r="AP46" s="53">
        <f>COUNTIF(Avril[[#This Row],[1]:[31]],AP$6)</f>
        <v>0</v>
      </c>
      <c r="AQ46" s="53">
        <f>COUNTIF(Avril[[#This Row],[1]:[31]],AQ$6)/2</f>
        <v>0</v>
      </c>
      <c r="AR46" s="53">
        <f t="shared" si="23"/>
        <v>0</v>
      </c>
      <c r="AS46" s="53">
        <f>COUNTIF(Avril[[#This Row],[1]:[31]],AS$6)</f>
        <v>0</v>
      </c>
      <c r="AT46" s="53">
        <f>COUNTIF(Avril[[#This Row],[1]:[31]],AT$6)/2</f>
        <v>0</v>
      </c>
      <c r="AU46" s="53">
        <f t="shared" si="24"/>
        <v>0</v>
      </c>
      <c r="AV46" s="54">
        <f t="shared" si="25"/>
        <v>0</v>
      </c>
      <c r="AW46" s="83">
        <f t="shared" si="26"/>
        <v>0</v>
      </c>
    </row>
    <row r="47" spans="1:49" ht="20.100000000000001" customHeight="1" x14ac:dyDescent="0.3">
      <c r="A47" s="48" t="s">
        <v>124</v>
      </c>
      <c r="B47" s="50"/>
      <c r="C47" s="50"/>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18"/>
      <c r="AH47" s="48" t="s">
        <v>124</v>
      </c>
      <c r="AI47" s="51">
        <f>COUNTIF(Avril[[#This Row],[1]:[31]],AI$6)</f>
        <v>0</v>
      </c>
      <c r="AJ47" s="51">
        <f>COUNTIF(Avril[[#This Row],[1]:[31]],AJ$6)/2</f>
        <v>0</v>
      </c>
      <c r="AK47" s="51">
        <f t="shared" si="21"/>
        <v>0</v>
      </c>
      <c r="AL47" s="51">
        <f>COUNTIF(Avril[[#This Row],[1]:[31]],AL$6)</f>
        <v>0</v>
      </c>
      <c r="AM47" s="51">
        <f>COUNTIF(Avril[[#This Row],[1]:[31]],AM$6)/2</f>
        <v>0</v>
      </c>
      <c r="AN47" s="51">
        <f t="shared" si="22"/>
        <v>0</v>
      </c>
      <c r="AO47" s="51">
        <f>COUNTIF(Avril[[#This Row],[1]:[31]],AO$6)</f>
        <v>0</v>
      </c>
      <c r="AP47" s="51">
        <f>COUNTIF(Avril[[#This Row],[1]:[31]],AP$6)</f>
        <v>0</v>
      </c>
      <c r="AQ47" s="51">
        <f>COUNTIF(Avril[[#This Row],[1]:[31]],AQ$6)/2</f>
        <v>0</v>
      </c>
      <c r="AR47" s="51">
        <f t="shared" si="23"/>
        <v>0</v>
      </c>
      <c r="AS47" s="51">
        <f>COUNTIF(Avril[[#This Row],[1]:[31]],AS$6)</f>
        <v>0</v>
      </c>
      <c r="AT47" s="51">
        <f>COUNTIF(Avril[[#This Row],[1]:[31]],AT$6)/2</f>
        <v>0</v>
      </c>
      <c r="AU47" s="51">
        <f t="shared" si="24"/>
        <v>0</v>
      </c>
      <c r="AV47" s="52">
        <f t="shared" si="25"/>
        <v>0</v>
      </c>
      <c r="AW47" s="82">
        <f t="shared" si="26"/>
        <v>0</v>
      </c>
    </row>
    <row r="48" spans="1:49" ht="20.100000000000001" customHeight="1" thickBot="1" x14ac:dyDescent="0.35">
      <c r="A48" s="48" t="s">
        <v>125</v>
      </c>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18"/>
      <c r="AH48" s="48" t="s">
        <v>125</v>
      </c>
      <c r="AI48" s="53">
        <f>COUNTIF(Avril[[#This Row],[1]:[31]],AI$6)</f>
        <v>0</v>
      </c>
      <c r="AJ48" s="53">
        <f>COUNTIF(Avril[[#This Row],[1]:[31]],AJ$6)/2</f>
        <v>0</v>
      </c>
      <c r="AK48" s="53">
        <f t="shared" si="21"/>
        <v>0</v>
      </c>
      <c r="AL48" s="53">
        <f>COUNTIF(Avril[[#This Row],[1]:[31]],AL$6)</f>
        <v>0</v>
      </c>
      <c r="AM48" s="53">
        <f>COUNTIF(Avril[[#This Row],[1]:[31]],AM$6)/2</f>
        <v>0</v>
      </c>
      <c r="AN48" s="53">
        <f t="shared" si="22"/>
        <v>0</v>
      </c>
      <c r="AO48" s="53">
        <f>COUNTIF(Avril[[#This Row],[1]:[31]],AO$6)</f>
        <v>0</v>
      </c>
      <c r="AP48" s="53">
        <f>COUNTIF(Avril[[#This Row],[1]:[31]],AP$6)</f>
        <v>0</v>
      </c>
      <c r="AQ48" s="53">
        <f>COUNTIF(Avril[[#This Row],[1]:[31]],AQ$6)/2</f>
        <v>0</v>
      </c>
      <c r="AR48" s="53">
        <f t="shared" si="23"/>
        <v>0</v>
      </c>
      <c r="AS48" s="53">
        <f>COUNTIF(Avril[[#This Row],[1]:[31]],AS$6)</f>
        <v>0</v>
      </c>
      <c r="AT48" s="53">
        <f>COUNTIF(Avril[[#This Row],[1]:[31]],AT$6)/2</f>
        <v>0</v>
      </c>
      <c r="AU48" s="53">
        <f t="shared" si="24"/>
        <v>0</v>
      </c>
      <c r="AV48" s="55">
        <f t="shared" si="25"/>
        <v>0</v>
      </c>
      <c r="AW48" s="84">
        <f t="shared" si="26"/>
        <v>0</v>
      </c>
    </row>
    <row r="50" spans="1:49" s="18" customFormat="1" ht="14.25" thickBot="1" x14ac:dyDescent="0.3">
      <c r="A50" s="19" t="s">
        <v>79</v>
      </c>
      <c r="B50" s="20" t="s">
        <v>27</v>
      </c>
      <c r="C50" s="21" t="s">
        <v>76</v>
      </c>
      <c r="E50" s="22" t="s">
        <v>80</v>
      </c>
      <c r="F50" s="23" t="s">
        <v>77</v>
      </c>
      <c r="G50" s="23"/>
      <c r="H50" s="24" t="s">
        <v>70</v>
      </c>
      <c r="I50" s="25" t="s">
        <v>3</v>
      </c>
      <c r="J50" s="23"/>
      <c r="K50" s="26" t="s">
        <v>81</v>
      </c>
      <c r="L50" s="27" t="s">
        <v>78</v>
      </c>
      <c r="M50" s="23"/>
      <c r="N50" s="28" t="s">
        <v>25</v>
      </c>
      <c r="O50" s="25" t="s">
        <v>28</v>
      </c>
      <c r="P50" s="25"/>
      <c r="Q50" s="29" t="s">
        <v>67</v>
      </c>
      <c r="R50" s="30" t="s">
        <v>66</v>
      </c>
      <c r="S50" s="30"/>
      <c r="T50" s="31" t="s">
        <v>84</v>
      </c>
      <c r="U50" s="23" t="s">
        <v>85</v>
      </c>
      <c r="V50" s="23"/>
      <c r="W50" s="23"/>
      <c r="X50" s="32" t="s">
        <v>68</v>
      </c>
      <c r="Y50" s="33" t="s">
        <v>69</v>
      </c>
      <c r="Z50" s="33"/>
      <c r="AA50" s="34" t="s">
        <v>83</v>
      </c>
      <c r="AB50" s="33" t="s">
        <v>86</v>
      </c>
      <c r="AC50" s="33"/>
      <c r="AD50" s="33"/>
      <c r="AE50" s="33"/>
      <c r="AF50" s="33"/>
      <c r="AW50" s="71"/>
    </row>
    <row r="51" spans="1:49" s="61" customFormat="1" ht="32.25" customHeight="1" x14ac:dyDescent="0.3">
      <c r="A51" s="126" t="s">
        <v>111</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c r="AF51" s="125"/>
      <c r="AH51" s="125"/>
    </row>
    <row r="52" spans="1:49" ht="36.75" customHeight="1" thickBot="1" x14ac:dyDescent="0.35">
      <c r="A52" s="14" t="s">
        <v>13</v>
      </c>
      <c r="B52" s="140" t="s">
        <v>29</v>
      </c>
      <c r="C52" s="140"/>
      <c r="D52" s="140"/>
      <c r="E52" s="140"/>
      <c r="F52" s="140"/>
      <c r="G52" s="140"/>
      <c r="H52" s="140"/>
      <c r="I52" s="140"/>
      <c r="J52" s="140"/>
      <c r="K52" s="140"/>
      <c r="L52" s="140"/>
      <c r="M52" s="140"/>
      <c r="N52" s="140"/>
      <c r="O52" s="140"/>
      <c r="P52" s="140"/>
      <c r="Q52" s="140"/>
      <c r="R52" s="140"/>
      <c r="S52" s="140"/>
      <c r="T52" s="140"/>
      <c r="U52" s="140"/>
      <c r="V52" s="140"/>
      <c r="W52" s="140"/>
      <c r="X52" s="140"/>
      <c r="Y52" s="140"/>
      <c r="Z52" s="140"/>
      <c r="AA52" s="140"/>
      <c r="AB52" s="140"/>
      <c r="AC52" s="140"/>
      <c r="AD52" s="140"/>
      <c r="AE52" s="140"/>
      <c r="AF52" s="140"/>
      <c r="AG52" s="14"/>
      <c r="AH52" s="140" t="s">
        <v>91</v>
      </c>
      <c r="AI52" s="140"/>
      <c r="AJ52" s="140"/>
      <c r="AK52" s="140"/>
      <c r="AL52" s="140"/>
      <c r="AM52" s="140"/>
      <c r="AN52" s="140"/>
      <c r="AO52" s="140"/>
      <c r="AP52" s="140"/>
      <c r="AQ52" s="140"/>
      <c r="AR52" s="140"/>
      <c r="AS52" s="140"/>
      <c r="AT52" s="140"/>
      <c r="AU52" s="140"/>
      <c r="AV52" s="140"/>
      <c r="AW52" s="140"/>
    </row>
    <row r="53" spans="1:49" ht="18" thickTop="1" thickBot="1" x14ac:dyDescent="0.35">
      <c r="A53" s="35">
        <v>5</v>
      </c>
      <c r="B53" s="133">
        <f ca="1">DATE(RIGHT(CELL("nomfichier",A49),4),A53,1)</f>
        <v>43221</v>
      </c>
      <c r="C53" s="133">
        <f ca="1">B53+1</f>
        <v>43222</v>
      </c>
      <c r="D53" s="133">
        <f t="shared" ref="D53:AF53" ca="1" si="27">C53+1</f>
        <v>43223</v>
      </c>
      <c r="E53" s="133">
        <f t="shared" ca="1" si="27"/>
        <v>43224</v>
      </c>
      <c r="F53" s="133">
        <f t="shared" ca="1" si="27"/>
        <v>43225</v>
      </c>
      <c r="G53" s="133">
        <f t="shared" ca="1" si="27"/>
        <v>43226</v>
      </c>
      <c r="H53" s="133">
        <f t="shared" ca="1" si="27"/>
        <v>43227</v>
      </c>
      <c r="I53" s="133">
        <f t="shared" ca="1" si="27"/>
        <v>43228</v>
      </c>
      <c r="J53" s="133">
        <f t="shared" ca="1" si="27"/>
        <v>43229</v>
      </c>
      <c r="K53" s="133">
        <f t="shared" ca="1" si="27"/>
        <v>43230</v>
      </c>
      <c r="L53" s="133">
        <f t="shared" ca="1" si="27"/>
        <v>43231</v>
      </c>
      <c r="M53" s="133">
        <f t="shared" ca="1" si="27"/>
        <v>43232</v>
      </c>
      <c r="N53" s="133">
        <f t="shared" ca="1" si="27"/>
        <v>43233</v>
      </c>
      <c r="O53" s="133">
        <f t="shared" ca="1" si="27"/>
        <v>43234</v>
      </c>
      <c r="P53" s="133">
        <f t="shared" ca="1" si="27"/>
        <v>43235</v>
      </c>
      <c r="Q53" s="133">
        <f t="shared" ca="1" si="27"/>
        <v>43236</v>
      </c>
      <c r="R53" s="133">
        <f t="shared" ca="1" si="27"/>
        <v>43237</v>
      </c>
      <c r="S53" s="133">
        <f t="shared" ca="1" si="27"/>
        <v>43238</v>
      </c>
      <c r="T53" s="133">
        <f t="shared" ca="1" si="27"/>
        <v>43239</v>
      </c>
      <c r="U53" s="133">
        <f t="shared" ca="1" si="27"/>
        <v>43240</v>
      </c>
      <c r="V53" s="133">
        <f t="shared" ca="1" si="27"/>
        <v>43241</v>
      </c>
      <c r="W53" s="133">
        <f t="shared" ca="1" si="27"/>
        <v>43242</v>
      </c>
      <c r="X53" s="133">
        <f t="shared" ca="1" si="27"/>
        <v>43243</v>
      </c>
      <c r="Y53" s="133">
        <f t="shared" ca="1" si="27"/>
        <v>43244</v>
      </c>
      <c r="Z53" s="133">
        <f t="shared" ca="1" si="27"/>
        <v>43245</v>
      </c>
      <c r="AA53" s="133">
        <f t="shared" ca="1" si="27"/>
        <v>43246</v>
      </c>
      <c r="AB53" s="133">
        <f t="shared" ca="1" si="27"/>
        <v>43247</v>
      </c>
      <c r="AC53" s="133">
        <f t="shared" ca="1" si="27"/>
        <v>43248</v>
      </c>
      <c r="AD53" s="133">
        <f t="shared" ca="1" si="27"/>
        <v>43249</v>
      </c>
      <c r="AE53" s="133">
        <f t="shared" ca="1" si="27"/>
        <v>43250</v>
      </c>
      <c r="AF53" s="133">
        <f t="shared" ca="1" si="27"/>
        <v>43251</v>
      </c>
      <c r="AG53" s="18"/>
      <c r="AH53" s="35">
        <v>5</v>
      </c>
      <c r="AI53" s="18"/>
      <c r="AJ53" s="18"/>
      <c r="AK53" s="18"/>
      <c r="AL53" s="18"/>
      <c r="AM53" s="18"/>
      <c r="AN53" s="18"/>
      <c r="AO53" s="18"/>
      <c r="AP53" s="18"/>
      <c r="AQ53" s="18"/>
      <c r="AR53" s="18"/>
      <c r="AS53" s="18"/>
      <c r="AT53" s="18"/>
      <c r="AU53" s="18"/>
      <c r="AV53" s="18"/>
      <c r="AW53" s="71"/>
    </row>
    <row r="54" spans="1:49" x14ac:dyDescent="0.3">
      <c r="A54" s="59" t="s">
        <v>24</v>
      </c>
      <c r="B54" s="56" t="s">
        <v>30</v>
      </c>
      <c r="C54" s="56" t="s">
        <v>31</v>
      </c>
      <c r="D54" s="56" t="s">
        <v>32</v>
      </c>
      <c r="E54" s="56" t="s">
        <v>33</v>
      </c>
      <c r="F54" s="56" t="s">
        <v>34</v>
      </c>
      <c r="G54" s="56" t="s">
        <v>35</v>
      </c>
      <c r="H54" s="56" t="s">
        <v>36</v>
      </c>
      <c r="I54" s="56" t="s">
        <v>37</v>
      </c>
      <c r="J54" s="56" t="s">
        <v>38</v>
      </c>
      <c r="K54" s="56" t="s">
        <v>39</v>
      </c>
      <c r="L54" s="56" t="s">
        <v>40</v>
      </c>
      <c r="M54" s="56" t="s">
        <v>41</v>
      </c>
      <c r="N54" s="56" t="s">
        <v>42</v>
      </c>
      <c r="O54" s="56" t="s">
        <v>43</v>
      </c>
      <c r="P54" s="56" t="s">
        <v>44</v>
      </c>
      <c r="Q54" s="56" t="s">
        <v>45</v>
      </c>
      <c r="R54" s="56" t="s">
        <v>46</v>
      </c>
      <c r="S54" s="56" t="s">
        <v>47</v>
      </c>
      <c r="T54" s="56" t="s">
        <v>48</v>
      </c>
      <c r="U54" s="56" t="s">
        <v>49</v>
      </c>
      <c r="V54" s="56" t="s">
        <v>50</v>
      </c>
      <c r="W54" s="56" t="s">
        <v>51</v>
      </c>
      <c r="X54" s="56" t="s">
        <v>52</v>
      </c>
      <c r="Y54" s="56" t="s">
        <v>53</v>
      </c>
      <c r="Z54" s="56" t="s">
        <v>54</v>
      </c>
      <c r="AA54" s="56" t="s">
        <v>55</v>
      </c>
      <c r="AB54" s="56" t="s">
        <v>56</v>
      </c>
      <c r="AC54" s="56" t="s">
        <v>57</v>
      </c>
      <c r="AD54" s="60" t="s">
        <v>58</v>
      </c>
      <c r="AE54" s="60" t="s">
        <v>59</v>
      </c>
      <c r="AF54" s="60" t="s">
        <v>60</v>
      </c>
      <c r="AG54" s="18"/>
      <c r="AH54" s="59" t="s">
        <v>24</v>
      </c>
      <c r="AI54" s="40" t="s">
        <v>27</v>
      </c>
      <c r="AJ54" s="41" t="s">
        <v>80</v>
      </c>
      <c r="AK54" s="20" t="s">
        <v>76</v>
      </c>
      <c r="AL54" s="42" t="s">
        <v>70</v>
      </c>
      <c r="AM54" s="43" t="s">
        <v>81</v>
      </c>
      <c r="AN54" s="24" t="s">
        <v>3</v>
      </c>
      <c r="AO54" s="44" t="s">
        <v>25</v>
      </c>
      <c r="AP54" s="45" t="s">
        <v>67</v>
      </c>
      <c r="AQ54" s="31" t="s">
        <v>84</v>
      </c>
      <c r="AR54" s="70" t="s">
        <v>101</v>
      </c>
      <c r="AS54" s="46" t="s">
        <v>68</v>
      </c>
      <c r="AT54" s="34" t="s">
        <v>83</v>
      </c>
      <c r="AU54" s="64" t="s">
        <v>69</v>
      </c>
      <c r="AV54" s="58" t="s">
        <v>1</v>
      </c>
      <c r="AW54" s="81" t="s">
        <v>92</v>
      </c>
    </row>
    <row r="55" spans="1:49" ht="20.100000000000001" customHeight="1" x14ac:dyDescent="0.3">
      <c r="A55" s="48" t="s">
        <v>120</v>
      </c>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18"/>
      <c r="AH55" s="48" t="s">
        <v>120</v>
      </c>
      <c r="AI55" s="51">
        <f>COUNTIF(Mai[[#This Row],[1]:[31]],AI$6)</f>
        <v>0</v>
      </c>
      <c r="AJ55" s="51">
        <f>COUNTIF(Mai[[#This Row],[1]:[31]],AJ$6)/2</f>
        <v>0</v>
      </c>
      <c r="AK55" s="51">
        <f>SUM(AI55:AJ55)</f>
        <v>0</v>
      </c>
      <c r="AL55" s="51">
        <f>COUNTIF(Mai[[#This Row],[1]:[31]],AL$6)</f>
        <v>0</v>
      </c>
      <c r="AM55" s="51">
        <f>COUNTIF(Mai[[#This Row],[1]:[31]],AM$6)/2</f>
        <v>0</v>
      </c>
      <c r="AN55" s="51">
        <f>SUM(AL55:AM55)</f>
        <v>0</v>
      </c>
      <c r="AO55" s="51">
        <f>COUNTIF(Mai[[#This Row],[1]:[31]],AO$6)</f>
        <v>0</v>
      </c>
      <c r="AP55" s="51">
        <f>COUNTIF(Mai[[#This Row],[1]:[31]],AP$6)</f>
        <v>0</v>
      </c>
      <c r="AQ55" s="51">
        <f>COUNTIF(Mai[[#This Row],[1]:[31]],AQ$6)/2</f>
        <v>0</v>
      </c>
      <c r="AR55" s="51">
        <f>SUM(AP55:AQ55)</f>
        <v>0</v>
      </c>
      <c r="AS55" s="51">
        <f>COUNTIF(Mai[[#This Row],[1]:[31]],AS$6)</f>
        <v>0</v>
      </c>
      <c r="AT55" s="51">
        <f>COUNTIF(Mai[[#This Row],[1]:[31]],AT$6)/2</f>
        <v>0</v>
      </c>
      <c r="AU55" s="51">
        <f>SUM(AS55:AT55)</f>
        <v>0</v>
      </c>
      <c r="AV55" s="52">
        <f>AK55+AN55+AO55+AR55+AU55</f>
        <v>0</v>
      </c>
      <c r="AW55" s="82">
        <f>COUNTA(V43,AF43,W43,X43,Y43,Z43,AA43,AB43,AC43,AD43,AE43,B55:U55)</f>
        <v>0</v>
      </c>
    </row>
    <row r="56" spans="1:49" ht="20.100000000000001" customHeight="1" x14ac:dyDescent="0.3">
      <c r="A56" s="48" t="s">
        <v>121</v>
      </c>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18"/>
      <c r="AH56" s="48" t="s">
        <v>121</v>
      </c>
      <c r="AI56" s="53">
        <f>COUNTIF(Mai[[#This Row],[1]:[31]],AI$6)</f>
        <v>0</v>
      </c>
      <c r="AJ56" s="53">
        <f>COUNTIF(Mai[[#This Row],[1]:[31]],AJ$6)/2</f>
        <v>0</v>
      </c>
      <c r="AK56" s="53">
        <f t="shared" ref="AK56:AK60" si="28">SUM(AI56:AJ56)</f>
        <v>0</v>
      </c>
      <c r="AL56" s="53">
        <f>COUNTIF(Mai[[#This Row],[1]:[31]],AL$6)</f>
        <v>0</v>
      </c>
      <c r="AM56" s="53">
        <f>COUNTIF(Mai[[#This Row],[1]:[31]],AM$6)/2</f>
        <v>0</v>
      </c>
      <c r="AN56" s="53">
        <f t="shared" ref="AN56:AN60" si="29">SUM(AL56:AM56)</f>
        <v>0</v>
      </c>
      <c r="AO56" s="53">
        <f>COUNTIF(Mai[[#This Row],[1]:[31]],AO$6)</f>
        <v>0</v>
      </c>
      <c r="AP56" s="53">
        <f>COUNTIF(Mai[[#This Row],[1]:[31]],AP$6)</f>
        <v>0</v>
      </c>
      <c r="AQ56" s="53">
        <f>COUNTIF(Mai[[#This Row],[1]:[31]],AQ$6)/2</f>
        <v>0</v>
      </c>
      <c r="AR56" s="53">
        <f t="shared" ref="AR56:AR60" si="30">SUM(AP56:AQ56)</f>
        <v>0</v>
      </c>
      <c r="AS56" s="53">
        <f>COUNTIF(Mai[[#This Row],[1]:[31]],AS$6)</f>
        <v>0</v>
      </c>
      <c r="AT56" s="53">
        <f>COUNTIF(Mai[[#This Row],[1]:[31]],AT$6)/2</f>
        <v>0</v>
      </c>
      <c r="AU56" s="53">
        <f t="shared" ref="AU56:AU60" si="31">SUM(AS56:AT56)</f>
        <v>0</v>
      </c>
      <c r="AV56" s="54">
        <f t="shared" ref="AV56:AV60" si="32">AK56+AN56+AO56+AR56+AU56</f>
        <v>0</v>
      </c>
      <c r="AW56" s="83">
        <f t="shared" ref="AW56:AW60" si="33">COUNTA(V44,AF44,W44,X44,Y44,Z44,AA44,AB44,AC44,AD44,AE44,B56:U56)</f>
        <v>0</v>
      </c>
    </row>
    <row r="57" spans="1:49" ht="20.100000000000001" customHeight="1" x14ac:dyDescent="0.3">
      <c r="A57" s="48" t="s">
        <v>122</v>
      </c>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18"/>
      <c r="AH57" s="48" t="s">
        <v>122</v>
      </c>
      <c r="AI57" s="51">
        <f>COUNTIF(Mai[[#This Row],[1]:[31]],AI$6)</f>
        <v>0</v>
      </c>
      <c r="AJ57" s="51">
        <f>COUNTIF(Mai[[#This Row],[1]:[31]],AJ$6)/2</f>
        <v>0</v>
      </c>
      <c r="AK57" s="51">
        <f t="shared" si="28"/>
        <v>0</v>
      </c>
      <c r="AL57" s="51">
        <f>COUNTIF(Mai[[#This Row],[1]:[31]],AL$6)</f>
        <v>0</v>
      </c>
      <c r="AM57" s="51">
        <f>COUNTIF(Mai[[#This Row],[1]:[31]],AM$6)/2</f>
        <v>0</v>
      </c>
      <c r="AN57" s="51">
        <f t="shared" si="29"/>
        <v>0</v>
      </c>
      <c r="AO57" s="51">
        <f>COUNTIF(Mai[[#This Row],[1]:[31]],AO$6)</f>
        <v>0</v>
      </c>
      <c r="AP57" s="51">
        <f>COUNTIF(Mai[[#This Row],[1]:[31]],AP$6)</f>
        <v>0</v>
      </c>
      <c r="AQ57" s="51">
        <f>COUNTIF(Mai[[#This Row],[1]:[31]],AQ$6)/2</f>
        <v>0</v>
      </c>
      <c r="AR57" s="51">
        <f t="shared" si="30"/>
        <v>0</v>
      </c>
      <c r="AS57" s="51">
        <f>COUNTIF(Mai[[#This Row],[1]:[31]],AS$6)</f>
        <v>0</v>
      </c>
      <c r="AT57" s="51">
        <f>COUNTIF(Mai[[#This Row],[1]:[31]],AT$6)/2</f>
        <v>0</v>
      </c>
      <c r="AU57" s="51">
        <f t="shared" si="31"/>
        <v>0</v>
      </c>
      <c r="AV57" s="52">
        <f t="shared" si="32"/>
        <v>0</v>
      </c>
      <c r="AW57" s="82">
        <f t="shared" si="33"/>
        <v>0</v>
      </c>
    </row>
    <row r="58" spans="1:49" ht="20.100000000000001" customHeight="1" x14ac:dyDescent="0.3">
      <c r="A58" s="48" t="s">
        <v>123</v>
      </c>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18"/>
      <c r="AH58" s="48" t="s">
        <v>123</v>
      </c>
      <c r="AI58" s="53">
        <f>COUNTIF(Mai[[#This Row],[1]:[31]],AI$6)</f>
        <v>0</v>
      </c>
      <c r="AJ58" s="53">
        <f>COUNTIF(Mai[[#This Row],[1]:[31]],AJ$6)/2</f>
        <v>0</v>
      </c>
      <c r="AK58" s="53">
        <f t="shared" si="28"/>
        <v>0</v>
      </c>
      <c r="AL58" s="53">
        <f>COUNTIF(Mai[[#This Row],[1]:[31]],AL$6)</f>
        <v>0</v>
      </c>
      <c r="AM58" s="53">
        <f>COUNTIF(Mai[[#This Row],[1]:[31]],AM$6)/2</f>
        <v>0</v>
      </c>
      <c r="AN58" s="53">
        <f t="shared" si="29"/>
        <v>0</v>
      </c>
      <c r="AO58" s="53">
        <f>COUNTIF(Mai[[#This Row],[1]:[31]],AO$6)</f>
        <v>0</v>
      </c>
      <c r="AP58" s="53">
        <f>COUNTIF(Mai[[#This Row],[1]:[31]],AP$6)</f>
        <v>0</v>
      </c>
      <c r="AQ58" s="53">
        <f>COUNTIF(Mai[[#This Row],[1]:[31]],AQ$6)/2</f>
        <v>0</v>
      </c>
      <c r="AR58" s="53">
        <f t="shared" si="30"/>
        <v>0</v>
      </c>
      <c r="AS58" s="53">
        <f>COUNTIF(Mai[[#This Row],[1]:[31]],AS$6)</f>
        <v>0</v>
      </c>
      <c r="AT58" s="53">
        <f>COUNTIF(Mai[[#This Row],[1]:[31]],AT$6)/2</f>
        <v>0</v>
      </c>
      <c r="AU58" s="53">
        <f t="shared" si="31"/>
        <v>0</v>
      </c>
      <c r="AV58" s="54">
        <f t="shared" si="32"/>
        <v>0</v>
      </c>
      <c r="AW58" s="83">
        <f t="shared" si="33"/>
        <v>0</v>
      </c>
    </row>
    <row r="59" spans="1:49" ht="20.100000000000001" customHeight="1" x14ac:dyDescent="0.3">
      <c r="A59" s="48" t="s">
        <v>124</v>
      </c>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18"/>
      <c r="AH59" s="48" t="s">
        <v>124</v>
      </c>
      <c r="AI59" s="51">
        <f>COUNTIF(Mai[[#This Row],[1]:[31]],AI$6)</f>
        <v>0</v>
      </c>
      <c r="AJ59" s="51">
        <f>COUNTIF(Mai[[#This Row],[1]:[31]],AJ$6)/2</f>
        <v>0</v>
      </c>
      <c r="AK59" s="51">
        <f t="shared" si="28"/>
        <v>0</v>
      </c>
      <c r="AL59" s="51">
        <f>COUNTIF(Mai[[#This Row],[1]:[31]],AL$6)</f>
        <v>0</v>
      </c>
      <c r="AM59" s="51">
        <f>COUNTIF(Mai[[#This Row],[1]:[31]],AM$6)/2</f>
        <v>0</v>
      </c>
      <c r="AN59" s="51">
        <f t="shared" si="29"/>
        <v>0</v>
      </c>
      <c r="AO59" s="51">
        <f>COUNTIF(Mai[[#This Row],[1]:[31]],AO$6)</f>
        <v>0</v>
      </c>
      <c r="AP59" s="51">
        <f>COUNTIF(Mai[[#This Row],[1]:[31]],AP$6)</f>
        <v>0</v>
      </c>
      <c r="AQ59" s="51">
        <f>COUNTIF(Mai[[#This Row],[1]:[31]],AQ$6)/2</f>
        <v>0</v>
      </c>
      <c r="AR59" s="51">
        <f t="shared" si="30"/>
        <v>0</v>
      </c>
      <c r="AS59" s="51">
        <f>COUNTIF(Mai[[#This Row],[1]:[31]],AS$6)</f>
        <v>0</v>
      </c>
      <c r="AT59" s="51">
        <f>COUNTIF(Mai[[#This Row],[1]:[31]],AT$6)/2</f>
        <v>0</v>
      </c>
      <c r="AU59" s="51">
        <f t="shared" si="31"/>
        <v>0</v>
      </c>
      <c r="AV59" s="52">
        <f t="shared" si="32"/>
        <v>0</v>
      </c>
      <c r="AW59" s="82">
        <f t="shared" si="33"/>
        <v>0</v>
      </c>
    </row>
    <row r="60" spans="1:49" ht="19.5" customHeight="1" thickBot="1" x14ac:dyDescent="0.35">
      <c r="A60" s="48" t="s">
        <v>125</v>
      </c>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18"/>
      <c r="AH60" s="48" t="s">
        <v>125</v>
      </c>
      <c r="AI60" s="53">
        <f>COUNTIF(Mai[[#This Row],[1]:[31]],AI$6)</f>
        <v>0</v>
      </c>
      <c r="AJ60" s="53">
        <f>COUNTIF(Mai[[#This Row],[1]:[31]],AJ$6)/2</f>
        <v>0</v>
      </c>
      <c r="AK60" s="53">
        <f t="shared" si="28"/>
        <v>0</v>
      </c>
      <c r="AL60" s="53">
        <f>COUNTIF(Mai[[#This Row],[1]:[31]],AL$6)</f>
        <v>0</v>
      </c>
      <c r="AM60" s="53">
        <f>COUNTIF(Mai[[#This Row],[1]:[31]],AM$6)/2</f>
        <v>0</v>
      </c>
      <c r="AN60" s="53">
        <f t="shared" si="29"/>
        <v>0</v>
      </c>
      <c r="AO60" s="53">
        <f>COUNTIF(Mai[[#This Row],[1]:[31]],AO$6)</f>
        <v>0</v>
      </c>
      <c r="AP60" s="53">
        <f>COUNTIF(Mai[[#This Row],[1]:[31]],AP$6)</f>
        <v>0</v>
      </c>
      <c r="AQ60" s="53">
        <f>COUNTIF(Mai[[#This Row],[1]:[31]],AQ$6)/2</f>
        <v>0</v>
      </c>
      <c r="AR60" s="53">
        <f t="shared" si="30"/>
        <v>0</v>
      </c>
      <c r="AS60" s="53">
        <f>COUNTIF(Mai[[#This Row],[1]:[31]],AS$6)</f>
        <v>0</v>
      </c>
      <c r="AT60" s="53">
        <f>COUNTIF(Mai[[#This Row],[1]:[31]],AT$6)/2</f>
        <v>0</v>
      </c>
      <c r="AU60" s="53">
        <f t="shared" si="31"/>
        <v>0</v>
      </c>
      <c r="AV60" s="55">
        <f t="shared" si="32"/>
        <v>0</v>
      </c>
      <c r="AW60" s="84">
        <f t="shared" si="33"/>
        <v>0</v>
      </c>
    </row>
    <row r="62" spans="1:49" s="18" customFormat="1" ht="14.25" thickBot="1" x14ac:dyDescent="0.3">
      <c r="A62" s="19" t="s">
        <v>79</v>
      </c>
      <c r="B62" s="20" t="s">
        <v>27</v>
      </c>
      <c r="C62" s="21" t="s">
        <v>76</v>
      </c>
      <c r="E62" s="22" t="s">
        <v>80</v>
      </c>
      <c r="F62" s="23" t="s">
        <v>77</v>
      </c>
      <c r="G62" s="23"/>
      <c r="H62" s="24" t="s">
        <v>70</v>
      </c>
      <c r="I62" s="25" t="s">
        <v>3</v>
      </c>
      <c r="J62" s="23"/>
      <c r="K62" s="26" t="s">
        <v>81</v>
      </c>
      <c r="L62" s="27" t="s">
        <v>78</v>
      </c>
      <c r="M62" s="23"/>
      <c r="N62" s="28" t="s">
        <v>25</v>
      </c>
      <c r="O62" s="25" t="s">
        <v>28</v>
      </c>
      <c r="P62" s="25"/>
      <c r="Q62" s="29" t="s">
        <v>67</v>
      </c>
      <c r="R62" s="30" t="s">
        <v>66</v>
      </c>
      <c r="S62" s="30"/>
      <c r="T62" s="31" t="s">
        <v>84</v>
      </c>
      <c r="U62" s="23" t="s">
        <v>85</v>
      </c>
      <c r="V62" s="23"/>
      <c r="W62" s="23"/>
      <c r="X62" s="32" t="s">
        <v>68</v>
      </c>
      <c r="Y62" s="33" t="s">
        <v>69</v>
      </c>
      <c r="Z62" s="33"/>
      <c r="AA62" s="34" t="s">
        <v>83</v>
      </c>
      <c r="AB62" s="33" t="s">
        <v>86</v>
      </c>
      <c r="AC62" s="33"/>
      <c r="AD62" s="33"/>
      <c r="AE62" s="33"/>
      <c r="AF62" s="33"/>
      <c r="AW62" s="71"/>
    </row>
    <row r="63" spans="1:49" s="61" customFormat="1" ht="32.25" customHeight="1" x14ac:dyDescent="0.3">
      <c r="A63" s="126" t="s">
        <v>111</v>
      </c>
      <c r="B63" s="125"/>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H63" s="125"/>
    </row>
    <row r="64" spans="1:49" ht="30" thickBot="1" x14ac:dyDescent="0.35">
      <c r="A64" s="14" t="s">
        <v>14</v>
      </c>
      <c r="B64" s="140" t="s">
        <v>29</v>
      </c>
      <c r="C64" s="140"/>
      <c r="D64" s="140"/>
      <c r="E64" s="140"/>
      <c r="F64" s="140"/>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0"/>
      <c r="AE64" s="140"/>
      <c r="AF64" s="140"/>
      <c r="AG64" s="14"/>
      <c r="AH64" s="140" t="s">
        <v>91</v>
      </c>
      <c r="AI64" s="140"/>
      <c r="AJ64" s="140"/>
      <c r="AK64" s="140"/>
      <c r="AL64" s="140"/>
      <c r="AM64" s="140"/>
      <c r="AN64" s="140"/>
      <c r="AO64" s="140"/>
      <c r="AP64" s="140"/>
      <c r="AQ64" s="140"/>
      <c r="AR64" s="140"/>
      <c r="AS64" s="140"/>
      <c r="AT64" s="140"/>
      <c r="AU64" s="140"/>
      <c r="AV64" s="140"/>
      <c r="AW64" s="140"/>
    </row>
    <row r="65" spans="1:49" ht="18" thickTop="1" thickBot="1" x14ac:dyDescent="0.35">
      <c r="A65" s="35">
        <v>6</v>
      </c>
      <c r="B65" s="133">
        <f ca="1">DATE(RIGHT(CELL("nomfichier",A61),4),A65,1)</f>
        <v>43252</v>
      </c>
      <c r="C65" s="133">
        <f ca="1">B65+1</f>
        <v>43253</v>
      </c>
      <c r="D65" s="133">
        <f t="shared" ref="D65:AE65" ca="1" si="34">C65+1</f>
        <v>43254</v>
      </c>
      <c r="E65" s="133">
        <f t="shared" ca="1" si="34"/>
        <v>43255</v>
      </c>
      <c r="F65" s="133">
        <f t="shared" ca="1" si="34"/>
        <v>43256</v>
      </c>
      <c r="G65" s="133">
        <f t="shared" ca="1" si="34"/>
        <v>43257</v>
      </c>
      <c r="H65" s="133">
        <f t="shared" ca="1" si="34"/>
        <v>43258</v>
      </c>
      <c r="I65" s="133">
        <f t="shared" ca="1" si="34"/>
        <v>43259</v>
      </c>
      <c r="J65" s="133">
        <f t="shared" ca="1" si="34"/>
        <v>43260</v>
      </c>
      <c r="K65" s="133">
        <f t="shared" ca="1" si="34"/>
        <v>43261</v>
      </c>
      <c r="L65" s="133">
        <f t="shared" ca="1" si="34"/>
        <v>43262</v>
      </c>
      <c r="M65" s="133">
        <f t="shared" ca="1" si="34"/>
        <v>43263</v>
      </c>
      <c r="N65" s="133">
        <f t="shared" ca="1" si="34"/>
        <v>43264</v>
      </c>
      <c r="O65" s="133">
        <f t="shared" ca="1" si="34"/>
        <v>43265</v>
      </c>
      <c r="P65" s="133">
        <f t="shared" ca="1" si="34"/>
        <v>43266</v>
      </c>
      <c r="Q65" s="133">
        <f t="shared" ca="1" si="34"/>
        <v>43267</v>
      </c>
      <c r="R65" s="133">
        <f t="shared" ca="1" si="34"/>
        <v>43268</v>
      </c>
      <c r="S65" s="133">
        <f t="shared" ca="1" si="34"/>
        <v>43269</v>
      </c>
      <c r="T65" s="133">
        <f t="shared" ca="1" si="34"/>
        <v>43270</v>
      </c>
      <c r="U65" s="133">
        <f t="shared" ca="1" si="34"/>
        <v>43271</v>
      </c>
      <c r="V65" s="133">
        <f t="shared" ca="1" si="34"/>
        <v>43272</v>
      </c>
      <c r="W65" s="133">
        <f t="shared" ca="1" si="34"/>
        <v>43273</v>
      </c>
      <c r="X65" s="133">
        <f t="shared" ca="1" si="34"/>
        <v>43274</v>
      </c>
      <c r="Y65" s="133">
        <f t="shared" ca="1" si="34"/>
        <v>43275</v>
      </c>
      <c r="Z65" s="133">
        <f t="shared" ca="1" si="34"/>
        <v>43276</v>
      </c>
      <c r="AA65" s="133">
        <f t="shared" ca="1" si="34"/>
        <v>43277</v>
      </c>
      <c r="AB65" s="133">
        <f t="shared" ca="1" si="34"/>
        <v>43278</v>
      </c>
      <c r="AC65" s="133">
        <f t="shared" ca="1" si="34"/>
        <v>43279</v>
      </c>
      <c r="AD65" s="133">
        <f t="shared" ca="1" si="34"/>
        <v>43280</v>
      </c>
      <c r="AE65" s="133">
        <f t="shared" ca="1" si="34"/>
        <v>43281</v>
      </c>
      <c r="AF65" s="133"/>
      <c r="AG65" s="18"/>
      <c r="AH65" s="35">
        <v>6</v>
      </c>
      <c r="AI65" s="18"/>
      <c r="AJ65" s="18"/>
      <c r="AK65" s="18"/>
      <c r="AL65" s="18"/>
      <c r="AM65" s="18"/>
      <c r="AN65" s="18"/>
      <c r="AO65" s="18"/>
      <c r="AP65" s="18"/>
      <c r="AQ65" s="18"/>
      <c r="AR65" s="18"/>
      <c r="AS65" s="18"/>
      <c r="AT65" s="18"/>
      <c r="AU65" s="18"/>
      <c r="AV65" s="18"/>
      <c r="AW65" s="71"/>
    </row>
    <row r="66" spans="1:49" x14ac:dyDescent="0.3">
      <c r="A66" s="59" t="s">
        <v>24</v>
      </c>
      <c r="B66" s="56" t="s">
        <v>30</v>
      </c>
      <c r="C66" s="56" t="s">
        <v>31</v>
      </c>
      <c r="D66" s="56" t="s">
        <v>32</v>
      </c>
      <c r="E66" s="56" t="s">
        <v>33</v>
      </c>
      <c r="F66" s="56" t="s">
        <v>34</v>
      </c>
      <c r="G66" s="56" t="s">
        <v>35</v>
      </c>
      <c r="H66" s="56" t="s">
        <v>36</v>
      </c>
      <c r="I66" s="56" t="s">
        <v>37</v>
      </c>
      <c r="J66" s="56" t="s">
        <v>38</v>
      </c>
      <c r="K66" s="56" t="s">
        <v>39</v>
      </c>
      <c r="L66" s="56" t="s">
        <v>40</v>
      </c>
      <c r="M66" s="56" t="s">
        <v>41</v>
      </c>
      <c r="N66" s="56" t="s">
        <v>42</v>
      </c>
      <c r="O66" s="56" t="s">
        <v>43</v>
      </c>
      <c r="P66" s="56" t="s">
        <v>44</v>
      </c>
      <c r="Q66" s="56" t="s">
        <v>45</v>
      </c>
      <c r="R66" s="56" t="s">
        <v>46</v>
      </c>
      <c r="S66" s="56" t="s">
        <v>47</v>
      </c>
      <c r="T66" s="56" t="s">
        <v>48</v>
      </c>
      <c r="U66" s="56" t="s">
        <v>49</v>
      </c>
      <c r="V66" s="56" t="s">
        <v>50</v>
      </c>
      <c r="W66" s="56" t="s">
        <v>51</v>
      </c>
      <c r="X66" s="56" t="s">
        <v>52</v>
      </c>
      <c r="Y66" s="56" t="s">
        <v>53</v>
      </c>
      <c r="Z66" s="56" t="s">
        <v>54</v>
      </c>
      <c r="AA66" s="56" t="s">
        <v>55</v>
      </c>
      <c r="AB66" s="56" t="s">
        <v>56</v>
      </c>
      <c r="AC66" s="56" t="s">
        <v>57</v>
      </c>
      <c r="AD66" s="60" t="s">
        <v>58</v>
      </c>
      <c r="AE66" s="60" t="s">
        <v>59</v>
      </c>
      <c r="AF66" s="57" t="s">
        <v>60</v>
      </c>
      <c r="AG66" s="18"/>
      <c r="AH66" s="59" t="s">
        <v>24</v>
      </c>
      <c r="AI66" s="40" t="s">
        <v>27</v>
      </c>
      <c r="AJ66" s="41" t="s">
        <v>80</v>
      </c>
      <c r="AK66" s="20" t="s">
        <v>76</v>
      </c>
      <c r="AL66" s="42" t="s">
        <v>70</v>
      </c>
      <c r="AM66" s="43" t="s">
        <v>81</v>
      </c>
      <c r="AN66" s="24" t="s">
        <v>3</v>
      </c>
      <c r="AO66" s="44" t="s">
        <v>25</v>
      </c>
      <c r="AP66" s="45" t="s">
        <v>67</v>
      </c>
      <c r="AQ66" s="31" t="s">
        <v>84</v>
      </c>
      <c r="AR66" s="70" t="s">
        <v>101</v>
      </c>
      <c r="AS66" s="46" t="s">
        <v>68</v>
      </c>
      <c r="AT66" s="34" t="s">
        <v>83</v>
      </c>
      <c r="AU66" s="64" t="s">
        <v>69</v>
      </c>
      <c r="AV66" s="58" t="s">
        <v>1</v>
      </c>
      <c r="AW66" s="81" t="s">
        <v>92</v>
      </c>
    </row>
    <row r="67" spans="1:49" ht="20.100000000000001" customHeight="1" x14ac:dyDescent="0.3">
      <c r="A67" s="48" t="s">
        <v>120</v>
      </c>
      <c r="B67" s="50"/>
      <c r="C67" s="50"/>
      <c r="D67" s="50"/>
      <c r="E67" s="50"/>
      <c r="F67" s="50"/>
      <c r="G67" s="50"/>
      <c r="H67" s="50"/>
      <c r="I67" s="50"/>
      <c r="J67" s="50"/>
      <c r="K67" s="50"/>
      <c r="L67" s="50"/>
      <c r="M67" s="50"/>
      <c r="N67" s="50"/>
      <c r="O67" s="50"/>
      <c r="P67" s="50"/>
      <c r="Q67" s="50"/>
      <c r="R67" s="50"/>
      <c r="S67" s="50"/>
      <c r="T67" s="50"/>
      <c r="U67" s="50"/>
      <c r="V67" s="50"/>
      <c r="W67" s="50"/>
      <c r="X67" s="50"/>
      <c r="Y67" s="50"/>
      <c r="Z67" s="50"/>
      <c r="AA67" s="50"/>
      <c r="AB67" s="50"/>
      <c r="AC67" s="50"/>
      <c r="AD67" s="50"/>
      <c r="AE67" s="50"/>
      <c r="AF67" s="50"/>
      <c r="AG67" s="18"/>
      <c r="AH67" s="48" t="s">
        <v>120</v>
      </c>
      <c r="AI67" s="51">
        <f>COUNTIF(Juin[[#This Row],[1]:[30]],AI$6)</f>
        <v>0</v>
      </c>
      <c r="AJ67" s="51">
        <f>COUNTIF(Juin[[#This Row],[1]:[30]],AJ$6)/2</f>
        <v>0</v>
      </c>
      <c r="AK67" s="51">
        <f>SUM(AI67:AJ67)</f>
        <v>0</v>
      </c>
      <c r="AL67" s="51">
        <f>COUNTIF(Juin[[#This Row],[1]:[30]],AL$6)</f>
        <v>0</v>
      </c>
      <c r="AM67" s="51">
        <f>COUNTIF(Juin[[#This Row],[1]:[30]],AM$6)/2</f>
        <v>0</v>
      </c>
      <c r="AN67" s="51">
        <f>SUM(AL67:AM67)</f>
        <v>0</v>
      </c>
      <c r="AO67" s="51">
        <f>COUNTIF(Juin[[#This Row],[1]:[30]],AO$6)</f>
        <v>0</v>
      </c>
      <c r="AP67" s="51">
        <f>COUNTIF(Juin[[#This Row],[1]:[30]],AP$6)</f>
        <v>0</v>
      </c>
      <c r="AQ67" s="51">
        <f>COUNTIF(Juin[[#This Row],[1]:[30]],AQ$6)/2</f>
        <v>0</v>
      </c>
      <c r="AR67" s="51">
        <f>SUM(AP67:AQ67)</f>
        <v>0</v>
      </c>
      <c r="AS67" s="51">
        <f>COUNTIF(Juin[[#This Row],[1]:[30]],AS$6)</f>
        <v>0</v>
      </c>
      <c r="AT67" s="51">
        <f>COUNTIF(Juin[[#This Row],[1]:[30]],AT$6)/2</f>
        <v>0</v>
      </c>
      <c r="AU67" s="51">
        <f>SUM(AS67:AT67)</f>
        <v>0</v>
      </c>
      <c r="AV67" s="52">
        <f>AK67+AN67+AO67+AR67+AU67</f>
        <v>0</v>
      </c>
      <c r="AW67" s="82">
        <f>COUNTA(V55,AF55,W55,X55,Y55,Z55,AA55,AB55,AC55,AD55,AE55,B67:U67)</f>
        <v>0</v>
      </c>
    </row>
    <row r="68" spans="1:49" ht="20.100000000000001" customHeight="1" x14ac:dyDescent="0.3">
      <c r="A68" s="48" t="s">
        <v>121</v>
      </c>
      <c r="B68" s="50"/>
      <c r="C68" s="50"/>
      <c r="D68" s="50"/>
      <c r="E68" s="50"/>
      <c r="F68" s="50"/>
      <c r="G68" s="50"/>
      <c r="H68" s="50"/>
      <c r="I68" s="50"/>
      <c r="J68" s="50"/>
      <c r="K68" s="50"/>
      <c r="L68" s="50"/>
      <c r="M68" s="50"/>
      <c r="N68" s="50"/>
      <c r="O68" s="50"/>
      <c r="P68" s="50"/>
      <c r="Q68" s="50"/>
      <c r="R68" s="50"/>
      <c r="S68" s="50"/>
      <c r="T68" s="50"/>
      <c r="U68" s="50"/>
      <c r="V68" s="50"/>
      <c r="W68" s="50"/>
      <c r="X68" s="50"/>
      <c r="Y68" s="50"/>
      <c r="Z68" s="50"/>
      <c r="AA68" s="50"/>
      <c r="AB68" s="50"/>
      <c r="AC68" s="50"/>
      <c r="AD68" s="50"/>
      <c r="AE68" s="50"/>
      <c r="AF68" s="50"/>
      <c r="AG68" s="18"/>
      <c r="AH68" s="48" t="s">
        <v>121</v>
      </c>
      <c r="AI68" s="53">
        <f>COUNTIF(Juin[[#This Row],[1]:[30]],AI$6)</f>
        <v>0</v>
      </c>
      <c r="AJ68" s="53">
        <f>COUNTIF(Juin[[#This Row],[1]:[30]],AJ$6)/2</f>
        <v>0</v>
      </c>
      <c r="AK68" s="53">
        <f t="shared" ref="AK68:AK72" si="35">SUM(AI68:AJ68)</f>
        <v>0</v>
      </c>
      <c r="AL68" s="53">
        <f>COUNTIF(Juin[[#This Row],[1]:[30]],AL$6)</f>
        <v>0</v>
      </c>
      <c r="AM68" s="53">
        <f>COUNTIF(Juin[[#This Row],[1]:[30]],AM$6)/2</f>
        <v>0</v>
      </c>
      <c r="AN68" s="53">
        <f t="shared" ref="AN68:AN72" si="36">SUM(AL68:AM68)</f>
        <v>0</v>
      </c>
      <c r="AO68" s="53">
        <f>COUNTIF(Juin[[#This Row],[1]:[30]],AO$6)</f>
        <v>0</v>
      </c>
      <c r="AP68" s="53">
        <f>COUNTIF(Juin[[#This Row],[1]:[30]],AP$6)</f>
        <v>0</v>
      </c>
      <c r="AQ68" s="53">
        <f>COUNTIF(Juin[[#This Row],[1]:[30]],AQ$6)/2</f>
        <v>0</v>
      </c>
      <c r="AR68" s="53">
        <f t="shared" ref="AR68:AR72" si="37">SUM(AP68:AQ68)</f>
        <v>0</v>
      </c>
      <c r="AS68" s="53">
        <f>COUNTIF(Juin[[#This Row],[1]:[30]],AS$6)</f>
        <v>0</v>
      </c>
      <c r="AT68" s="53">
        <f>COUNTIF(Juin[[#This Row],[1]:[30]],AT$6)/2</f>
        <v>0</v>
      </c>
      <c r="AU68" s="53">
        <f t="shared" ref="AU68:AU72" si="38">SUM(AS68:AT68)</f>
        <v>0</v>
      </c>
      <c r="AV68" s="54">
        <f t="shared" ref="AV68:AV72" si="39">AK68+AN68+AO68+AR68+AU68</f>
        <v>0</v>
      </c>
      <c r="AW68" s="83">
        <f t="shared" ref="AW68:AW72" si="40">COUNTA(V56,AF56,W56,X56,Y56,Z56,AA56,AB56,AC56,AD56,AE56,B68:U68)</f>
        <v>0</v>
      </c>
    </row>
    <row r="69" spans="1:49" ht="20.100000000000001" customHeight="1" x14ac:dyDescent="0.3">
      <c r="A69" s="48" t="s">
        <v>122</v>
      </c>
      <c r="B69" s="50"/>
      <c r="C69" s="50"/>
      <c r="D69" s="50"/>
      <c r="E69" s="50"/>
      <c r="F69" s="50"/>
      <c r="G69" s="50"/>
      <c r="H69" s="50"/>
      <c r="I69" s="50"/>
      <c r="J69" s="50"/>
      <c r="K69" s="50"/>
      <c r="L69" s="50"/>
      <c r="M69" s="50"/>
      <c r="N69" s="50"/>
      <c r="O69" s="50"/>
      <c r="P69" s="50"/>
      <c r="Q69" s="50"/>
      <c r="R69" s="50"/>
      <c r="S69" s="50"/>
      <c r="T69" s="50"/>
      <c r="U69" s="50"/>
      <c r="V69" s="50"/>
      <c r="W69" s="50"/>
      <c r="X69" s="50"/>
      <c r="Y69" s="50"/>
      <c r="Z69" s="50"/>
      <c r="AA69" s="50"/>
      <c r="AB69" s="50"/>
      <c r="AC69" s="50"/>
      <c r="AD69" s="50"/>
      <c r="AE69" s="50"/>
      <c r="AF69" s="50"/>
      <c r="AG69" s="18"/>
      <c r="AH69" s="48" t="s">
        <v>122</v>
      </c>
      <c r="AI69" s="51">
        <f>COUNTIF(Juin[[#This Row],[1]:[30]],AI$6)</f>
        <v>0</v>
      </c>
      <c r="AJ69" s="51">
        <f>COUNTIF(Juin[[#This Row],[1]:[30]],AJ$6)/2</f>
        <v>0</v>
      </c>
      <c r="AK69" s="51">
        <f t="shared" si="35"/>
        <v>0</v>
      </c>
      <c r="AL69" s="51">
        <f>COUNTIF(Juin[[#This Row],[1]:[30]],AL$6)</f>
        <v>0</v>
      </c>
      <c r="AM69" s="51">
        <f>COUNTIF(Juin[[#This Row],[1]:[30]],AM$6)/2</f>
        <v>0</v>
      </c>
      <c r="AN69" s="51">
        <f t="shared" si="36"/>
        <v>0</v>
      </c>
      <c r="AO69" s="51">
        <f>COUNTIF(Juin[[#This Row],[1]:[30]],AO$6)</f>
        <v>0</v>
      </c>
      <c r="AP69" s="51">
        <f>COUNTIF(Juin[[#This Row],[1]:[30]],AP$6)</f>
        <v>0</v>
      </c>
      <c r="AQ69" s="51">
        <f>COUNTIF(Juin[[#This Row],[1]:[30]],AQ$6)/2</f>
        <v>0</v>
      </c>
      <c r="AR69" s="51">
        <f t="shared" si="37"/>
        <v>0</v>
      </c>
      <c r="AS69" s="51">
        <f>COUNTIF(Juin[[#This Row],[1]:[30]],AS$6)</f>
        <v>0</v>
      </c>
      <c r="AT69" s="51">
        <f>COUNTIF(Juin[[#This Row],[1]:[30]],AT$6)/2</f>
        <v>0</v>
      </c>
      <c r="AU69" s="51">
        <f t="shared" si="38"/>
        <v>0</v>
      </c>
      <c r="AV69" s="52">
        <f t="shared" si="39"/>
        <v>0</v>
      </c>
      <c r="AW69" s="82">
        <f t="shared" si="40"/>
        <v>0</v>
      </c>
    </row>
    <row r="70" spans="1:49" ht="20.100000000000001" customHeight="1" x14ac:dyDescent="0.3">
      <c r="A70" s="48" t="s">
        <v>123</v>
      </c>
      <c r="B70" s="50"/>
      <c r="C70" s="50"/>
      <c r="D70" s="50"/>
      <c r="E70" s="50"/>
      <c r="F70" s="50"/>
      <c r="G70" s="50"/>
      <c r="H70" s="50"/>
      <c r="I70" s="50"/>
      <c r="J70" s="50"/>
      <c r="K70" s="50"/>
      <c r="L70" s="50"/>
      <c r="M70" s="50"/>
      <c r="N70" s="50"/>
      <c r="O70" s="50"/>
      <c r="P70" s="50"/>
      <c r="Q70" s="50"/>
      <c r="R70" s="50"/>
      <c r="S70" s="50"/>
      <c r="T70" s="50"/>
      <c r="U70" s="50"/>
      <c r="V70" s="50"/>
      <c r="W70" s="50"/>
      <c r="X70" s="50"/>
      <c r="Y70" s="50"/>
      <c r="Z70" s="50"/>
      <c r="AA70" s="50"/>
      <c r="AB70" s="50"/>
      <c r="AC70" s="50"/>
      <c r="AD70" s="50"/>
      <c r="AE70" s="50"/>
      <c r="AF70" s="50"/>
      <c r="AG70" s="18"/>
      <c r="AH70" s="48" t="s">
        <v>123</v>
      </c>
      <c r="AI70" s="53">
        <f>COUNTIF(Juin[[#This Row],[1]:[30]],AI$6)</f>
        <v>0</v>
      </c>
      <c r="AJ70" s="53">
        <f>COUNTIF(Juin[[#This Row],[1]:[30]],AJ$6)/2</f>
        <v>0</v>
      </c>
      <c r="AK70" s="53">
        <f t="shared" si="35"/>
        <v>0</v>
      </c>
      <c r="AL70" s="53">
        <f>COUNTIF(Juin[[#This Row],[1]:[30]],AL$6)</f>
        <v>0</v>
      </c>
      <c r="AM70" s="53">
        <f>COUNTIF(Juin[[#This Row],[1]:[30]],AM$6)/2</f>
        <v>0</v>
      </c>
      <c r="AN70" s="53">
        <f t="shared" si="36"/>
        <v>0</v>
      </c>
      <c r="AO70" s="53">
        <f>COUNTIF(Juin[[#This Row],[1]:[30]],AO$6)</f>
        <v>0</v>
      </c>
      <c r="AP70" s="53">
        <f>COUNTIF(Juin[[#This Row],[1]:[30]],AP$6)</f>
        <v>0</v>
      </c>
      <c r="AQ70" s="53">
        <f>COUNTIF(Juin[[#This Row],[1]:[30]],AQ$6)/2</f>
        <v>0</v>
      </c>
      <c r="AR70" s="53">
        <f t="shared" si="37"/>
        <v>0</v>
      </c>
      <c r="AS70" s="53">
        <f>COUNTIF(Juin[[#This Row],[1]:[30]],AS$6)</f>
        <v>0</v>
      </c>
      <c r="AT70" s="53">
        <f>COUNTIF(Juin[[#This Row],[1]:[30]],AT$6)/2</f>
        <v>0</v>
      </c>
      <c r="AU70" s="53">
        <f t="shared" si="38"/>
        <v>0</v>
      </c>
      <c r="AV70" s="54">
        <f t="shared" si="39"/>
        <v>0</v>
      </c>
      <c r="AW70" s="83">
        <f t="shared" si="40"/>
        <v>0</v>
      </c>
    </row>
    <row r="71" spans="1:49" ht="20.100000000000001" customHeight="1" x14ac:dyDescent="0.3">
      <c r="A71" s="48" t="s">
        <v>124</v>
      </c>
      <c r="B71" s="50"/>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0"/>
      <c r="AG71" s="18"/>
      <c r="AH71" s="48" t="s">
        <v>124</v>
      </c>
      <c r="AI71" s="51">
        <f>COUNTIF(Juin[[#This Row],[1]:[30]],AI$6)</f>
        <v>0</v>
      </c>
      <c r="AJ71" s="51">
        <f>COUNTIF(Juin[[#This Row],[1]:[30]],AJ$6)/2</f>
        <v>0</v>
      </c>
      <c r="AK71" s="51">
        <f t="shared" si="35"/>
        <v>0</v>
      </c>
      <c r="AL71" s="51">
        <f>COUNTIF(Juin[[#This Row],[1]:[30]],AL$6)</f>
        <v>0</v>
      </c>
      <c r="AM71" s="51">
        <f>COUNTIF(Juin[[#This Row],[1]:[30]],AM$6)/2</f>
        <v>0</v>
      </c>
      <c r="AN71" s="51">
        <f t="shared" si="36"/>
        <v>0</v>
      </c>
      <c r="AO71" s="51">
        <f>COUNTIF(Juin[[#This Row],[1]:[30]],AO$6)</f>
        <v>0</v>
      </c>
      <c r="AP71" s="51">
        <f>COUNTIF(Juin[[#This Row],[1]:[30]],AP$6)</f>
        <v>0</v>
      </c>
      <c r="AQ71" s="51">
        <f>COUNTIF(Juin[[#This Row],[1]:[30]],AQ$6)/2</f>
        <v>0</v>
      </c>
      <c r="AR71" s="51">
        <f t="shared" si="37"/>
        <v>0</v>
      </c>
      <c r="AS71" s="51">
        <f>COUNTIF(Juin[[#This Row],[1]:[30]],AS$6)</f>
        <v>0</v>
      </c>
      <c r="AT71" s="51">
        <f>COUNTIF(Juin[[#This Row],[1]:[30]],AT$6)/2</f>
        <v>0</v>
      </c>
      <c r="AU71" s="51">
        <f t="shared" si="38"/>
        <v>0</v>
      </c>
      <c r="AV71" s="52">
        <f t="shared" si="39"/>
        <v>0</v>
      </c>
      <c r="AW71" s="82">
        <f t="shared" si="40"/>
        <v>0</v>
      </c>
    </row>
    <row r="72" spans="1:49" ht="20.100000000000001" customHeight="1" thickBot="1" x14ac:dyDescent="0.35">
      <c r="A72" s="48" t="s">
        <v>125</v>
      </c>
      <c r="B72" s="50"/>
      <c r="C72" s="50"/>
      <c r="D72" s="50"/>
      <c r="E72" s="50"/>
      <c r="F72" s="50"/>
      <c r="G72" s="50"/>
      <c r="H72" s="50"/>
      <c r="I72" s="50"/>
      <c r="J72" s="50"/>
      <c r="K72" s="50"/>
      <c r="L72" s="50"/>
      <c r="M72" s="50"/>
      <c r="N72" s="50"/>
      <c r="O72" s="50"/>
      <c r="P72" s="50"/>
      <c r="Q72" s="50"/>
      <c r="R72" s="50"/>
      <c r="S72" s="50"/>
      <c r="T72" s="50"/>
      <c r="U72" s="50"/>
      <c r="V72" s="50"/>
      <c r="W72" s="50"/>
      <c r="X72" s="50"/>
      <c r="Y72" s="50"/>
      <c r="Z72" s="50"/>
      <c r="AA72" s="50"/>
      <c r="AB72" s="50"/>
      <c r="AC72" s="50"/>
      <c r="AD72" s="50"/>
      <c r="AE72" s="50"/>
      <c r="AF72" s="50"/>
      <c r="AG72" s="18"/>
      <c r="AH72" s="48" t="s">
        <v>125</v>
      </c>
      <c r="AI72" s="53">
        <f>COUNTIF(Juin[[#This Row],[1]:[30]],AI$6)</f>
        <v>0</v>
      </c>
      <c r="AJ72" s="53">
        <f>COUNTIF(Juin[[#This Row],[1]:[30]],AJ$6)/2</f>
        <v>0</v>
      </c>
      <c r="AK72" s="53">
        <f t="shared" si="35"/>
        <v>0</v>
      </c>
      <c r="AL72" s="53">
        <f>COUNTIF(Juin[[#This Row],[1]:[30]],AL$6)</f>
        <v>0</v>
      </c>
      <c r="AM72" s="53">
        <f>COUNTIF(Juin[[#This Row],[1]:[30]],AM$6)/2</f>
        <v>0</v>
      </c>
      <c r="AN72" s="53">
        <f t="shared" si="36"/>
        <v>0</v>
      </c>
      <c r="AO72" s="53">
        <f>COUNTIF(Juin[[#This Row],[1]:[30]],AO$6)</f>
        <v>0</v>
      </c>
      <c r="AP72" s="53">
        <f>COUNTIF(Juin[[#This Row],[1]:[30]],AP$6)</f>
        <v>0</v>
      </c>
      <c r="AQ72" s="53">
        <f>COUNTIF(Juin[[#This Row],[1]:[30]],AQ$6)/2</f>
        <v>0</v>
      </c>
      <c r="AR72" s="53">
        <f t="shared" si="37"/>
        <v>0</v>
      </c>
      <c r="AS72" s="53">
        <f>COUNTIF(Juin[[#This Row],[1]:[30]],AS$6)</f>
        <v>0</v>
      </c>
      <c r="AT72" s="53">
        <f>COUNTIF(Juin[[#This Row],[1]:[30]],AT$6)/2</f>
        <v>0</v>
      </c>
      <c r="AU72" s="53">
        <f t="shared" si="38"/>
        <v>0</v>
      </c>
      <c r="AV72" s="55">
        <f t="shared" si="39"/>
        <v>0</v>
      </c>
      <c r="AW72" s="84">
        <f t="shared" si="40"/>
        <v>0</v>
      </c>
    </row>
    <row r="74" spans="1:49" s="18" customFormat="1" ht="14.25" thickBot="1" x14ac:dyDescent="0.3">
      <c r="A74" s="19" t="s">
        <v>79</v>
      </c>
      <c r="B74" s="20" t="s">
        <v>27</v>
      </c>
      <c r="C74" s="21" t="s">
        <v>76</v>
      </c>
      <c r="E74" s="22" t="s">
        <v>80</v>
      </c>
      <c r="F74" s="23" t="s">
        <v>77</v>
      </c>
      <c r="G74" s="23"/>
      <c r="H74" s="24" t="s">
        <v>70</v>
      </c>
      <c r="I74" s="25" t="s">
        <v>3</v>
      </c>
      <c r="J74" s="23"/>
      <c r="K74" s="26" t="s">
        <v>81</v>
      </c>
      <c r="L74" s="27" t="s">
        <v>78</v>
      </c>
      <c r="M74" s="23"/>
      <c r="N74" s="28" t="s">
        <v>25</v>
      </c>
      <c r="O74" s="25" t="s">
        <v>28</v>
      </c>
      <c r="P74" s="25"/>
      <c r="Q74" s="29" t="s">
        <v>67</v>
      </c>
      <c r="R74" s="30" t="s">
        <v>66</v>
      </c>
      <c r="S74" s="30"/>
      <c r="T74" s="31" t="s">
        <v>84</v>
      </c>
      <c r="U74" s="23" t="s">
        <v>85</v>
      </c>
      <c r="V74" s="23"/>
      <c r="W74" s="23"/>
      <c r="X74" s="32" t="s">
        <v>68</v>
      </c>
      <c r="Y74" s="33" t="s">
        <v>69</v>
      </c>
      <c r="Z74" s="33"/>
      <c r="AA74" s="34" t="s">
        <v>83</v>
      </c>
      <c r="AB74" s="33" t="s">
        <v>86</v>
      </c>
      <c r="AC74" s="33"/>
      <c r="AD74" s="33"/>
      <c r="AE74" s="33"/>
      <c r="AF74" s="33"/>
      <c r="AW74" s="71"/>
    </row>
    <row r="75" spans="1:49" s="61" customFormat="1" ht="32.25" customHeight="1" x14ac:dyDescent="0.3">
      <c r="A75" s="126" t="s">
        <v>111</v>
      </c>
      <c r="B75" s="125"/>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H75" s="125"/>
    </row>
    <row r="76" spans="1:49" ht="30" thickBot="1" x14ac:dyDescent="0.35">
      <c r="A76" s="14" t="s">
        <v>15</v>
      </c>
      <c r="B76" s="140" t="s">
        <v>29</v>
      </c>
      <c r="C76" s="140"/>
      <c r="D76" s="140"/>
      <c r="E76" s="140"/>
      <c r="F76" s="140"/>
      <c r="G76" s="140"/>
      <c r="H76" s="140"/>
      <c r="I76" s="140"/>
      <c r="J76" s="140"/>
      <c r="K76" s="140"/>
      <c r="L76" s="140"/>
      <c r="M76" s="140"/>
      <c r="N76" s="140"/>
      <c r="O76" s="140"/>
      <c r="P76" s="140"/>
      <c r="Q76" s="140"/>
      <c r="R76" s="140"/>
      <c r="S76" s="140"/>
      <c r="T76" s="140"/>
      <c r="U76" s="140"/>
      <c r="V76" s="140"/>
      <c r="W76" s="140"/>
      <c r="X76" s="140"/>
      <c r="Y76" s="140"/>
      <c r="Z76" s="140"/>
      <c r="AA76" s="140"/>
      <c r="AB76" s="140"/>
      <c r="AC76" s="140"/>
      <c r="AD76" s="140"/>
      <c r="AE76" s="140"/>
      <c r="AF76" s="140"/>
      <c r="AG76" s="14"/>
      <c r="AH76" s="140" t="s">
        <v>91</v>
      </c>
      <c r="AI76" s="140"/>
      <c r="AJ76" s="140"/>
      <c r="AK76" s="140"/>
      <c r="AL76" s="140"/>
      <c r="AM76" s="140"/>
      <c r="AN76" s="140"/>
      <c r="AO76" s="140"/>
      <c r="AP76" s="140"/>
      <c r="AQ76" s="140"/>
      <c r="AR76" s="140"/>
      <c r="AS76" s="140"/>
      <c r="AT76" s="140"/>
      <c r="AU76" s="140"/>
      <c r="AV76" s="140"/>
      <c r="AW76" s="140"/>
    </row>
    <row r="77" spans="1:49" ht="20.100000000000001" customHeight="1" thickTop="1" thickBot="1" x14ac:dyDescent="0.35">
      <c r="A77" s="35">
        <v>7</v>
      </c>
      <c r="B77" s="133">
        <f ca="1">DATE(RIGHT(CELL("nomfichier",A73),4),A77,1)</f>
        <v>43282</v>
      </c>
      <c r="C77" s="133">
        <f ca="1">B77+1</f>
        <v>43283</v>
      </c>
      <c r="D77" s="133">
        <f t="shared" ref="D77:AF77" ca="1" si="41">C77+1</f>
        <v>43284</v>
      </c>
      <c r="E77" s="133">
        <f t="shared" ca="1" si="41"/>
        <v>43285</v>
      </c>
      <c r="F77" s="133">
        <f t="shared" ca="1" si="41"/>
        <v>43286</v>
      </c>
      <c r="G77" s="133">
        <f t="shared" ca="1" si="41"/>
        <v>43287</v>
      </c>
      <c r="H77" s="133">
        <f t="shared" ca="1" si="41"/>
        <v>43288</v>
      </c>
      <c r="I77" s="133">
        <f t="shared" ca="1" si="41"/>
        <v>43289</v>
      </c>
      <c r="J77" s="133">
        <f t="shared" ca="1" si="41"/>
        <v>43290</v>
      </c>
      <c r="K77" s="133">
        <f t="shared" ca="1" si="41"/>
        <v>43291</v>
      </c>
      <c r="L77" s="133">
        <f t="shared" ca="1" si="41"/>
        <v>43292</v>
      </c>
      <c r="M77" s="133">
        <f t="shared" ca="1" si="41"/>
        <v>43293</v>
      </c>
      <c r="N77" s="133">
        <f t="shared" ca="1" si="41"/>
        <v>43294</v>
      </c>
      <c r="O77" s="133">
        <f t="shared" ca="1" si="41"/>
        <v>43295</v>
      </c>
      <c r="P77" s="133">
        <f t="shared" ca="1" si="41"/>
        <v>43296</v>
      </c>
      <c r="Q77" s="133">
        <f t="shared" ca="1" si="41"/>
        <v>43297</v>
      </c>
      <c r="R77" s="133">
        <f t="shared" ca="1" si="41"/>
        <v>43298</v>
      </c>
      <c r="S77" s="133">
        <f t="shared" ca="1" si="41"/>
        <v>43299</v>
      </c>
      <c r="T77" s="133">
        <f t="shared" ca="1" si="41"/>
        <v>43300</v>
      </c>
      <c r="U77" s="133">
        <f t="shared" ca="1" si="41"/>
        <v>43301</v>
      </c>
      <c r="V77" s="133">
        <f t="shared" ca="1" si="41"/>
        <v>43302</v>
      </c>
      <c r="W77" s="133">
        <f t="shared" ca="1" si="41"/>
        <v>43303</v>
      </c>
      <c r="X77" s="133">
        <f t="shared" ca="1" si="41"/>
        <v>43304</v>
      </c>
      <c r="Y77" s="133">
        <f t="shared" ca="1" si="41"/>
        <v>43305</v>
      </c>
      <c r="Z77" s="133">
        <f t="shared" ca="1" si="41"/>
        <v>43306</v>
      </c>
      <c r="AA77" s="133">
        <f t="shared" ca="1" si="41"/>
        <v>43307</v>
      </c>
      <c r="AB77" s="133">
        <f t="shared" ca="1" si="41"/>
        <v>43308</v>
      </c>
      <c r="AC77" s="133">
        <f t="shared" ca="1" si="41"/>
        <v>43309</v>
      </c>
      <c r="AD77" s="133">
        <f t="shared" ca="1" si="41"/>
        <v>43310</v>
      </c>
      <c r="AE77" s="133">
        <f t="shared" ca="1" si="41"/>
        <v>43311</v>
      </c>
      <c r="AF77" s="133">
        <f t="shared" ca="1" si="41"/>
        <v>43312</v>
      </c>
      <c r="AG77" s="18"/>
      <c r="AH77" s="35">
        <v>7</v>
      </c>
      <c r="AI77" s="18"/>
      <c r="AJ77" s="18"/>
      <c r="AK77" s="18"/>
      <c r="AL77" s="18"/>
      <c r="AM77" s="18"/>
      <c r="AN77" s="18"/>
      <c r="AO77" s="18"/>
      <c r="AP77" s="18"/>
      <c r="AQ77" s="18"/>
      <c r="AR77" s="18"/>
      <c r="AS77" s="18"/>
      <c r="AT77" s="18"/>
      <c r="AU77" s="18"/>
      <c r="AV77" s="18"/>
      <c r="AW77" s="71"/>
    </row>
    <row r="78" spans="1:49" x14ac:dyDescent="0.3">
      <c r="A78" s="59" t="s">
        <v>24</v>
      </c>
      <c r="B78" s="56" t="s">
        <v>30</v>
      </c>
      <c r="C78" s="56" t="s">
        <v>31</v>
      </c>
      <c r="D78" s="56" t="s">
        <v>32</v>
      </c>
      <c r="E78" s="56" t="s">
        <v>33</v>
      </c>
      <c r="F78" s="56" t="s">
        <v>34</v>
      </c>
      <c r="G78" s="56" t="s">
        <v>35</v>
      </c>
      <c r="H78" s="56" t="s">
        <v>36</v>
      </c>
      <c r="I78" s="56" t="s">
        <v>37</v>
      </c>
      <c r="J78" s="56" t="s">
        <v>38</v>
      </c>
      <c r="K78" s="56" t="s">
        <v>39</v>
      </c>
      <c r="L78" s="56" t="s">
        <v>40</v>
      </c>
      <c r="M78" s="56" t="s">
        <v>41</v>
      </c>
      <c r="N78" s="56" t="s">
        <v>42</v>
      </c>
      <c r="O78" s="56" t="s">
        <v>43</v>
      </c>
      <c r="P78" s="56" t="s">
        <v>44</v>
      </c>
      <c r="Q78" s="56" t="s">
        <v>45</v>
      </c>
      <c r="R78" s="56" t="s">
        <v>46</v>
      </c>
      <c r="S78" s="56" t="s">
        <v>47</v>
      </c>
      <c r="T78" s="56" t="s">
        <v>48</v>
      </c>
      <c r="U78" s="56" t="s">
        <v>49</v>
      </c>
      <c r="V78" s="56" t="s">
        <v>50</v>
      </c>
      <c r="W78" s="56" t="s">
        <v>51</v>
      </c>
      <c r="X78" s="56" t="s">
        <v>52</v>
      </c>
      <c r="Y78" s="56" t="s">
        <v>53</v>
      </c>
      <c r="Z78" s="56" t="s">
        <v>54</v>
      </c>
      <c r="AA78" s="56" t="s">
        <v>55</v>
      </c>
      <c r="AB78" s="56" t="s">
        <v>56</v>
      </c>
      <c r="AC78" s="56" t="s">
        <v>57</v>
      </c>
      <c r="AD78" s="60" t="s">
        <v>58</v>
      </c>
      <c r="AE78" s="60" t="s">
        <v>59</v>
      </c>
      <c r="AF78" s="60" t="s">
        <v>60</v>
      </c>
      <c r="AG78" s="18"/>
      <c r="AH78" s="59" t="s">
        <v>24</v>
      </c>
      <c r="AI78" s="40" t="s">
        <v>27</v>
      </c>
      <c r="AJ78" s="41" t="s">
        <v>80</v>
      </c>
      <c r="AK78" s="20" t="s">
        <v>76</v>
      </c>
      <c r="AL78" s="42" t="s">
        <v>70</v>
      </c>
      <c r="AM78" s="43" t="s">
        <v>81</v>
      </c>
      <c r="AN78" s="24" t="s">
        <v>3</v>
      </c>
      <c r="AO78" s="44" t="s">
        <v>25</v>
      </c>
      <c r="AP78" s="45" t="s">
        <v>67</v>
      </c>
      <c r="AQ78" s="31" t="s">
        <v>84</v>
      </c>
      <c r="AR78" s="70" t="s">
        <v>101</v>
      </c>
      <c r="AS78" s="46" t="s">
        <v>68</v>
      </c>
      <c r="AT78" s="34" t="s">
        <v>83</v>
      </c>
      <c r="AU78" s="64" t="s">
        <v>69</v>
      </c>
      <c r="AV78" s="58" t="s">
        <v>1</v>
      </c>
      <c r="AW78" s="81" t="s">
        <v>92</v>
      </c>
    </row>
    <row r="79" spans="1:49" ht="20.100000000000001" customHeight="1" x14ac:dyDescent="0.3">
      <c r="A79" s="48" t="s">
        <v>120</v>
      </c>
      <c r="B79" s="50"/>
      <c r="C79" s="50"/>
      <c r="D79" s="50"/>
      <c r="E79" s="50"/>
      <c r="F79" s="50"/>
      <c r="G79" s="50"/>
      <c r="H79" s="50"/>
      <c r="I79" s="50"/>
      <c r="J79" s="50"/>
      <c r="K79" s="50"/>
      <c r="L79" s="50"/>
      <c r="M79" s="50"/>
      <c r="N79" s="50"/>
      <c r="O79" s="50"/>
      <c r="P79" s="50"/>
      <c r="Q79" s="50"/>
      <c r="R79" s="50"/>
      <c r="S79" s="50"/>
      <c r="T79" s="50"/>
      <c r="U79" s="50"/>
      <c r="V79" s="50"/>
      <c r="W79" s="50"/>
      <c r="X79" s="50"/>
      <c r="Y79" s="50"/>
      <c r="Z79" s="50"/>
      <c r="AA79" s="50"/>
      <c r="AB79" s="50"/>
      <c r="AC79" s="50"/>
      <c r="AD79" s="50"/>
      <c r="AE79" s="50"/>
      <c r="AF79" s="50"/>
      <c r="AG79" s="18"/>
      <c r="AH79" s="48" t="s">
        <v>120</v>
      </c>
      <c r="AI79" s="51">
        <f>COUNTIF(Juillet[[#This Row],[1]:[31]],AI$6)</f>
        <v>0</v>
      </c>
      <c r="AJ79" s="51">
        <f>COUNTIF(Juillet[[#This Row],[1]:[31]],AJ$6)/2</f>
        <v>0</v>
      </c>
      <c r="AK79" s="51">
        <f>SUM(AI79:AJ79)</f>
        <v>0</v>
      </c>
      <c r="AL79" s="51">
        <f>COUNTIF(Juillet[[#This Row],[1]:[31]],AL$6)</f>
        <v>0</v>
      </c>
      <c r="AM79" s="51">
        <f>COUNTIF(Juillet[[#This Row],[1]:[31]],AM$6)/2</f>
        <v>0</v>
      </c>
      <c r="AN79" s="51">
        <f>SUM(AL79:AM79)</f>
        <v>0</v>
      </c>
      <c r="AO79" s="51">
        <f>COUNTIF(Juillet[[#This Row],[1]:[31]],AO$6)</f>
        <v>0</v>
      </c>
      <c r="AP79" s="51">
        <f>COUNTIF(Juillet[[#This Row],[1]:[31]],AP$6)</f>
        <v>0</v>
      </c>
      <c r="AQ79" s="51">
        <f>COUNTIF(Juillet[[#This Row],[1]:[31]],AQ$6)/2</f>
        <v>0</v>
      </c>
      <c r="AR79" s="51">
        <f>SUM(AP79:AQ79)</f>
        <v>0</v>
      </c>
      <c r="AS79" s="51">
        <f>COUNTIF(Juillet[[#This Row],[1]:[31]],AS$6)</f>
        <v>0</v>
      </c>
      <c r="AT79" s="51">
        <f>COUNTIF(Juillet[[#This Row],[1]:[31]],AT$6)/2</f>
        <v>0</v>
      </c>
      <c r="AU79" s="51">
        <f>SUM(AS79:AT79)</f>
        <v>0</v>
      </c>
      <c r="AV79" s="52">
        <f>AK79+AN79+AO79+AR79+AU79</f>
        <v>0</v>
      </c>
      <c r="AW79" s="82">
        <f>COUNTA(V67,AF67,W67,X67,Y67,Z67,AA67,AB67,AC67,AD67,AE67,B79:U79)</f>
        <v>0</v>
      </c>
    </row>
    <row r="80" spans="1:49" ht="20.100000000000001" customHeight="1" x14ac:dyDescent="0.3">
      <c r="A80" s="48" t="s">
        <v>121</v>
      </c>
      <c r="B80" s="50"/>
      <c r="C80" s="50"/>
      <c r="D80" s="50"/>
      <c r="E80" s="50"/>
      <c r="F80" s="50"/>
      <c r="G80" s="50"/>
      <c r="H80" s="50"/>
      <c r="I80" s="50"/>
      <c r="J80" s="50"/>
      <c r="K80" s="50"/>
      <c r="L80" s="50"/>
      <c r="M80" s="50"/>
      <c r="N80" s="50"/>
      <c r="O80" s="50"/>
      <c r="P80" s="50"/>
      <c r="Q80" s="50"/>
      <c r="R80" s="50"/>
      <c r="S80" s="50"/>
      <c r="T80" s="50"/>
      <c r="U80" s="50"/>
      <c r="V80" s="50"/>
      <c r="W80" s="50"/>
      <c r="X80" s="50"/>
      <c r="Y80" s="50"/>
      <c r="Z80" s="50"/>
      <c r="AA80" s="50"/>
      <c r="AB80" s="50"/>
      <c r="AC80" s="50"/>
      <c r="AD80" s="50"/>
      <c r="AE80" s="50"/>
      <c r="AF80" s="50"/>
      <c r="AG80" s="18"/>
      <c r="AH80" s="48" t="s">
        <v>121</v>
      </c>
      <c r="AI80" s="53">
        <f>COUNTIF(Juillet[[#This Row],[1]:[31]],AI$6)</f>
        <v>0</v>
      </c>
      <c r="AJ80" s="53">
        <f>COUNTIF(Juillet[[#This Row],[1]:[31]],AJ$6)/2</f>
        <v>0</v>
      </c>
      <c r="AK80" s="53">
        <f t="shared" ref="AK80:AK84" si="42">SUM(AI80:AJ80)</f>
        <v>0</v>
      </c>
      <c r="AL80" s="53">
        <f>COUNTIF(Juillet[[#This Row],[1]:[31]],AL$6)</f>
        <v>0</v>
      </c>
      <c r="AM80" s="53">
        <f>COUNTIF(Juillet[[#This Row],[1]:[31]],AM$6)/2</f>
        <v>0</v>
      </c>
      <c r="AN80" s="53">
        <f t="shared" ref="AN80:AN84" si="43">SUM(AL80:AM80)</f>
        <v>0</v>
      </c>
      <c r="AO80" s="53">
        <f>COUNTIF(Juillet[[#This Row],[1]:[31]],AO$6)</f>
        <v>0</v>
      </c>
      <c r="AP80" s="53">
        <f>COUNTIF(Juillet[[#This Row],[1]:[31]],AP$6)</f>
        <v>0</v>
      </c>
      <c r="AQ80" s="53">
        <f>COUNTIF(Juillet[[#This Row],[1]:[31]],AQ$6)/2</f>
        <v>0</v>
      </c>
      <c r="AR80" s="53">
        <f t="shared" ref="AR80:AR84" si="44">SUM(AP80:AQ80)</f>
        <v>0</v>
      </c>
      <c r="AS80" s="53">
        <f>COUNTIF(Juillet[[#This Row],[1]:[31]],AS$6)</f>
        <v>0</v>
      </c>
      <c r="AT80" s="53">
        <f>COUNTIF(Juillet[[#This Row],[1]:[31]],AT$6)/2</f>
        <v>0</v>
      </c>
      <c r="AU80" s="53">
        <f t="shared" ref="AU80:AU84" si="45">SUM(AS80:AT80)</f>
        <v>0</v>
      </c>
      <c r="AV80" s="54">
        <f t="shared" ref="AV80:AV84" si="46">AK80+AN80+AO80+AR80+AU80</f>
        <v>0</v>
      </c>
      <c r="AW80" s="83">
        <f t="shared" ref="AW80:AW84" si="47">COUNTA(V68,AF68,W68,X68,Y68,Z68,AA68,AB68,AC68,AD68,AE68,B80:U80)</f>
        <v>0</v>
      </c>
    </row>
    <row r="81" spans="1:49" ht="20.100000000000001" customHeight="1" x14ac:dyDescent="0.3">
      <c r="A81" s="48" t="s">
        <v>122</v>
      </c>
      <c r="B81" s="50"/>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18"/>
      <c r="AH81" s="48" t="s">
        <v>122</v>
      </c>
      <c r="AI81" s="51">
        <f>COUNTIF(Juillet[[#This Row],[1]:[31]],AI$6)</f>
        <v>0</v>
      </c>
      <c r="AJ81" s="51">
        <f>COUNTIF(Juillet[[#This Row],[1]:[31]],AJ$6)/2</f>
        <v>0</v>
      </c>
      <c r="AK81" s="51">
        <f t="shared" si="42"/>
        <v>0</v>
      </c>
      <c r="AL81" s="51">
        <f>COUNTIF(Juillet[[#This Row],[1]:[31]],AL$6)</f>
        <v>0</v>
      </c>
      <c r="AM81" s="51">
        <f>COUNTIF(Juillet[[#This Row],[1]:[31]],AM$6)/2</f>
        <v>0</v>
      </c>
      <c r="AN81" s="51">
        <f t="shared" si="43"/>
        <v>0</v>
      </c>
      <c r="AO81" s="51">
        <f>COUNTIF(Juillet[[#This Row],[1]:[31]],AO$6)</f>
        <v>0</v>
      </c>
      <c r="AP81" s="51">
        <f>COUNTIF(Juillet[[#This Row],[1]:[31]],AP$6)</f>
        <v>0</v>
      </c>
      <c r="AQ81" s="51">
        <f>COUNTIF(Juillet[[#This Row],[1]:[31]],AQ$6)/2</f>
        <v>0</v>
      </c>
      <c r="AR81" s="51">
        <f t="shared" si="44"/>
        <v>0</v>
      </c>
      <c r="AS81" s="51">
        <f>COUNTIF(Juillet[[#This Row],[1]:[31]],AS$6)</f>
        <v>0</v>
      </c>
      <c r="AT81" s="51">
        <f>COUNTIF(Juillet[[#This Row],[1]:[31]],AT$6)/2</f>
        <v>0</v>
      </c>
      <c r="AU81" s="51">
        <f t="shared" si="45"/>
        <v>0</v>
      </c>
      <c r="AV81" s="52">
        <f t="shared" si="46"/>
        <v>0</v>
      </c>
      <c r="AW81" s="82">
        <f t="shared" si="47"/>
        <v>0</v>
      </c>
    </row>
    <row r="82" spans="1:49" ht="20.100000000000001" customHeight="1" x14ac:dyDescent="0.3">
      <c r="A82" s="48" t="s">
        <v>123</v>
      </c>
      <c r="B82" s="50"/>
      <c r="C82" s="50"/>
      <c r="D82" s="50"/>
      <c r="E82" s="50"/>
      <c r="F82" s="50"/>
      <c r="G82" s="50"/>
      <c r="H82" s="50"/>
      <c r="I82" s="50"/>
      <c r="J82" s="50"/>
      <c r="K82" s="50"/>
      <c r="L82" s="50"/>
      <c r="M82" s="50"/>
      <c r="N82" s="50"/>
      <c r="O82" s="50"/>
      <c r="P82" s="50"/>
      <c r="Q82" s="50"/>
      <c r="R82" s="50"/>
      <c r="S82" s="50"/>
      <c r="T82" s="50"/>
      <c r="U82" s="50"/>
      <c r="V82" s="50"/>
      <c r="W82" s="50"/>
      <c r="X82" s="50"/>
      <c r="Y82" s="50"/>
      <c r="Z82" s="50"/>
      <c r="AA82" s="50"/>
      <c r="AB82" s="50"/>
      <c r="AC82" s="50"/>
      <c r="AD82" s="50"/>
      <c r="AE82" s="50"/>
      <c r="AF82" s="50"/>
      <c r="AG82" s="18"/>
      <c r="AH82" s="48" t="s">
        <v>123</v>
      </c>
      <c r="AI82" s="53">
        <f>COUNTIF(Juillet[[#This Row],[1]:[31]],AI$6)</f>
        <v>0</v>
      </c>
      <c r="AJ82" s="53">
        <f>COUNTIF(Juillet[[#This Row],[1]:[31]],AJ$6)/2</f>
        <v>0</v>
      </c>
      <c r="AK82" s="53">
        <f t="shared" si="42"/>
        <v>0</v>
      </c>
      <c r="AL82" s="53">
        <f>COUNTIF(Juillet[[#This Row],[1]:[31]],AL$6)</f>
        <v>0</v>
      </c>
      <c r="AM82" s="53">
        <f>COUNTIF(Juillet[[#This Row],[1]:[31]],AM$6)/2</f>
        <v>0</v>
      </c>
      <c r="AN82" s="53">
        <f t="shared" si="43"/>
        <v>0</v>
      </c>
      <c r="AO82" s="53">
        <f>COUNTIF(Juillet[[#This Row],[1]:[31]],AO$6)</f>
        <v>0</v>
      </c>
      <c r="AP82" s="53">
        <f>COUNTIF(Juillet[[#This Row],[1]:[31]],AP$6)</f>
        <v>0</v>
      </c>
      <c r="AQ82" s="53">
        <f>COUNTIF(Juillet[[#This Row],[1]:[31]],AQ$6)/2</f>
        <v>0</v>
      </c>
      <c r="AR82" s="53">
        <f t="shared" si="44"/>
        <v>0</v>
      </c>
      <c r="AS82" s="53">
        <f>COUNTIF(Juillet[[#This Row],[1]:[31]],AS$6)</f>
        <v>0</v>
      </c>
      <c r="AT82" s="53">
        <f>COUNTIF(Juillet[[#This Row],[1]:[31]],AT$6)/2</f>
        <v>0</v>
      </c>
      <c r="AU82" s="53">
        <f t="shared" si="45"/>
        <v>0</v>
      </c>
      <c r="AV82" s="54">
        <f t="shared" si="46"/>
        <v>0</v>
      </c>
      <c r="AW82" s="83">
        <f t="shared" si="47"/>
        <v>0</v>
      </c>
    </row>
    <row r="83" spans="1:49" ht="20.100000000000001" customHeight="1" x14ac:dyDescent="0.3">
      <c r="A83" s="48" t="s">
        <v>124</v>
      </c>
      <c r="B83" s="50"/>
      <c r="C83" s="50"/>
      <c r="D83" s="50"/>
      <c r="E83" s="50"/>
      <c r="F83" s="50"/>
      <c r="G83" s="50"/>
      <c r="H83" s="50"/>
      <c r="I83" s="50"/>
      <c r="J83" s="50"/>
      <c r="K83" s="50"/>
      <c r="L83" s="50"/>
      <c r="M83" s="50"/>
      <c r="N83" s="50"/>
      <c r="O83" s="50"/>
      <c r="P83" s="50"/>
      <c r="Q83" s="50"/>
      <c r="R83" s="50"/>
      <c r="S83" s="50"/>
      <c r="T83" s="50"/>
      <c r="U83" s="50"/>
      <c r="V83" s="50"/>
      <c r="W83" s="50"/>
      <c r="X83" s="50"/>
      <c r="Y83" s="50"/>
      <c r="Z83" s="50"/>
      <c r="AA83" s="50"/>
      <c r="AB83" s="50"/>
      <c r="AC83" s="50"/>
      <c r="AD83" s="50"/>
      <c r="AE83" s="50"/>
      <c r="AF83" s="50"/>
      <c r="AG83" s="18"/>
      <c r="AH83" s="48" t="s">
        <v>124</v>
      </c>
      <c r="AI83" s="51">
        <f>COUNTIF(Juillet[[#This Row],[1]:[31]],AI$6)</f>
        <v>0</v>
      </c>
      <c r="AJ83" s="51">
        <f>COUNTIF(Juillet[[#This Row],[1]:[31]],AJ$6)/2</f>
        <v>0</v>
      </c>
      <c r="AK83" s="51">
        <f t="shared" si="42"/>
        <v>0</v>
      </c>
      <c r="AL83" s="51">
        <f>COUNTIF(Juillet[[#This Row],[1]:[31]],AL$6)</f>
        <v>0</v>
      </c>
      <c r="AM83" s="51">
        <f>COUNTIF(Juillet[[#This Row],[1]:[31]],AM$6)/2</f>
        <v>0</v>
      </c>
      <c r="AN83" s="51">
        <f t="shared" si="43"/>
        <v>0</v>
      </c>
      <c r="AO83" s="51">
        <f>COUNTIF(Juillet[[#This Row],[1]:[31]],AO$6)</f>
        <v>0</v>
      </c>
      <c r="AP83" s="51">
        <f>COUNTIF(Juillet[[#This Row],[1]:[31]],AP$6)</f>
        <v>0</v>
      </c>
      <c r="AQ83" s="51">
        <f>COUNTIF(Juillet[[#This Row],[1]:[31]],AQ$6)/2</f>
        <v>0</v>
      </c>
      <c r="AR83" s="51">
        <f t="shared" si="44"/>
        <v>0</v>
      </c>
      <c r="AS83" s="51">
        <f>COUNTIF(Juillet[[#This Row],[1]:[31]],AS$6)</f>
        <v>0</v>
      </c>
      <c r="AT83" s="51">
        <f>COUNTIF(Juillet[[#This Row],[1]:[31]],AT$6)/2</f>
        <v>0</v>
      </c>
      <c r="AU83" s="51">
        <f t="shared" si="45"/>
        <v>0</v>
      </c>
      <c r="AV83" s="52">
        <f t="shared" si="46"/>
        <v>0</v>
      </c>
      <c r="AW83" s="82">
        <f t="shared" si="47"/>
        <v>0</v>
      </c>
    </row>
    <row r="84" spans="1:49" ht="20.100000000000001" customHeight="1" thickBot="1" x14ac:dyDescent="0.35">
      <c r="A84" s="48" t="s">
        <v>125</v>
      </c>
      <c r="B84" s="50"/>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18"/>
      <c r="AH84" s="48" t="s">
        <v>125</v>
      </c>
      <c r="AI84" s="53">
        <f>COUNTIF(Juillet[[#This Row],[1]:[31]],AI$6)</f>
        <v>0</v>
      </c>
      <c r="AJ84" s="53">
        <f>COUNTIF(Juillet[[#This Row],[1]:[31]],AJ$6)/2</f>
        <v>0</v>
      </c>
      <c r="AK84" s="53">
        <f t="shared" si="42"/>
        <v>0</v>
      </c>
      <c r="AL84" s="53">
        <f>COUNTIF(Juillet[[#This Row],[1]:[31]],AL$6)</f>
        <v>0</v>
      </c>
      <c r="AM84" s="53">
        <f>COUNTIF(Juillet[[#This Row],[1]:[31]],AM$6)/2</f>
        <v>0</v>
      </c>
      <c r="AN84" s="53">
        <f t="shared" si="43"/>
        <v>0</v>
      </c>
      <c r="AO84" s="53">
        <f>COUNTIF(Juillet[[#This Row],[1]:[31]],AO$6)</f>
        <v>0</v>
      </c>
      <c r="AP84" s="53">
        <f>COUNTIF(Juillet[[#This Row],[1]:[31]],AP$6)</f>
        <v>0</v>
      </c>
      <c r="AQ84" s="53">
        <f>COUNTIF(Juillet[[#This Row],[1]:[31]],AQ$6)/2</f>
        <v>0</v>
      </c>
      <c r="AR84" s="53">
        <f t="shared" si="44"/>
        <v>0</v>
      </c>
      <c r="AS84" s="53">
        <f>COUNTIF(Juillet[[#This Row],[1]:[31]],AS$6)</f>
        <v>0</v>
      </c>
      <c r="AT84" s="53">
        <f>COUNTIF(Juillet[[#This Row],[1]:[31]],AT$6)/2</f>
        <v>0</v>
      </c>
      <c r="AU84" s="53">
        <f t="shared" si="45"/>
        <v>0</v>
      </c>
      <c r="AV84" s="55">
        <f t="shared" si="46"/>
        <v>0</v>
      </c>
      <c r="AW84" s="84">
        <f t="shared" si="47"/>
        <v>0</v>
      </c>
    </row>
    <row r="86" spans="1:49" s="18" customFormat="1" ht="14.25" thickBot="1" x14ac:dyDescent="0.3">
      <c r="A86" s="19" t="s">
        <v>79</v>
      </c>
      <c r="B86" s="20" t="s">
        <v>27</v>
      </c>
      <c r="C86" s="21" t="s">
        <v>76</v>
      </c>
      <c r="E86" s="22" t="s">
        <v>80</v>
      </c>
      <c r="F86" s="23" t="s">
        <v>77</v>
      </c>
      <c r="G86" s="23"/>
      <c r="H86" s="24" t="s">
        <v>70</v>
      </c>
      <c r="I86" s="25" t="s">
        <v>3</v>
      </c>
      <c r="J86" s="23"/>
      <c r="K86" s="26" t="s">
        <v>81</v>
      </c>
      <c r="L86" s="27" t="s">
        <v>78</v>
      </c>
      <c r="M86" s="23"/>
      <c r="N86" s="28" t="s">
        <v>25</v>
      </c>
      <c r="O86" s="25" t="s">
        <v>28</v>
      </c>
      <c r="P86" s="25"/>
      <c r="Q86" s="29" t="s">
        <v>67</v>
      </c>
      <c r="R86" s="30" t="s">
        <v>66</v>
      </c>
      <c r="S86" s="30"/>
      <c r="T86" s="31" t="s">
        <v>84</v>
      </c>
      <c r="U86" s="23" t="s">
        <v>85</v>
      </c>
      <c r="V86" s="23"/>
      <c r="W86" s="23"/>
      <c r="X86" s="32" t="s">
        <v>68</v>
      </c>
      <c r="Y86" s="33" t="s">
        <v>69</v>
      </c>
      <c r="Z86" s="33"/>
      <c r="AA86" s="34" t="s">
        <v>83</v>
      </c>
      <c r="AB86" s="33" t="s">
        <v>86</v>
      </c>
      <c r="AC86" s="33"/>
      <c r="AD86" s="33"/>
      <c r="AE86" s="33"/>
      <c r="AF86" s="33"/>
      <c r="AW86" s="71"/>
    </row>
    <row r="87" spans="1:49" s="61" customFormat="1" ht="32.25" customHeight="1" x14ac:dyDescent="0.3">
      <c r="A87" s="126" t="s">
        <v>111</v>
      </c>
      <c r="B87" s="125"/>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H87" s="125"/>
    </row>
    <row r="88" spans="1:49" ht="30" thickBot="1" x14ac:dyDescent="0.35">
      <c r="A88" s="14" t="s">
        <v>73</v>
      </c>
      <c r="B88" s="140" t="s">
        <v>29</v>
      </c>
      <c r="C88" s="140"/>
      <c r="D88" s="140"/>
      <c r="E88" s="140"/>
      <c r="F88" s="140"/>
      <c r="G88" s="140"/>
      <c r="H88" s="140"/>
      <c r="I88" s="140"/>
      <c r="J88" s="140"/>
      <c r="K88" s="140"/>
      <c r="L88" s="140"/>
      <c r="M88" s="140"/>
      <c r="N88" s="140"/>
      <c r="O88" s="140"/>
      <c r="P88" s="140"/>
      <c r="Q88" s="140"/>
      <c r="R88" s="140"/>
      <c r="S88" s="140"/>
      <c r="T88" s="140"/>
      <c r="U88" s="140"/>
      <c r="V88" s="140"/>
      <c r="W88" s="140"/>
      <c r="X88" s="140"/>
      <c r="Y88" s="140"/>
      <c r="Z88" s="140"/>
      <c r="AA88" s="140"/>
      <c r="AB88" s="140"/>
      <c r="AC88" s="140"/>
      <c r="AD88" s="140"/>
      <c r="AE88" s="140"/>
      <c r="AF88" s="140"/>
      <c r="AG88" s="14"/>
      <c r="AH88" s="140" t="s">
        <v>91</v>
      </c>
      <c r="AI88" s="140"/>
      <c r="AJ88" s="140"/>
      <c r="AK88" s="140"/>
      <c r="AL88" s="140"/>
      <c r="AM88" s="140"/>
      <c r="AN88" s="140"/>
      <c r="AO88" s="140"/>
      <c r="AP88" s="140"/>
      <c r="AQ88" s="140"/>
      <c r="AR88" s="140"/>
      <c r="AS88" s="140"/>
      <c r="AT88" s="140"/>
      <c r="AU88" s="140"/>
      <c r="AV88" s="140"/>
      <c r="AW88" s="140"/>
    </row>
    <row r="89" spans="1:49" ht="18" thickTop="1" thickBot="1" x14ac:dyDescent="0.35">
      <c r="A89" s="35">
        <v>8</v>
      </c>
      <c r="B89" s="133">
        <f ca="1">DATE(RIGHT(CELL("nomfichier",A85),4),A89,1)</f>
        <v>43313</v>
      </c>
      <c r="C89" s="133">
        <f ca="1">B89+1</f>
        <v>43314</v>
      </c>
      <c r="D89" s="133">
        <f t="shared" ref="D89:AF89" ca="1" si="48">C89+1</f>
        <v>43315</v>
      </c>
      <c r="E89" s="133">
        <f t="shared" ca="1" si="48"/>
        <v>43316</v>
      </c>
      <c r="F89" s="133">
        <f t="shared" ca="1" si="48"/>
        <v>43317</v>
      </c>
      <c r="G89" s="133">
        <f t="shared" ca="1" si="48"/>
        <v>43318</v>
      </c>
      <c r="H89" s="133">
        <f t="shared" ca="1" si="48"/>
        <v>43319</v>
      </c>
      <c r="I89" s="133">
        <f t="shared" ca="1" si="48"/>
        <v>43320</v>
      </c>
      <c r="J89" s="133">
        <f t="shared" ca="1" si="48"/>
        <v>43321</v>
      </c>
      <c r="K89" s="133">
        <f t="shared" ca="1" si="48"/>
        <v>43322</v>
      </c>
      <c r="L89" s="133">
        <f t="shared" ca="1" si="48"/>
        <v>43323</v>
      </c>
      <c r="M89" s="133">
        <f t="shared" ca="1" si="48"/>
        <v>43324</v>
      </c>
      <c r="N89" s="133">
        <f t="shared" ca="1" si="48"/>
        <v>43325</v>
      </c>
      <c r="O89" s="133">
        <f t="shared" ca="1" si="48"/>
        <v>43326</v>
      </c>
      <c r="P89" s="133">
        <f t="shared" ca="1" si="48"/>
        <v>43327</v>
      </c>
      <c r="Q89" s="133">
        <f t="shared" ca="1" si="48"/>
        <v>43328</v>
      </c>
      <c r="R89" s="133">
        <f t="shared" ca="1" si="48"/>
        <v>43329</v>
      </c>
      <c r="S89" s="133">
        <f t="shared" ca="1" si="48"/>
        <v>43330</v>
      </c>
      <c r="T89" s="133">
        <f t="shared" ca="1" si="48"/>
        <v>43331</v>
      </c>
      <c r="U89" s="133">
        <f t="shared" ca="1" si="48"/>
        <v>43332</v>
      </c>
      <c r="V89" s="133">
        <f t="shared" ca="1" si="48"/>
        <v>43333</v>
      </c>
      <c r="W89" s="133">
        <f t="shared" ca="1" si="48"/>
        <v>43334</v>
      </c>
      <c r="X89" s="133">
        <f t="shared" ca="1" si="48"/>
        <v>43335</v>
      </c>
      <c r="Y89" s="133">
        <f t="shared" ca="1" si="48"/>
        <v>43336</v>
      </c>
      <c r="Z89" s="133">
        <f t="shared" ca="1" si="48"/>
        <v>43337</v>
      </c>
      <c r="AA89" s="133">
        <f t="shared" ca="1" si="48"/>
        <v>43338</v>
      </c>
      <c r="AB89" s="133">
        <f t="shared" ca="1" si="48"/>
        <v>43339</v>
      </c>
      <c r="AC89" s="133">
        <f t="shared" ca="1" si="48"/>
        <v>43340</v>
      </c>
      <c r="AD89" s="133">
        <f t="shared" ca="1" si="48"/>
        <v>43341</v>
      </c>
      <c r="AE89" s="133">
        <f t="shared" ca="1" si="48"/>
        <v>43342</v>
      </c>
      <c r="AF89" s="133">
        <f t="shared" ca="1" si="48"/>
        <v>43343</v>
      </c>
      <c r="AG89" s="18"/>
      <c r="AH89" s="35">
        <v>8</v>
      </c>
      <c r="AI89" s="18"/>
      <c r="AJ89" s="18"/>
      <c r="AK89" s="18"/>
      <c r="AL89" s="18"/>
      <c r="AM89" s="18"/>
      <c r="AN89" s="18"/>
      <c r="AO89" s="18"/>
      <c r="AP89" s="18"/>
      <c r="AQ89" s="18"/>
      <c r="AR89" s="18"/>
      <c r="AS89" s="18"/>
      <c r="AT89" s="18"/>
      <c r="AU89" s="18"/>
      <c r="AV89" s="18"/>
      <c r="AW89" s="71"/>
    </row>
    <row r="90" spans="1:49" x14ac:dyDescent="0.3">
      <c r="A90" s="59" t="s">
        <v>24</v>
      </c>
      <c r="B90" s="56" t="s">
        <v>30</v>
      </c>
      <c r="C90" s="56" t="s">
        <v>31</v>
      </c>
      <c r="D90" s="56" t="s">
        <v>32</v>
      </c>
      <c r="E90" s="56" t="s">
        <v>33</v>
      </c>
      <c r="F90" s="56" t="s">
        <v>34</v>
      </c>
      <c r="G90" s="56" t="s">
        <v>35</v>
      </c>
      <c r="H90" s="56" t="s">
        <v>36</v>
      </c>
      <c r="I90" s="56" t="s">
        <v>37</v>
      </c>
      <c r="J90" s="56" t="s">
        <v>38</v>
      </c>
      <c r="K90" s="56" t="s">
        <v>39</v>
      </c>
      <c r="L90" s="56" t="s">
        <v>40</v>
      </c>
      <c r="M90" s="56" t="s">
        <v>41</v>
      </c>
      <c r="N90" s="56" t="s">
        <v>42</v>
      </c>
      <c r="O90" s="56" t="s">
        <v>43</v>
      </c>
      <c r="P90" s="56" t="s">
        <v>44</v>
      </c>
      <c r="Q90" s="56" t="s">
        <v>45</v>
      </c>
      <c r="R90" s="56" t="s">
        <v>46</v>
      </c>
      <c r="S90" s="56" t="s">
        <v>47</v>
      </c>
      <c r="T90" s="56" t="s">
        <v>48</v>
      </c>
      <c r="U90" s="56" t="s">
        <v>49</v>
      </c>
      <c r="V90" s="56" t="s">
        <v>50</v>
      </c>
      <c r="W90" s="56" t="s">
        <v>51</v>
      </c>
      <c r="X90" s="56" t="s">
        <v>52</v>
      </c>
      <c r="Y90" s="56" t="s">
        <v>53</v>
      </c>
      <c r="Z90" s="56" t="s">
        <v>54</v>
      </c>
      <c r="AA90" s="56" t="s">
        <v>55</v>
      </c>
      <c r="AB90" s="56" t="s">
        <v>56</v>
      </c>
      <c r="AC90" s="56" t="s">
        <v>57</v>
      </c>
      <c r="AD90" s="60" t="s">
        <v>58</v>
      </c>
      <c r="AE90" s="60" t="s">
        <v>59</v>
      </c>
      <c r="AF90" s="60" t="s">
        <v>60</v>
      </c>
      <c r="AG90" s="18"/>
      <c r="AH90" s="59" t="s">
        <v>24</v>
      </c>
      <c r="AI90" s="40" t="s">
        <v>27</v>
      </c>
      <c r="AJ90" s="41" t="s">
        <v>80</v>
      </c>
      <c r="AK90" s="20" t="s">
        <v>76</v>
      </c>
      <c r="AL90" s="42" t="s">
        <v>70</v>
      </c>
      <c r="AM90" s="43" t="s">
        <v>81</v>
      </c>
      <c r="AN90" s="24" t="s">
        <v>3</v>
      </c>
      <c r="AO90" s="44" t="s">
        <v>25</v>
      </c>
      <c r="AP90" s="45" t="s">
        <v>67</v>
      </c>
      <c r="AQ90" s="31" t="s">
        <v>84</v>
      </c>
      <c r="AR90" s="70" t="s">
        <v>101</v>
      </c>
      <c r="AS90" s="46" t="s">
        <v>68</v>
      </c>
      <c r="AT90" s="34" t="s">
        <v>83</v>
      </c>
      <c r="AU90" s="64" t="s">
        <v>69</v>
      </c>
      <c r="AV90" s="58" t="s">
        <v>1</v>
      </c>
      <c r="AW90" s="81" t="s">
        <v>92</v>
      </c>
    </row>
    <row r="91" spans="1:49" ht="20.100000000000001" customHeight="1" x14ac:dyDescent="0.3">
      <c r="A91" s="48" t="s">
        <v>120</v>
      </c>
      <c r="B91" s="50"/>
      <c r="C91" s="50"/>
      <c r="D91" s="50"/>
      <c r="E91" s="50"/>
      <c r="F91" s="50"/>
      <c r="G91" s="50"/>
      <c r="H91" s="50"/>
      <c r="I91" s="50"/>
      <c r="J91" s="50"/>
      <c r="K91" s="50"/>
      <c r="L91" s="50"/>
      <c r="M91" s="50"/>
      <c r="N91" s="50"/>
      <c r="O91" s="50"/>
      <c r="P91" s="50"/>
      <c r="Q91" s="50"/>
      <c r="R91" s="50"/>
      <c r="S91" s="50"/>
      <c r="T91" s="50"/>
      <c r="U91" s="50"/>
      <c r="V91" s="50"/>
      <c r="W91" s="50"/>
      <c r="X91" s="50"/>
      <c r="Y91" s="50"/>
      <c r="Z91" s="50"/>
      <c r="AA91" s="50"/>
      <c r="AB91" s="50"/>
      <c r="AC91" s="50"/>
      <c r="AD91" s="50"/>
      <c r="AE91" s="50"/>
      <c r="AF91" s="50"/>
      <c r="AG91" s="18"/>
      <c r="AH91" s="48" t="s">
        <v>120</v>
      </c>
      <c r="AI91" s="51">
        <f>COUNTIF(Aout[[#This Row],[1]:[31]],AI$6)</f>
        <v>0</v>
      </c>
      <c r="AJ91" s="51">
        <f>COUNTIF(Aout[[#This Row],[1]:[31]],AJ$6)/2</f>
        <v>0</v>
      </c>
      <c r="AK91" s="51">
        <f>SUM(AI91:AJ91)</f>
        <v>0</v>
      </c>
      <c r="AL91" s="51">
        <f>COUNTIF(Aout[[#This Row],[1]:[31]],AL$6)</f>
        <v>0</v>
      </c>
      <c r="AM91" s="51">
        <f>COUNTIF(Aout[[#This Row],[1]:[31]],AM$6)/2</f>
        <v>0</v>
      </c>
      <c r="AN91" s="51">
        <f>SUM(AL91:AM91)</f>
        <v>0</v>
      </c>
      <c r="AO91" s="51">
        <f>COUNTIF(Aout[[#This Row],[1]:[31]],AO$6)</f>
        <v>0</v>
      </c>
      <c r="AP91" s="51">
        <f>COUNTIF(Aout[[#This Row],[1]:[31]],AP$6)</f>
        <v>0</v>
      </c>
      <c r="AQ91" s="51">
        <f>COUNTIF(Aout[[#This Row],[1]:[31]],AQ$6)/2</f>
        <v>0</v>
      </c>
      <c r="AR91" s="51">
        <f>SUM(AP91:AQ91)</f>
        <v>0</v>
      </c>
      <c r="AS91" s="51">
        <f>COUNTIF(Aout[[#This Row],[1]:[31]],AS$6)</f>
        <v>0</v>
      </c>
      <c r="AT91" s="51">
        <f>COUNTIF(Aout[[#This Row],[1]:[31]],AT$6)/2</f>
        <v>0</v>
      </c>
      <c r="AU91" s="51">
        <f>SUM(AS91:AT91)</f>
        <v>0</v>
      </c>
      <c r="AV91" s="52">
        <f>AK91+AN91+AO91+AR91+AU91</f>
        <v>0</v>
      </c>
      <c r="AW91" s="82">
        <f>COUNTA(V79,AF79,W79,X79,Y79,Z79,AA79,AB79,AC79,AD79,AE79,B91:U91)</f>
        <v>0</v>
      </c>
    </row>
    <row r="92" spans="1:49" ht="20.100000000000001" customHeight="1" x14ac:dyDescent="0.3">
      <c r="A92" s="48" t="s">
        <v>121</v>
      </c>
      <c r="B92" s="50"/>
      <c r="C92" s="50"/>
      <c r="D92" s="50"/>
      <c r="E92" s="50"/>
      <c r="F92" s="50"/>
      <c r="G92" s="50"/>
      <c r="H92" s="50"/>
      <c r="I92" s="50"/>
      <c r="J92" s="50"/>
      <c r="K92" s="50"/>
      <c r="L92" s="50"/>
      <c r="M92" s="50"/>
      <c r="N92" s="50"/>
      <c r="O92" s="50"/>
      <c r="P92" s="50"/>
      <c r="Q92" s="50"/>
      <c r="R92" s="50"/>
      <c r="S92" s="50"/>
      <c r="T92" s="50"/>
      <c r="U92" s="50"/>
      <c r="V92" s="50"/>
      <c r="W92" s="50"/>
      <c r="X92" s="50"/>
      <c r="Y92" s="50"/>
      <c r="Z92" s="50"/>
      <c r="AA92" s="50"/>
      <c r="AB92" s="50"/>
      <c r="AC92" s="50"/>
      <c r="AD92" s="50"/>
      <c r="AE92" s="50"/>
      <c r="AF92" s="50"/>
      <c r="AG92" s="18"/>
      <c r="AH92" s="48" t="s">
        <v>121</v>
      </c>
      <c r="AI92" s="53">
        <f>COUNTIF(Aout[[#This Row],[1]:[31]],AI$6)</f>
        <v>0</v>
      </c>
      <c r="AJ92" s="53">
        <f>COUNTIF(Aout[[#This Row],[1]:[31]],AJ$6)/2</f>
        <v>0</v>
      </c>
      <c r="AK92" s="53">
        <f t="shared" ref="AK92:AK96" si="49">SUM(AI92:AJ92)</f>
        <v>0</v>
      </c>
      <c r="AL92" s="53">
        <f>COUNTIF(Aout[[#This Row],[1]:[31]],AL$6)</f>
        <v>0</v>
      </c>
      <c r="AM92" s="53">
        <f>COUNTIF(Aout[[#This Row],[1]:[31]],AM$6)/2</f>
        <v>0</v>
      </c>
      <c r="AN92" s="53">
        <f t="shared" ref="AN92:AN96" si="50">SUM(AL92:AM92)</f>
        <v>0</v>
      </c>
      <c r="AO92" s="53">
        <f>COUNTIF(Aout[[#This Row],[1]:[31]],AO$6)</f>
        <v>0</v>
      </c>
      <c r="AP92" s="53">
        <f>COUNTIF(Aout[[#This Row],[1]:[31]],AP$6)</f>
        <v>0</v>
      </c>
      <c r="AQ92" s="53">
        <f>COUNTIF(Aout[[#This Row],[1]:[31]],AQ$6)/2</f>
        <v>0</v>
      </c>
      <c r="AR92" s="53">
        <f t="shared" ref="AR92:AR96" si="51">SUM(AP92:AQ92)</f>
        <v>0</v>
      </c>
      <c r="AS92" s="53">
        <f>COUNTIF(Aout[[#This Row],[1]:[31]],AS$6)</f>
        <v>0</v>
      </c>
      <c r="AT92" s="53">
        <f>COUNTIF(Aout[[#This Row],[1]:[31]],AT$6)/2</f>
        <v>0</v>
      </c>
      <c r="AU92" s="53">
        <f t="shared" ref="AU92:AU96" si="52">SUM(AS92:AT92)</f>
        <v>0</v>
      </c>
      <c r="AV92" s="54">
        <f t="shared" ref="AV92:AV96" si="53">AK92+AN92+AO92+AR92+AU92</f>
        <v>0</v>
      </c>
      <c r="AW92" s="83">
        <f t="shared" ref="AW92:AW96" si="54">COUNTA(V80,AF80,W80,X80,Y80,Z80,AA80,AB80,AC80,AD80,AE80,B92:U92)</f>
        <v>0</v>
      </c>
    </row>
    <row r="93" spans="1:49" ht="20.100000000000001" customHeight="1" x14ac:dyDescent="0.3">
      <c r="A93" s="48" t="s">
        <v>122</v>
      </c>
      <c r="B93" s="50"/>
      <c r="C93" s="50"/>
      <c r="D93" s="50"/>
      <c r="E93" s="50"/>
      <c r="F93" s="50"/>
      <c r="G93" s="50"/>
      <c r="H93" s="50"/>
      <c r="I93" s="50"/>
      <c r="J93" s="50"/>
      <c r="K93" s="50"/>
      <c r="L93" s="50"/>
      <c r="M93" s="50"/>
      <c r="N93" s="50"/>
      <c r="O93" s="50"/>
      <c r="P93" s="50"/>
      <c r="Q93" s="50"/>
      <c r="R93" s="50"/>
      <c r="S93" s="50"/>
      <c r="T93" s="50"/>
      <c r="U93" s="50"/>
      <c r="V93" s="50"/>
      <c r="W93" s="50"/>
      <c r="X93" s="50"/>
      <c r="Y93" s="50"/>
      <c r="Z93" s="50"/>
      <c r="AA93" s="50"/>
      <c r="AB93" s="50"/>
      <c r="AC93" s="50"/>
      <c r="AD93" s="50"/>
      <c r="AE93" s="50"/>
      <c r="AF93" s="50"/>
      <c r="AG93" s="18"/>
      <c r="AH93" s="48" t="s">
        <v>122</v>
      </c>
      <c r="AI93" s="51">
        <f>COUNTIF(Aout[[#This Row],[1]:[31]],AI$6)</f>
        <v>0</v>
      </c>
      <c r="AJ93" s="51">
        <f>COUNTIF(Aout[[#This Row],[1]:[31]],AJ$6)/2</f>
        <v>0</v>
      </c>
      <c r="AK93" s="51">
        <f t="shared" si="49"/>
        <v>0</v>
      </c>
      <c r="AL93" s="51">
        <f>COUNTIF(Aout[[#This Row],[1]:[31]],AL$6)</f>
        <v>0</v>
      </c>
      <c r="AM93" s="51">
        <f>COUNTIF(Aout[[#This Row],[1]:[31]],AM$6)/2</f>
        <v>0</v>
      </c>
      <c r="AN93" s="51">
        <f t="shared" si="50"/>
        <v>0</v>
      </c>
      <c r="AO93" s="51">
        <f>COUNTIF(Aout[[#This Row],[1]:[31]],AO$6)</f>
        <v>0</v>
      </c>
      <c r="AP93" s="51">
        <f>COUNTIF(Aout[[#This Row],[1]:[31]],AP$6)</f>
        <v>0</v>
      </c>
      <c r="AQ93" s="51">
        <f>COUNTIF(Aout[[#This Row],[1]:[31]],AQ$6)/2</f>
        <v>0</v>
      </c>
      <c r="AR93" s="51">
        <f t="shared" si="51"/>
        <v>0</v>
      </c>
      <c r="AS93" s="51">
        <f>COUNTIF(Aout[[#This Row],[1]:[31]],AS$6)</f>
        <v>0</v>
      </c>
      <c r="AT93" s="51">
        <f>COUNTIF(Aout[[#This Row],[1]:[31]],AT$6)/2</f>
        <v>0</v>
      </c>
      <c r="AU93" s="51">
        <f t="shared" si="52"/>
        <v>0</v>
      </c>
      <c r="AV93" s="52">
        <f t="shared" si="53"/>
        <v>0</v>
      </c>
      <c r="AW93" s="82">
        <f t="shared" si="54"/>
        <v>0</v>
      </c>
    </row>
    <row r="94" spans="1:49" ht="20.100000000000001" customHeight="1" x14ac:dyDescent="0.3">
      <c r="A94" s="48" t="s">
        <v>123</v>
      </c>
      <c r="B94" s="50"/>
      <c r="C94" s="50"/>
      <c r="D94" s="50"/>
      <c r="E94" s="50"/>
      <c r="F94" s="50"/>
      <c r="G94" s="50"/>
      <c r="H94" s="50"/>
      <c r="I94" s="50"/>
      <c r="J94" s="50"/>
      <c r="K94" s="50"/>
      <c r="L94" s="50"/>
      <c r="M94" s="50"/>
      <c r="N94" s="50"/>
      <c r="O94" s="50"/>
      <c r="P94" s="50"/>
      <c r="Q94" s="50"/>
      <c r="R94" s="50"/>
      <c r="S94" s="50"/>
      <c r="T94" s="50"/>
      <c r="U94" s="50"/>
      <c r="V94" s="50"/>
      <c r="W94" s="50"/>
      <c r="X94" s="50"/>
      <c r="Y94" s="50"/>
      <c r="Z94" s="50"/>
      <c r="AA94" s="50"/>
      <c r="AB94" s="50"/>
      <c r="AC94" s="50"/>
      <c r="AD94" s="50"/>
      <c r="AE94" s="50"/>
      <c r="AF94" s="50"/>
      <c r="AG94" s="18"/>
      <c r="AH94" s="48" t="s">
        <v>123</v>
      </c>
      <c r="AI94" s="53">
        <f>COUNTIF(Aout[[#This Row],[1]:[31]],AI$6)</f>
        <v>0</v>
      </c>
      <c r="AJ94" s="53">
        <f>COUNTIF(Aout[[#This Row],[1]:[31]],AJ$6)/2</f>
        <v>0</v>
      </c>
      <c r="AK94" s="53">
        <f t="shared" si="49"/>
        <v>0</v>
      </c>
      <c r="AL94" s="53">
        <f>COUNTIF(Aout[[#This Row],[1]:[31]],AL$6)</f>
        <v>0</v>
      </c>
      <c r="AM94" s="53">
        <f>COUNTIF(Aout[[#This Row],[1]:[31]],AM$6)/2</f>
        <v>0</v>
      </c>
      <c r="AN94" s="53">
        <f t="shared" si="50"/>
        <v>0</v>
      </c>
      <c r="AO94" s="53">
        <f>COUNTIF(Aout[[#This Row],[1]:[31]],AO$6)</f>
        <v>0</v>
      </c>
      <c r="AP94" s="53">
        <f>COUNTIF(Aout[[#This Row],[1]:[31]],AP$6)</f>
        <v>0</v>
      </c>
      <c r="AQ94" s="53">
        <f>COUNTIF(Aout[[#This Row],[1]:[31]],AQ$6)/2</f>
        <v>0</v>
      </c>
      <c r="AR94" s="53">
        <f t="shared" si="51"/>
        <v>0</v>
      </c>
      <c r="AS94" s="53">
        <f>COUNTIF(Aout[[#This Row],[1]:[31]],AS$6)</f>
        <v>0</v>
      </c>
      <c r="AT94" s="53">
        <f>COUNTIF(Aout[[#This Row],[1]:[31]],AT$6)/2</f>
        <v>0</v>
      </c>
      <c r="AU94" s="53">
        <f t="shared" si="52"/>
        <v>0</v>
      </c>
      <c r="AV94" s="54">
        <f t="shared" si="53"/>
        <v>0</v>
      </c>
      <c r="AW94" s="83">
        <f t="shared" si="54"/>
        <v>0</v>
      </c>
    </row>
    <row r="95" spans="1:49" ht="20.100000000000001" customHeight="1" x14ac:dyDescent="0.3">
      <c r="A95" s="48" t="s">
        <v>124</v>
      </c>
      <c r="B95" s="50"/>
      <c r="C95" s="50"/>
      <c r="D95" s="50"/>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0"/>
      <c r="AF95" s="50"/>
      <c r="AG95" s="18"/>
      <c r="AH95" s="48" t="s">
        <v>124</v>
      </c>
      <c r="AI95" s="51">
        <f>COUNTIF(Aout[[#This Row],[1]:[31]],AI$6)</f>
        <v>0</v>
      </c>
      <c r="AJ95" s="51">
        <f>COUNTIF(Aout[[#This Row],[1]:[31]],AJ$6)/2</f>
        <v>0</v>
      </c>
      <c r="AK95" s="51">
        <f t="shared" si="49"/>
        <v>0</v>
      </c>
      <c r="AL95" s="51">
        <f>COUNTIF(Aout[[#This Row],[1]:[31]],AL$6)</f>
        <v>0</v>
      </c>
      <c r="AM95" s="51">
        <f>COUNTIF(Aout[[#This Row],[1]:[31]],AM$6)/2</f>
        <v>0</v>
      </c>
      <c r="AN95" s="51">
        <f t="shared" si="50"/>
        <v>0</v>
      </c>
      <c r="AO95" s="51">
        <f>COUNTIF(Aout[[#This Row],[1]:[31]],AO$6)</f>
        <v>0</v>
      </c>
      <c r="AP95" s="51">
        <f>COUNTIF(Aout[[#This Row],[1]:[31]],AP$6)</f>
        <v>0</v>
      </c>
      <c r="AQ95" s="51">
        <f>COUNTIF(Aout[[#This Row],[1]:[31]],AQ$6)/2</f>
        <v>0</v>
      </c>
      <c r="AR95" s="51">
        <f t="shared" si="51"/>
        <v>0</v>
      </c>
      <c r="AS95" s="51">
        <f>COUNTIF(Aout[[#This Row],[1]:[31]],AS$6)</f>
        <v>0</v>
      </c>
      <c r="AT95" s="51">
        <f>COUNTIF(Aout[[#This Row],[1]:[31]],AT$6)/2</f>
        <v>0</v>
      </c>
      <c r="AU95" s="51">
        <f t="shared" si="52"/>
        <v>0</v>
      </c>
      <c r="AV95" s="52">
        <f t="shared" si="53"/>
        <v>0</v>
      </c>
      <c r="AW95" s="82">
        <f t="shared" si="54"/>
        <v>0</v>
      </c>
    </row>
    <row r="96" spans="1:49" ht="20.100000000000001" customHeight="1" thickBot="1" x14ac:dyDescent="0.35">
      <c r="A96" s="48" t="s">
        <v>125</v>
      </c>
      <c r="B96" s="50"/>
      <c r="C96" s="50"/>
      <c r="D96" s="50"/>
      <c r="E96" s="50"/>
      <c r="F96" s="50"/>
      <c r="G96" s="50"/>
      <c r="H96" s="50"/>
      <c r="I96" s="50"/>
      <c r="J96" s="50"/>
      <c r="K96" s="50"/>
      <c r="L96" s="50"/>
      <c r="M96" s="50"/>
      <c r="N96" s="50"/>
      <c r="O96" s="50"/>
      <c r="P96" s="50"/>
      <c r="Q96" s="50"/>
      <c r="R96" s="50"/>
      <c r="S96" s="50"/>
      <c r="T96" s="50"/>
      <c r="U96" s="50"/>
      <c r="V96" s="50"/>
      <c r="W96" s="50"/>
      <c r="X96" s="50"/>
      <c r="Y96" s="50"/>
      <c r="Z96" s="50"/>
      <c r="AA96" s="50"/>
      <c r="AB96" s="50"/>
      <c r="AC96" s="50"/>
      <c r="AD96" s="50"/>
      <c r="AE96" s="50"/>
      <c r="AF96" s="50"/>
      <c r="AG96" s="18"/>
      <c r="AH96" s="48" t="s">
        <v>125</v>
      </c>
      <c r="AI96" s="53">
        <f>COUNTIF(Aout[[#This Row],[1]:[31]],AI$6)</f>
        <v>0</v>
      </c>
      <c r="AJ96" s="53">
        <f>COUNTIF(Aout[[#This Row],[1]:[31]],AJ$6)/2</f>
        <v>0</v>
      </c>
      <c r="AK96" s="53">
        <f t="shared" si="49"/>
        <v>0</v>
      </c>
      <c r="AL96" s="53">
        <f>COUNTIF(Aout[[#This Row],[1]:[31]],AL$6)</f>
        <v>0</v>
      </c>
      <c r="AM96" s="53">
        <f>COUNTIF(Aout[[#This Row],[1]:[31]],AM$6)/2</f>
        <v>0</v>
      </c>
      <c r="AN96" s="53">
        <f t="shared" si="50"/>
        <v>0</v>
      </c>
      <c r="AO96" s="53">
        <f>COUNTIF(Aout[[#This Row],[1]:[31]],AO$6)</f>
        <v>0</v>
      </c>
      <c r="AP96" s="53">
        <f>COUNTIF(Aout[[#This Row],[1]:[31]],AP$6)</f>
        <v>0</v>
      </c>
      <c r="AQ96" s="53">
        <f>COUNTIF(Aout[[#This Row],[1]:[31]],AQ$6)/2</f>
        <v>0</v>
      </c>
      <c r="AR96" s="53">
        <f t="shared" si="51"/>
        <v>0</v>
      </c>
      <c r="AS96" s="53">
        <f>COUNTIF(Aout[[#This Row],[1]:[31]],AS$6)</f>
        <v>0</v>
      </c>
      <c r="AT96" s="53">
        <f>COUNTIF(Aout[[#This Row],[1]:[31]],AT$6)/2</f>
        <v>0</v>
      </c>
      <c r="AU96" s="53">
        <f t="shared" si="52"/>
        <v>0</v>
      </c>
      <c r="AV96" s="55">
        <f t="shared" si="53"/>
        <v>0</v>
      </c>
      <c r="AW96" s="84">
        <f t="shared" si="54"/>
        <v>0</v>
      </c>
    </row>
    <row r="98" spans="1:49" s="18" customFormat="1" ht="14.25" thickBot="1" x14ac:dyDescent="0.3">
      <c r="A98" s="19" t="s">
        <v>79</v>
      </c>
      <c r="B98" s="20" t="s">
        <v>27</v>
      </c>
      <c r="C98" s="21" t="s">
        <v>76</v>
      </c>
      <c r="E98" s="22" t="s">
        <v>80</v>
      </c>
      <c r="F98" s="23" t="s">
        <v>77</v>
      </c>
      <c r="G98" s="23"/>
      <c r="H98" s="24" t="s">
        <v>70</v>
      </c>
      <c r="I98" s="25" t="s">
        <v>3</v>
      </c>
      <c r="J98" s="23"/>
      <c r="K98" s="26" t="s">
        <v>81</v>
      </c>
      <c r="L98" s="27" t="s">
        <v>78</v>
      </c>
      <c r="M98" s="23"/>
      <c r="N98" s="28" t="s">
        <v>25</v>
      </c>
      <c r="O98" s="25" t="s">
        <v>28</v>
      </c>
      <c r="P98" s="25"/>
      <c r="Q98" s="29" t="s">
        <v>67</v>
      </c>
      <c r="R98" s="30" t="s">
        <v>66</v>
      </c>
      <c r="S98" s="30"/>
      <c r="T98" s="31" t="s">
        <v>84</v>
      </c>
      <c r="U98" s="23" t="s">
        <v>85</v>
      </c>
      <c r="V98" s="23"/>
      <c r="W98" s="23"/>
      <c r="X98" s="32" t="s">
        <v>68</v>
      </c>
      <c r="Y98" s="33" t="s">
        <v>69</v>
      </c>
      <c r="Z98" s="33"/>
      <c r="AA98" s="34" t="s">
        <v>83</v>
      </c>
      <c r="AB98" s="33" t="s">
        <v>86</v>
      </c>
      <c r="AC98" s="33"/>
      <c r="AD98" s="33"/>
      <c r="AE98" s="33"/>
      <c r="AF98" s="33"/>
      <c r="AW98" s="71"/>
    </row>
    <row r="99" spans="1:49" s="61" customFormat="1" ht="32.25" customHeight="1" x14ac:dyDescent="0.3">
      <c r="A99" s="126" t="s">
        <v>111</v>
      </c>
      <c r="B99" s="125"/>
      <c r="C99" s="125"/>
      <c r="D99" s="125"/>
      <c r="E99" s="125"/>
      <c r="F99" s="125"/>
      <c r="G99" s="125"/>
      <c r="H99" s="125"/>
      <c r="I99" s="125"/>
      <c r="J99" s="125"/>
      <c r="K99" s="125"/>
      <c r="L99" s="125"/>
      <c r="M99" s="125"/>
      <c r="N99" s="125"/>
      <c r="O99" s="125"/>
      <c r="P99" s="125"/>
      <c r="Q99" s="125"/>
      <c r="R99" s="125"/>
      <c r="S99" s="125"/>
      <c r="T99" s="125"/>
      <c r="U99" s="125"/>
      <c r="V99" s="125"/>
      <c r="W99" s="125"/>
      <c r="X99" s="125"/>
      <c r="Y99" s="125"/>
      <c r="Z99" s="125"/>
      <c r="AA99" s="125"/>
      <c r="AB99" s="125"/>
      <c r="AC99" s="125"/>
      <c r="AD99" s="125"/>
      <c r="AE99" s="125"/>
      <c r="AF99" s="125"/>
      <c r="AH99" s="125"/>
    </row>
    <row r="100" spans="1:49" ht="30" thickBot="1" x14ac:dyDescent="0.35">
      <c r="A100" s="14" t="s">
        <v>17</v>
      </c>
      <c r="B100" s="140" t="s">
        <v>29</v>
      </c>
      <c r="C100" s="140"/>
      <c r="D100" s="140"/>
      <c r="E100" s="140"/>
      <c r="F100" s="140"/>
      <c r="G100" s="140"/>
      <c r="H100" s="140"/>
      <c r="I100" s="140"/>
      <c r="J100" s="140"/>
      <c r="K100" s="140"/>
      <c r="L100" s="140"/>
      <c r="M100" s="140"/>
      <c r="N100" s="140"/>
      <c r="O100" s="140"/>
      <c r="P100" s="140"/>
      <c r="Q100" s="140"/>
      <c r="R100" s="140"/>
      <c r="S100" s="140"/>
      <c r="T100" s="140"/>
      <c r="U100" s="140"/>
      <c r="V100" s="140"/>
      <c r="W100" s="140"/>
      <c r="X100" s="140"/>
      <c r="Y100" s="140"/>
      <c r="Z100" s="140"/>
      <c r="AA100" s="140"/>
      <c r="AB100" s="140"/>
      <c r="AC100" s="140"/>
      <c r="AD100" s="140"/>
      <c r="AE100" s="140"/>
      <c r="AF100" s="140"/>
      <c r="AG100" s="14"/>
      <c r="AH100" s="140" t="s">
        <v>91</v>
      </c>
      <c r="AI100" s="140"/>
      <c r="AJ100" s="140"/>
      <c r="AK100" s="140"/>
      <c r="AL100" s="140"/>
      <c r="AM100" s="140"/>
      <c r="AN100" s="140"/>
      <c r="AO100" s="140"/>
      <c r="AP100" s="140"/>
      <c r="AQ100" s="140"/>
      <c r="AR100" s="140"/>
      <c r="AS100" s="140"/>
      <c r="AT100" s="140"/>
      <c r="AU100" s="140"/>
      <c r="AV100" s="140"/>
      <c r="AW100" s="140"/>
    </row>
    <row r="101" spans="1:49" ht="18" thickTop="1" thickBot="1" x14ac:dyDescent="0.35">
      <c r="A101" s="12">
        <v>9</v>
      </c>
      <c r="B101" s="133">
        <f ca="1">DATE(RIGHT(CELL("nomfichier",A97),4),A101,1)</f>
        <v>43344</v>
      </c>
      <c r="C101" s="133">
        <f ca="1">B101+1</f>
        <v>43345</v>
      </c>
      <c r="D101" s="133">
        <f t="shared" ref="D101:AE101" ca="1" si="55">C101+1</f>
        <v>43346</v>
      </c>
      <c r="E101" s="133">
        <f t="shared" ca="1" si="55"/>
        <v>43347</v>
      </c>
      <c r="F101" s="133">
        <f t="shared" ca="1" si="55"/>
        <v>43348</v>
      </c>
      <c r="G101" s="133">
        <f t="shared" ca="1" si="55"/>
        <v>43349</v>
      </c>
      <c r="H101" s="133">
        <f t="shared" ca="1" si="55"/>
        <v>43350</v>
      </c>
      <c r="I101" s="133">
        <f t="shared" ca="1" si="55"/>
        <v>43351</v>
      </c>
      <c r="J101" s="133">
        <f t="shared" ca="1" si="55"/>
        <v>43352</v>
      </c>
      <c r="K101" s="133">
        <f t="shared" ca="1" si="55"/>
        <v>43353</v>
      </c>
      <c r="L101" s="133">
        <f t="shared" ca="1" si="55"/>
        <v>43354</v>
      </c>
      <c r="M101" s="133">
        <f t="shared" ca="1" si="55"/>
        <v>43355</v>
      </c>
      <c r="N101" s="133">
        <f t="shared" ca="1" si="55"/>
        <v>43356</v>
      </c>
      <c r="O101" s="133">
        <f t="shared" ca="1" si="55"/>
        <v>43357</v>
      </c>
      <c r="P101" s="133">
        <f t="shared" ca="1" si="55"/>
        <v>43358</v>
      </c>
      <c r="Q101" s="133">
        <f t="shared" ca="1" si="55"/>
        <v>43359</v>
      </c>
      <c r="R101" s="133">
        <f t="shared" ca="1" si="55"/>
        <v>43360</v>
      </c>
      <c r="S101" s="133">
        <f t="shared" ca="1" si="55"/>
        <v>43361</v>
      </c>
      <c r="T101" s="133">
        <f t="shared" ca="1" si="55"/>
        <v>43362</v>
      </c>
      <c r="U101" s="133">
        <f t="shared" ca="1" si="55"/>
        <v>43363</v>
      </c>
      <c r="V101" s="133">
        <f t="shared" ca="1" si="55"/>
        <v>43364</v>
      </c>
      <c r="W101" s="133">
        <f t="shared" ca="1" si="55"/>
        <v>43365</v>
      </c>
      <c r="X101" s="133">
        <f t="shared" ca="1" si="55"/>
        <v>43366</v>
      </c>
      <c r="Y101" s="133">
        <f t="shared" ca="1" si="55"/>
        <v>43367</v>
      </c>
      <c r="Z101" s="133">
        <f t="shared" ca="1" si="55"/>
        <v>43368</v>
      </c>
      <c r="AA101" s="133">
        <f t="shared" ca="1" si="55"/>
        <v>43369</v>
      </c>
      <c r="AB101" s="133">
        <f t="shared" ca="1" si="55"/>
        <v>43370</v>
      </c>
      <c r="AC101" s="133">
        <f t="shared" ca="1" si="55"/>
        <v>43371</v>
      </c>
      <c r="AD101" s="133">
        <f t="shared" ca="1" si="55"/>
        <v>43372</v>
      </c>
      <c r="AE101" s="133">
        <f t="shared" ca="1" si="55"/>
        <v>43373</v>
      </c>
      <c r="AF101" s="133"/>
      <c r="AH101" s="12">
        <v>9</v>
      </c>
    </row>
    <row r="102" spans="1:49" x14ac:dyDescent="0.3">
      <c r="A102" s="59" t="s">
        <v>24</v>
      </c>
      <c r="B102" s="56" t="s">
        <v>30</v>
      </c>
      <c r="C102" s="56" t="s">
        <v>31</v>
      </c>
      <c r="D102" s="56" t="s">
        <v>32</v>
      </c>
      <c r="E102" s="56" t="s">
        <v>33</v>
      </c>
      <c r="F102" s="56" t="s">
        <v>34</v>
      </c>
      <c r="G102" s="56" t="s">
        <v>35</v>
      </c>
      <c r="H102" s="56" t="s">
        <v>36</v>
      </c>
      <c r="I102" s="56" t="s">
        <v>37</v>
      </c>
      <c r="J102" s="56" t="s">
        <v>38</v>
      </c>
      <c r="K102" s="56" t="s">
        <v>39</v>
      </c>
      <c r="L102" s="56" t="s">
        <v>40</v>
      </c>
      <c r="M102" s="56" t="s">
        <v>41</v>
      </c>
      <c r="N102" s="56" t="s">
        <v>42</v>
      </c>
      <c r="O102" s="56" t="s">
        <v>43</v>
      </c>
      <c r="P102" s="56" t="s">
        <v>44</v>
      </c>
      <c r="Q102" s="56" t="s">
        <v>45</v>
      </c>
      <c r="R102" s="56" t="s">
        <v>46</v>
      </c>
      <c r="S102" s="56" t="s">
        <v>47</v>
      </c>
      <c r="T102" s="56" t="s">
        <v>48</v>
      </c>
      <c r="U102" s="56" t="s">
        <v>49</v>
      </c>
      <c r="V102" s="56" t="s">
        <v>50</v>
      </c>
      <c r="W102" s="56" t="s">
        <v>51</v>
      </c>
      <c r="X102" s="56" t="s">
        <v>52</v>
      </c>
      <c r="Y102" s="56" t="s">
        <v>53</v>
      </c>
      <c r="Z102" s="56" t="s">
        <v>54</v>
      </c>
      <c r="AA102" s="56" t="s">
        <v>55</v>
      </c>
      <c r="AB102" s="56" t="s">
        <v>56</v>
      </c>
      <c r="AC102" s="56" t="s">
        <v>57</v>
      </c>
      <c r="AD102" s="60" t="s">
        <v>58</v>
      </c>
      <c r="AE102" s="60" t="s">
        <v>59</v>
      </c>
      <c r="AF102" s="57" t="s">
        <v>60</v>
      </c>
      <c r="AG102" s="18"/>
      <c r="AH102" s="59" t="s">
        <v>24</v>
      </c>
      <c r="AI102" s="40" t="s">
        <v>27</v>
      </c>
      <c r="AJ102" s="41" t="s">
        <v>80</v>
      </c>
      <c r="AK102" s="20" t="s">
        <v>76</v>
      </c>
      <c r="AL102" s="42" t="s">
        <v>70</v>
      </c>
      <c r="AM102" s="43" t="s">
        <v>81</v>
      </c>
      <c r="AN102" s="24" t="s">
        <v>3</v>
      </c>
      <c r="AO102" s="44" t="s">
        <v>25</v>
      </c>
      <c r="AP102" s="45" t="s">
        <v>67</v>
      </c>
      <c r="AQ102" s="31" t="s">
        <v>84</v>
      </c>
      <c r="AR102" s="70" t="s">
        <v>101</v>
      </c>
      <c r="AS102" s="46" t="s">
        <v>68</v>
      </c>
      <c r="AT102" s="34" t="s">
        <v>83</v>
      </c>
      <c r="AU102" s="64" t="s">
        <v>69</v>
      </c>
      <c r="AV102" s="58" t="s">
        <v>1</v>
      </c>
      <c r="AW102" s="81" t="s">
        <v>92</v>
      </c>
    </row>
    <row r="103" spans="1:49" ht="20.100000000000001" customHeight="1" x14ac:dyDescent="0.3">
      <c r="A103" s="48" t="s">
        <v>120</v>
      </c>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c r="AA103" s="50"/>
      <c r="AB103" s="50"/>
      <c r="AC103" s="50"/>
      <c r="AD103" s="50"/>
      <c r="AE103" s="50"/>
      <c r="AF103" s="50"/>
      <c r="AG103" s="18"/>
      <c r="AH103" s="48" t="s">
        <v>120</v>
      </c>
      <c r="AI103" s="51">
        <f>COUNTIF(Septembre[[#This Row],[1]:[31]],AI$6)</f>
        <v>0</v>
      </c>
      <c r="AJ103" s="51">
        <f>COUNTIF(Septembre[[#This Row],[1]:[31]],AJ$6)/2</f>
        <v>0</v>
      </c>
      <c r="AK103" s="51">
        <f>SUM(AI103:AJ103)</f>
        <v>0</v>
      </c>
      <c r="AL103" s="51">
        <f>COUNTIF(Septembre[[#This Row],[1]:[31]],AL$6)</f>
        <v>0</v>
      </c>
      <c r="AM103" s="51">
        <f>COUNTIF(Septembre[[#This Row],[1]:[31]],AM$6)/2</f>
        <v>0</v>
      </c>
      <c r="AN103" s="51">
        <f>SUM(AL103:AM103)</f>
        <v>0</v>
      </c>
      <c r="AO103" s="51">
        <f>COUNTIF(Septembre[[#This Row],[1]:[31]],AO$6)</f>
        <v>0</v>
      </c>
      <c r="AP103" s="51">
        <f>COUNTIF(Septembre[[#This Row],[1]:[31]],AP$6)</f>
        <v>0</v>
      </c>
      <c r="AQ103" s="51">
        <f>COUNTIF(Septembre[[#This Row],[1]:[31]],AQ$6)/2</f>
        <v>0</v>
      </c>
      <c r="AR103" s="51">
        <f>SUM(AP103:AQ103)</f>
        <v>0</v>
      </c>
      <c r="AS103" s="51">
        <f>COUNTIF(Septembre[[#This Row],[1]:[31]],AS$6)</f>
        <v>0</v>
      </c>
      <c r="AT103" s="51">
        <f>COUNTIF(Septembre[[#This Row],[1]:[31]],AT$6)/2</f>
        <v>0</v>
      </c>
      <c r="AU103" s="51">
        <f>SUM(AS103:AT103)</f>
        <v>0</v>
      </c>
      <c r="AV103" s="52">
        <f>AK103+AN103+AO103+AR103+AU103</f>
        <v>0</v>
      </c>
      <c r="AW103" s="82">
        <f>COUNTA(V91,AF91,W91,X91,Y91,Z91,AA91,AB91,AC91,AD91,AE91,B103:U103)</f>
        <v>0</v>
      </c>
    </row>
    <row r="104" spans="1:49" ht="20.100000000000001" customHeight="1" x14ac:dyDescent="0.3">
      <c r="A104" s="48" t="s">
        <v>121</v>
      </c>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c r="AA104" s="50"/>
      <c r="AB104" s="50"/>
      <c r="AC104" s="50"/>
      <c r="AD104" s="50"/>
      <c r="AE104" s="50"/>
      <c r="AF104" s="50"/>
      <c r="AG104" s="18"/>
      <c r="AH104" s="48" t="s">
        <v>121</v>
      </c>
      <c r="AI104" s="53">
        <f>COUNTIF(Septembre[[#This Row],[1]:[31]],AI$6)</f>
        <v>0</v>
      </c>
      <c r="AJ104" s="53">
        <f>COUNTIF(Septembre[[#This Row],[1]:[31]],AJ$6)/2</f>
        <v>0</v>
      </c>
      <c r="AK104" s="53">
        <f t="shared" ref="AK104:AK108" si="56">SUM(AI104:AJ104)</f>
        <v>0</v>
      </c>
      <c r="AL104" s="53">
        <f>COUNTIF(Septembre[[#This Row],[1]:[31]],AL$6)</f>
        <v>0</v>
      </c>
      <c r="AM104" s="53">
        <f>COUNTIF(Septembre[[#This Row],[1]:[31]],AM$6)/2</f>
        <v>0</v>
      </c>
      <c r="AN104" s="53">
        <f t="shared" ref="AN104:AN108" si="57">SUM(AL104:AM104)</f>
        <v>0</v>
      </c>
      <c r="AO104" s="53">
        <f>COUNTIF(Septembre[[#This Row],[1]:[31]],AO$6)</f>
        <v>0</v>
      </c>
      <c r="AP104" s="53">
        <f>COUNTIF(Septembre[[#This Row],[1]:[31]],AP$6)</f>
        <v>0</v>
      </c>
      <c r="AQ104" s="53">
        <f>COUNTIF(Septembre[[#This Row],[1]:[31]],AQ$6)/2</f>
        <v>0</v>
      </c>
      <c r="AR104" s="53">
        <f t="shared" ref="AR104:AR108" si="58">SUM(AP104:AQ104)</f>
        <v>0</v>
      </c>
      <c r="AS104" s="53">
        <f>COUNTIF(Septembre[[#This Row],[1]:[31]],AS$6)</f>
        <v>0</v>
      </c>
      <c r="AT104" s="53">
        <f>COUNTIF(Septembre[[#This Row],[1]:[31]],AT$6)/2</f>
        <v>0</v>
      </c>
      <c r="AU104" s="53">
        <f t="shared" ref="AU104:AU108" si="59">SUM(AS104:AT104)</f>
        <v>0</v>
      </c>
      <c r="AV104" s="54">
        <f t="shared" ref="AV104:AV108" si="60">AK104+AN104+AO104+AR104+AU104</f>
        <v>0</v>
      </c>
      <c r="AW104" s="83">
        <f t="shared" ref="AW104:AW108" si="61">COUNTA(V92,AF92,W92,X92,Y92,Z92,AA92,AB92,AC92,AD92,AE92,B104:U104)</f>
        <v>0</v>
      </c>
    </row>
    <row r="105" spans="1:49" ht="20.100000000000001" customHeight="1" x14ac:dyDescent="0.3">
      <c r="A105" s="48" t="s">
        <v>122</v>
      </c>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c r="AA105" s="50"/>
      <c r="AB105" s="50"/>
      <c r="AC105" s="50"/>
      <c r="AD105" s="50"/>
      <c r="AE105" s="50"/>
      <c r="AF105" s="50"/>
      <c r="AG105" s="18"/>
      <c r="AH105" s="48" t="s">
        <v>122</v>
      </c>
      <c r="AI105" s="51">
        <f>COUNTIF(Septembre[[#This Row],[1]:[31]],AI$6)</f>
        <v>0</v>
      </c>
      <c r="AJ105" s="51">
        <f>COUNTIF(Septembre[[#This Row],[1]:[31]],AJ$6)/2</f>
        <v>0</v>
      </c>
      <c r="AK105" s="51">
        <f t="shared" si="56"/>
        <v>0</v>
      </c>
      <c r="AL105" s="51">
        <f>COUNTIF(Septembre[[#This Row],[1]:[31]],AL$6)</f>
        <v>0</v>
      </c>
      <c r="AM105" s="51">
        <f>COUNTIF(Septembre[[#This Row],[1]:[31]],AM$6)/2</f>
        <v>0</v>
      </c>
      <c r="AN105" s="51">
        <f t="shared" si="57"/>
        <v>0</v>
      </c>
      <c r="AO105" s="51">
        <f>COUNTIF(Septembre[[#This Row],[1]:[31]],AO$6)</f>
        <v>0</v>
      </c>
      <c r="AP105" s="51">
        <f>COUNTIF(Septembre[[#This Row],[1]:[31]],AP$6)</f>
        <v>0</v>
      </c>
      <c r="AQ105" s="51">
        <f>COUNTIF(Septembre[[#This Row],[1]:[31]],AQ$6)/2</f>
        <v>0</v>
      </c>
      <c r="AR105" s="51">
        <f t="shared" si="58"/>
        <v>0</v>
      </c>
      <c r="AS105" s="51">
        <f>COUNTIF(Septembre[[#This Row],[1]:[31]],AS$6)</f>
        <v>0</v>
      </c>
      <c r="AT105" s="51">
        <f>COUNTIF(Septembre[[#This Row],[1]:[31]],AT$6)/2</f>
        <v>0</v>
      </c>
      <c r="AU105" s="51">
        <f t="shared" si="59"/>
        <v>0</v>
      </c>
      <c r="AV105" s="52">
        <f t="shared" si="60"/>
        <v>0</v>
      </c>
      <c r="AW105" s="82">
        <f t="shared" si="61"/>
        <v>0</v>
      </c>
    </row>
    <row r="106" spans="1:49" ht="20.100000000000001" customHeight="1" x14ac:dyDescent="0.3">
      <c r="A106" s="48" t="s">
        <v>123</v>
      </c>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c r="AA106" s="50"/>
      <c r="AB106" s="50"/>
      <c r="AC106" s="50"/>
      <c r="AD106" s="50"/>
      <c r="AE106" s="50"/>
      <c r="AF106" s="50"/>
      <c r="AG106" s="18"/>
      <c r="AH106" s="48" t="s">
        <v>123</v>
      </c>
      <c r="AI106" s="53">
        <f>COUNTIF(Septembre[[#This Row],[1]:[31]],AI$6)</f>
        <v>0</v>
      </c>
      <c r="AJ106" s="53">
        <f>COUNTIF(Septembre[[#This Row],[1]:[31]],AJ$6)/2</f>
        <v>0</v>
      </c>
      <c r="AK106" s="53">
        <f t="shared" si="56"/>
        <v>0</v>
      </c>
      <c r="AL106" s="53">
        <f>COUNTIF(Septembre[[#This Row],[1]:[31]],AL$6)</f>
        <v>0</v>
      </c>
      <c r="AM106" s="53">
        <f>COUNTIF(Septembre[[#This Row],[1]:[31]],AM$6)/2</f>
        <v>0</v>
      </c>
      <c r="AN106" s="53">
        <f t="shared" si="57"/>
        <v>0</v>
      </c>
      <c r="AO106" s="53">
        <f>COUNTIF(Septembre[[#This Row],[1]:[31]],AO$6)</f>
        <v>0</v>
      </c>
      <c r="AP106" s="53">
        <f>COUNTIF(Septembre[[#This Row],[1]:[31]],AP$6)</f>
        <v>0</v>
      </c>
      <c r="AQ106" s="53">
        <f>COUNTIF(Septembre[[#This Row],[1]:[31]],AQ$6)/2</f>
        <v>0</v>
      </c>
      <c r="AR106" s="53">
        <f t="shared" si="58"/>
        <v>0</v>
      </c>
      <c r="AS106" s="53">
        <f>COUNTIF(Septembre[[#This Row],[1]:[31]],AS$6)</f>
        <v>0</v>
      </c>
      <c r="AT106" s="53">
        <f>COUNTIF(Septembre[[#This Row],[1]:[31]],AT$6)/2</f>
        <v>0</v>
      </c>
      <c r="AU106" s="53">
        <f t="shared" si="59"/>
        <v>0</v>
      </c>
      <c r="AV106" s="54">
        <f t="shared" si="60"/>
        <v>0</v>
      </c>
      <c r="AW106" s="83">
        <f t="shared" si="61"/>
        <v>0</v>
      </c>
    </row>
    <row r="107" spans="1:49" ht="20.100000000000001" customHeight="1" x14ac:dyDescent="0.3">
      <c r="A107" s="48" t="s">
        <v>124</v>
      </c>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c r="AA107" s="50"/>
      <c r="AB107" s="50"/>
      <c r="AC107" s="50"/>
      <c r="AD107" s="50"/>
      <c r="AE107" s="50"/>
      <c r="AF107" s="50"/>
      <c r="AG107" s="18"/>
      <c r="AH107" s="48" t="s">
        <v>124</v>
      </c>
      <c r="AI107" s="51">
        <f>COUNTIF(Septembre[[#This Row],[1]:[31]],AI$6)</f>
        <v>0</v>
      </c>
      <c r="AJ107" s="51">
        <f>COUNTIF(Septembre[[#This Row],[1]:[31]],AJ$6)/2</f>
        <v>0</v>
      </c>
      <c r="AK107" s="51">
        <f t="shared" si="56"/>
        <v>0</v>
      </c>
      <c r="AL107" s="51">
        <f>COUNTIF(Septembre[[#This Row],[1]:[31]],AL$6)</f>
        <v>0</v>
      </c>
      <c r="AM107" s="51">
        <f>COUNTIF(Septembre[[#This Row],[1]:[31]],AM$6)/2</f>
        <v>0</v>
      </c>
      <c r="AN107" s="51">
        <f t="shared" si="57"/>
        <v>0</v>
      </c>
      <c r="AO107" s="51">
        <f>COUNTIF(Septembre[[#This Row],[1]:[31]],AO$6)</f>
        <v>0</v>
      </c>
      <c r="AP107" s="51">
        <f>COUNTIF(Septembre[[#This Row],[1]:[31]],AP$6)</f>
        <v>0</v>
      </c>
      <c r="AQ107" s="51">
        <f>COUNTIF(Septembre[[#This Row],[1]:[31]],AQ$6)/2</f>
        <v>0</v>
      </c>
      <c r="AR107" s="51">
        <f t="shared" si="58"/>
        <v>0</v>
      </c>
      <c r="AS107" s="51">
        <f>COUNTIF(Septembre[[#This Row],[1]:[31]],AS$6)</f>
        <v>0</v>
      </c>
      <c r="AT107" s="51">
        <f>COUNTIF(Septembre[[#This Row],[1]:[31]],AT$6)/2</f>
        <v>0</v>
      </c>
      <c r="AU107" s="51">
        <f t="shared" si="59"/>
        <v>0</v>
      </c>
      <c r="AV107" s="52">
        <f t="shared" si="60"/>
        <v>0</v>
      </c>
      <c r="AW107" s="82">
        <f t="shared" si="61"/>
        <v>0</v>
      </c>
    </row>
    <row r="108" spans="1:49" ht="20.100000000000001" customHeight="1" thickBot="1" x14ac:dyDescent="0.35">
      <c r="A108" s="48" t="s">
        <v>125</v>
      </c>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c r="AA108" s="50"/>
      <c r="AB108" s="50"/>
      <c r="AC108" s="50"/>
      <c r="AD108" s="50"/>
      <c r="AE108" s="50"/>
      <c r="AF108" s="50"/>
      <c r="AG108" s="18"/>
      <c r="AH108" s="48" t="s">
        <v>125</v>
      </c>
      <c r="AI108" s="53">
        <f>COUNTIF(Septembre[[#This Row],[1]:[31]],AI$6)</f>
        <v>0</v>
      </c>
      <c r="AJ108" s="53">
        <f>COUNTIF(Septembre[[#This Row],[1]:[31]],AJ$6)/2</f>
        <v>0</v>
      </c>
      <c r="AK108" s="53">
        <f t="shared" si="56"/>
        <v>0</v>
      </c>
      <c r="AL108" s="53">
        <f>COUNTIF(Septembre[[#This Row],[1]:[31]],AL$6)</f>
        <v>0</v>
      </c>
      <c r="AM108" s="53">
        <f>COUNTIF(Septembre[[#This Row],[1]:[31]],AM$6)/2</f>
        <v>0</v>
      </c>
      <c r="AN108" s="53">
        <f t="shared" si="57"/>
        <v>0</v>
      </c>
      <c r="AO108" s="53">
        <f>COUNTIF(Septembre[[#This Row],[1]:[31]],AO$6)</f>
        <v>0</v>
      </c>
      <c r="AP108" s="53">
        <f>COUNTIF(Septembre[[#This Row],[1]:[31]],AP$6)</f>
        <v>0</v>
      </c>
      <c r="AQ108" s="53">
        <f>COUNTIF(Septembre[[#This Row],[1]:[31]],AQ$6)/2</f>
        <v>0</v>
      </c>
      <c r="AR108" s="53">
        <f t="shared" si="58"/>
        <v>0</v>
      </c>
      <c r="AS108" s="53">
        <f>COUNTIF(Septembre[[#This Row],[1]:[31]],AS$6)</f>
        <v>0</v>
      </c>
      <c r="AT108" s="53">
        <f>COUNTIF(Septembre[[#This Row],[1]:[31]],AT$6)/2</f>
        <v>0</v>
      </c>
      <c r="AU108" s="53">
        <f t="shared" si="59"/>
        <v>0</v>
      </c>
      <c r="AV108" s="55">
        <f t="shared" si="60"/>
        <v>0</v>
      </c>
      <c r="AW108" s="84">
        <f t="shared" si="61"/>
        <v>0</v>
      </c>
    </row>
    <row r="110" spans="1:49" s="18" customFormat="1" ht="14.25" thickBot="1" x14ac:dyDescent="0.3">
      <c r="A110" s="19" t="s">
        <v>79</v>
      </c>
      <c r="B110" s="20" t="s">
        <v>27</v>
      </c>
      <c r="C110" s="21" t="s">
        <v>76</v>
      </c>
      <c r="E110" s="22" t="s">
        <v>80</v>
      </c>
      <c r="F110" s="23" t="s">
        <v>77</v>
      </c>
      <c r="G110" s="23"/>
      <c r="H110" s="24" t="s">
        <v>70</v>
      </c>
      <c r="I110" s="25" t="s">
        <v>3</v>
      </c>
      <c r="J110" s="23"/>
      <c r="K110" s="26" t="s">
        <v>81</v>
      </c>
      <c r="L110" s="27" t="s">
        <v>78</v>
      </c>
      <c r="M110" s="23"/>
      <c r="N110" s="28" t="s">
        <v>25</v>
      </c>
      <c r="O110" s="25" t="s">
        <v>28</v>
      </c>
      <c r="P110" s="25"/>
      <c r="Q110" s="29" t="s">
        <v>67</v>
      </c>
      <c r="R110" s="30" t="s">
        <v>66</v>
      </c>
      <c r="S110" s="30"/>
      <c r="T110" s="31" t="s">
        <v>84</v>
      </c>
      <c r="U110" s="23" t="s">
        <v>85</v>
      </c>
      <c r="V110" s="23"/>
      <c r="W110" s="23"/>
      <c r="X110" s="32" t="s">
        <v>68</v>
      </c>
      <c r="Y110" s="33" t="s">
        <v>69</v>
      </c>
      <c r="Z110" s="33"/>
      <c r="AA110" s="34" t="s">
        <v>83</v>
      </c>
      <c r="AB110" s="33" t="s">
        <v>86</v>
      </c>
      <c r="AC110" s="33"/>
      <c r="AD110" s="33"/>
      <c r="AE110" s="33"/>
      <c r="AF110" s="33"/>
      <c r="AW110" s="71"/>
    </row>
    <row r="111" spans="1:49" s="61" customFormat="1" ht="32.25" customHeight="1" x14ac:dyDescent="0.3">
      <c r="A111" s="126" t="s">
        <v>111</v>
      </c>
      <c r="B111" s="125"/>
      <c r="C111" s="125"/>
      <c r="D111" s="125"/>
      <c r="E111" s="125"/>
      <c r="F111" s="125"/>
      <c r="G111" s="125"/>
      <c r="H111" s="125"/>
      <c r="I111" s="125"/>
      <c r="J111" s="125"/>
      <c r="K111" s="125"/>
      <c r="L111" s="125"/>
      <c r="M111" s="125"/>
      <c r="N111" s="125"/>
      <c r="O111" s="125"/>
      <c r="P111" s="125"/>
      <c r="Q111" s="125"/>
      <c r="R111" s="125"/>
      <c r="S111" s="125"/>
      <c r="T111" s="125"/>
      <c r="U111" s="125"/>
      <c r="V111" s="125"/>
      <c r="W111" s="125"/>
      <c r="X111" s="125"/>
      <c r="Y111" s="125"/>
      <c r="Z111" s="125"/>
      <c r="AA111" s="125"/>
      <c r="AB111" s="125"/>
      <c r="AC111" s="125"/>
      <c r="AD111" s="125"/>
      <c r="AE111" s="125"/>
      <c r="AF111" s="125"/>
      <c r="AH111" s="125"/>
    </row>
    <row r="112" spans="1:49" ht="30" thickBot="1" x14ac:dyDescent="0.35">
      <c r="A112" s="14" t="s">
        <v>18</v>
      </c>
      <c r="B112" s="140" t="s">
        <v>29</v>
      </c>
      <c r="C112" s="140"/>
      <c r="D112" s="140"/>
      <c r="E112" s="140"/>
      <c r="F112" s="140"/>
      <c r="G112" s="140"/>
      <c r="H112" s="140"/>
      <c r="I112" s="140"/>
      <c r="J112" s="140"/>
      <c r="K112" s="140"/>
      <c r="L112" s="140"/>
      <c r="M112" s="140"/>
      <c r="N112" s="140"/>
      <c r="O112" s="140"/>
      <c r="P112" s="140"/>
      <c r="Q112" s="140"/>
      <c r="R112" s="140"/>
      <c r="S112" s="140"/>
      <c r="T112" s="140"/>
      <c r="U112" s="140"/>
      <c r="V112" s="140"/>
      <c r="W112" s="140"/>
      <c r="X112" s="140"/>
      <c r="Y112" s="140"/>
      <c r="Z112" s="140"/>
      <c r="AA112" s="140"/>
      <c r="AB112" s="140"/>
      <c r="AC112" s="140"/>
      <c r="AD112" s="140"/>
      <c r="AE112" s="140"/>
      <c r="AF112" s="140"/>
      <c r="AG112" s="14"/>
      <c r="AH112" s="140" t="s">
        <v>91</v>
      </c>
      <c r="AI112" s="140"/>
      <c r="AJ112" s="140"/>
      <c r="AK112" s="140"/>
      <c r="AL112" s="140"/>
      <c r="AM112" s="140"/>
      <c r="AN112" s="140"/>
      <c r="AO112" s="140"/>
      <c r="AP112" s="140"/>
      <c r="AQ112" s="140"/>
      <c r="AR112" s="140"/>
      <c r="AS112" s="140"/>
      <c r="AT112" s="140"/>
      <c r="AU112" s="140"/>
      <c r="AV112" s="140"/>
      <c r="AW112" s="140"/>
    </row>
    <row r="113" spans="1:49" ht="18" thickTop="1" thickBot="1" x14ac:dyDescent="0.35">
      <c r="A113" s="35">
        <v>10</v>
      </c>
      <c r="B113" s="133">
        <f ca="1">DATE(RIGHT(CELL("nomfichier",A109),4),A113,1)</f>
        <v>43374</v>
      </c>
      <c r="C113" s="133">
        <f ca="1">B113+1</f>
        <v>43375</v>
      </c>
      <c r="D113" s="133">
        <f t="shared" ref="D113:AF113" ca="1" si="62">C113+1</f>
        <v>43376</v>
      </c>
      <c r="E113" s="133">
        <f t="shared" ca="1" si="62"/>
        <v>43377</v>
      </c>
      <c r="F113" s="133">
        <f t="shared" ca="1" si="62"/>
        <v>43378</v>
      </c>
      <c r="G113" s="133">
        <f t="shared" ca="1" si="62"/>
        <v>43379</v>
      </c>
      <c r="H113" s="133">
        <f t="shared" ca="1" si="62"/>
        <v>43380</v>
      </c>
      <c r="I113" s="133">
        <f t="shared" ca="1" si="62"/>
        <v>43381</v>
      </c>
      <c r="J113" s="133">
        <f t="shared" ca="1" si="62"/>
        <v>43382</v>
      </c>
      <c r="K113" s="133">
        <f t="shared" ca="1" si="62"/>
        <v>43383</v>
      </c>
      <c r="L113" s="133">
        <f t="shared" ca="1" si="62"/>
        <v>43384</v>
      </c>
      <c r="M113" s="133">
        <f t="shared" ca="1" si="62"/>
        <v>43385</v>
      </c>
      <c r="N113" s="133">
        <f t="shared" ca="1" si="62"/>
        <v>43386</v>
      </c>
      <c r="O113" s="133">
        <f t="shared" ca="1" si="62"/>
        <v>43387</v>
      </c>
      <c r="P113" s="133">
        <f t="shared" ca="1" si="62"/>
        <v>43388</v>
      </c>
      <c r="Q113" s="133">
        <f t="shared" ca="1" si="62"/>
        <v>43389</v>
      </c>
      <c r="R113" s="133">
        <f t="shared" ca="1" si="62"/>
        <v>43390</v>
      </c>
      <c r="S113" s="133">
        <f t="shared" ca="1" si="62"/>
        <v>43391</v>
      </c>
      <c r="T113" s="133">
        <f t="shared" ca="1" si="62"/>
        <v>43392</v>
      </c>
      <c r="U113" s="133">
        <f t="shared" ca="1" si="62"/>
        <v>43393</v>
      </c>
      <c r="V113" s="133">
        <f t="shared" ca="1" si="62"/>
        <v>43394</v>
      </c>
      <c r="W113" s="133">
        <f t="shared" ca="1" si="62"/>
        <v>43395</v>
      </c>
      <c r="X113" s="133">
        <f t="shared" ca="1" si="62"/>
        <v>43396</v>
      </c>
      <c r="Y113" s="133">
        <f t="shared" ca="1" si="62"/>
        <v>43397</v>
      </c>
      <c r="Z113" s="133">
        <f t="shared" ca="1" si="62"/>
        <v>43398</v>
      </c>
      <c r="AA113" s="133">
        <f t="shared" ca="1" si="62"/>
        <v>43399</v>
      </c>
      <c r="AB113" s="133">
        <f t="shared" ca="1" si="62"/>
        <v>43400</v>
      </c>
      <c r="AC113" s="133">
        <f t="shared" ca="1" si="62"/>
        <v>43401</v>
      </c>
      <c r="AD113" s="133">
        <f t="shared" ca="1" si="62"/>
        <v>43402</v>
      </c>
      <c r="AE113" s="133">
        <f t="shared" ca="1" si="62"/>
        <v>43403</v>
      </c>
      <c r="AF113" s="133">
        <f t="shared" ca="1" si="62"/>
        <v>43404</v>
      </c>
      <c r="AG113" s="18"/>
      <c r="AH113" s="35">
        <v>10</v>
      </c>
      <c r="AI113" s="18"/>
      <c r="AJ113" s="18"/>
      <c r="AK113" s="18"/>
      <c r="AL113" s="18"/>
      <c r="AM113" s="18"/>
      <c r="AN113" s="18"/>
      <c r="AO113" s="18"/>
      <c r="AP113" s="18"/>
      <c r="AQ113" s="18"/>
      <c r="AR113" s="18"/>
      <c r="AS113" s="18"/>
      <c r="AT113" s="18"/>
      <c r="AU113" s="18"/>
      <c r="AV113" s="18"/>
      <c r="AW113" s="71"/>
    </row>
    <row r="114" spans="1:49" x14ac:dyDescent="0.3">
      <c r="A114" s="59" t="s">
        <v>24</v>
      </c>
      <c r="B114" s="56" t="s">
        <v>30</v>
      </c>
      <c r="C114" s="56" t="s">
        <v>31</v>
      </c>
      <c r="D114" s="56" t="s">
        <v>32</v>
      </c>
      <c r="E114" s="56" t="s">
        <v>33</v>
      </c>
      <c r="F114" s="56" t="s">
        <v>34</v>
      </c>
      <c r="G114" s="56" t="s">
        <v>35</v>
      </c>
      <c r="H114" s="56" t="s">
        <v>36</v>
      </c>
      <c r="I114" s="56" t="s">
        <v>37</v>
      </c>
      <c r="J114" s="56" t="s">
        <v>38</v>
      </c>
      <c r="K114" s="56" t="s">
        <v>39</v>
      </c>
      <c r="L114" s="56" t="s">
        <v>40</v>
      </c>
      <c r="M114" s="56" t="s">
        <v>41</v>
      </c>
      <c r="N114" s="56" t="s">
        <v>42</v>
      </c>
      <c r="O114" s="56" t="s">
        <v>43</v>
      </c>
      <c r="P114" s="56" t="s">
        <v>44</v>
      </c>
      <c r="Q114" s="56" t="s">
        <v>45</v>
      </c>
      <c r="R114" s="56" t="s">
        <v>46</v>
      </c>
      <c r="S114" s="56" t="s">
        <v>47</v>
      </c>
      <c r="T114" s="56" t="s">
        <v>48</v>
      </c>
      <c r="U114" s="56" t="s">
        <v>49</v>
      </c>
      <c r="V114" s="56" t="s">
        <v>50</v>
      </c>
      <c r="W114" s="56" t="s">
        <v>51</v>
      </c>
      <c r="X114" s="56" t="s">
        <v>52</v>
      </c>
      <c r="Y114" s="56" t="s">
        <v>53</v>
      </c>
      <c r="Z114" s="56" t="s">
        <v>54</v>
      </c>
      <c r="AA114" s="56" t="s">
        <v>55</v>
      </c>
      <c r="AB114" s="56" t="s">
        <v>56</v>
      </c>
      <c r="AC114" s="56" t="s">
        <v>57</v>
      </c>
      <c r="AD114" s="60" t="s">
        <v>58</v>
      </c>
      <c r="AE114" s="60" t="s">
        <v>59</v>
      </c>
      <c r="AF114" s="60" t="s">
        <v>60</v>
      </c>
      <c r="AG114" s="18"/>
      <c r="AH114" s="59" t="s">
        <v>24</v>
      </c>
      <c r="AI114" s="40" t="s">
        <v>27</v>
      </c>
      <c r="AJ114" s="41" t="s">
        <v>80</v>
      </c>
      <c r="AK114" s="20" t="s">
        <v>76</v>
      </c>
      <c r="AL114" s="42" t="s">
        <v>70</v>
      </c>
      <c r="AM114" s="43" t="s">
        <v>81</v>
      </c>
      <c r="AN114" s="24" t="s">
        <v>3</v>
      </c>
      <c r="AO114" s="44" t="s">
        <v>25</v>
      </c>
      <c r="AP114" s="45" t="s">
        <v>67</v>
      </c>
      <c r="AQ114" s="31" t="s">
        <v>84</v>
      </c>
      <c r="AR114" s="70" t="s">
        <v>101</v>
      </c>
      <c r="AS114" s="46" t="s">
        <v>68</v>
      </c>
      <c r="AT114" s="34" t="s">
        <v>83</v>
      </c>
      <c r="AU114" s="64" t="s">
        <v>69</v>
      </c>
      <c r="AV114" s="58" t="s">
        <v>1</v>
      </c>
      <c r="AW114" s="81" t="s">
        <v>92</v>
      </c>
    </row>
    <row r="115" spans="1:49" ht="20.100000000000001" customHeight="1" x14ac:dyDescent="0.3">
      <c r="A115" s="48" t="s">
        <v>120</v>
      </c>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c r="AA115" s="50"/>
      <c r="AB115" s="50"/>
      <c r="AC115" s="50"/>
      <c r="AD115" s="50"/>
      <c r="AE115" s="50"/>
      <c r="AF115" s="50"/>
      <c r="AG115" s="18"/>
      <c r="AH115" s="48" t="s">
        <v>120</v>
      </c>
      <c r="AI115" s="51">
        <f>COUNTIF(Octobre[[#This Row],[1]:[31]],AI$6)</f>
        <v>0</v>
      </c>
      <c r="AJ115" s="51">
        <f>COUNTIF(Octobre[[#This Row],[1]:[31]],AJ$6)/2</f>
        <v>0</v>
      </c>
      <c r="AK115" s="51">
        <f>SUM(AI115:AJ115)</f>
        <v>0</v>
      </c>
      <c r="AL115" s="51">
        <f>COUNTIF(Octobre[[#This Row],[1]:[31]],AL$6)</f>
        <v>0</v>
      </c>
      <c r="AM115" s="51">
        <f>COUNTIF(Octobre[[#This Row],[1]:[31]],AM$6)/2</f>
        <v>0</v>
      </c>
      <c r="AN115" s="51">
        <f>SUM(AL115:AM115)</f>
        <v>0</v>
      </c>
      <c r="AO115" s="51">
        <f>COUNTIF(Octobre[[#This Row],[1]:[31]],AO$6)</f>
        <v>0</v>
      </c>
      <c r="AP115" s="51">
        <f>COUNTIF(Octobre[[#This Row],[1]:[31]],AP$6)</f>
        <v>0</v>
      </c>
      <c r="AQ115" s="51">
        <f>COUNTIF(Octobre[[#This Row],[1]:[31]],AQ$6)/2</f>
        <v>0</v>
      </c>
      <c r="AR115" s="51">
        <f>SUM(AP115:AQ115)</f>
        <v>0</v>
      </c>
      <c r="AS115" s="51">
        <f>COUNTIF(Octobre[[#This Row],[1]:[31]],AS$6)</f>
        <v>0</v>
      </c>
      <c r="AT115" s="51">
        <f>COUNTIF(Octobre[[#This Row],[1]:[31]],AT$6)/2</f>
        <v>0</v>
      </c>
      <c r="AU115" s="51">
        <f>SUM(AS115:AT115)</f>
        <v>0</v>
      </c>
      <c r="AV115" s="52">
        <f>AK115+AN115+AO115+AR115+AU115</f>
        <v>0</v>
      </c>
      <c r="AW115" s="82">
        <f>COUNTA(V103,AF103,W103,X103,Y103,Z103,AA103,AB103,AC103,AD103,AE103,B115:U115)</f>
        <v>0</v>
      </c>
    </row>
    <row r="116" spans="1:49" ht="20.100000000000001" customHeight="1" x14ac:dyDescent="0.3">
      <c r="A116" s="48" t="s">
        <v>121</v>
      </c>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c r="AA116" s="50"/>
      <c r="AB116" s="50"/>
      <c r="AC116" s="50"/>
      <c r="AD116" s="50"/>
      <c r="AE116" s="50"/>
      <c r="AF116" s="50"/>
      <c r="AG116" s="18"/>
      <c r="AH116" s="48" t="s">
        <v>121</v>
      </c>
      <c r="AI116" s="53">
        <f>COUNTIF(Octobre[[#This Row],[1]:[31]],AI$6)</f>
        <v>0</v>
      </c>
      <c r="AJ116" s="53">
        <f>COUNTIF(Octobre[[#This Row],[1]:[31]],AJ$6)/2</f>
        <v>0</v>
      </c>
      <c r="AK116" s="53">
        <f t="shared" ref="AK116:AK120" si="63">SUM(AI116:AJ116)</f>
        <v>0</v>
      </c>
      <c r="AL116" s="53">
        <f>COUNTIF(Octobre[[#This Row],[1]:[31]],AL$6)</f>
        <v>0</v>
      </c>
      <c r="AM116" s="53">
        <f>COUNTIF(Octobre[[#This Row],[1]:[31]],AM$6)/2</f>
        <v>0</v>
      </c>
      <c r="AN116" s="53">
        <f t="shared" ref="AN116:AN120" si="64">SUM(AL116:AM116)</f>
        <v>0</v>
      </c>
      <c r="AO116" s="53">
        <f>COUNTIF(Octobre[[#This Row],[1]:[31]],AO$6)</f>
        <v>0</v>
      </c>
      <c r="AP116" s="53">
        <f>COUNTIF(Octobre[[#This Row],[1]:[31]],AP$6)</f>
        <v>0</v>
      </c>
      <c r="AQ116" s="53">
        <f>COUNTIF(Octobre[[#This Row],[1]:[31]],AQ$6)/2</f>
        <v>0</v>
      </c>
      <c r="AR116" s="53">
        <f t="shared" ref="AR116:AR120" si="65">SUM(AP116:AQ116)</f>
        <v>0</v>
      </c>
      <c r="AS116" s="53">
        <f>COUNTIF(Octobre[[#This Row],[1]:[31]],AS$6)</f>
        <v>0</v>
      </c>
      <c r="AT116" s="53">
        <f>COUNTIF(Octobre[[#This Row],[1]:[31]],AT$6)/2</f>
        <v>0</v>
      </c>
      <c r="AU116" s="53">
        <f t="shared" ref="AU116:AU120" si="66">SUM(AS116:AT116)</f>
        <v>0</v>
      </c>
      <c r="AV116" s="54">
        <f t="shared" ref="AV116:AV120" si="67">AK116+AN116+AO116+AR116+AU116</f>
        <v>0</v>
      </c>
      <c r="AW116" s="83">
        <f t="shared" ref="AW116:AW120" si="68">COUNTA(V104,AF104,W104,X104,Y104,Z104,AA104,AB104,AC104,AD104,AE104,B116:U116)</f>
        <v>0</v>
      </c>
    </row>
    <row r="117" spans="1:49" ht="20.100000000000001" customHeight="1" x14ac:dyDescent="0.3">
      <c r="A117" s="48" t="s">
        <v>122</v>
      </c>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c r="AA117" s="50"/>
      <c r="AB117" s="50"/>
      <c r="AC117" s="50"/>
      <c r="AD117" s="50"/>
      <c r="AE117" s="50"/>
      <c r="AF117" s="50"/>
      <c r="AG117" s="18"/>
      <c r="AH117" s="48" t="s">
        <v>122</v>
      </c>
      <c r="AI117" s="51">
        <f>COUNTIF(Octobre[[#This Row],[1]:[31]],AI$6)</f>
        <v>0</v>
      </c>
      <c r="AJ117" s="51">
        <f>COUNTIF(Octobre[[#This Row],[1]:[31]],AJ$6)/2</f>
        <v>0</v>
      </c>
      <c r="AK117" s="51">
        <f t="shared" si="63"/>
        <v>0</v>
      </c>
      <c r="AL117" s="51">
        <f>COUNTIF(Octobre[[#This Row],[1]:[31]],AL$6)</f>
        <v>0</v>
      </c>
      <c r="AM117" s="51">
        <f>COUNTIF(Octobre[[#This Row],[1]:[31]],AM$6)/2</f>
        <v>0</v>
      </c>
      <c r="AN117" s="51">
        <f t="shared" si="64"/>
        <v>0</v>
      </c>
      <c r="AO117" s="51">
        <f>COUNTIF(Octobre[[#This Row],[1]:[31]],AO$6)</f>
        <v>0</v>
      </c>
      <c r="AP117" s="51">
        <f>COUNTIF(Octobre[[#This Row],[1]:[31]],AP$6)</f>
        <v>0</v>
      </c>
      <c r="AQ117" s="51">
        <f>COUNTIF(Octobre[[#This Row],[1]:[31]],AQ$6)/2</f>
        <v>0</v>
      </c>
      <c r="AR117" s="51">
        <f t="shared" si="65"/>
        <v>0</v>
      </c>
      <c r="AS117" s="51">
        <f>COUNTIF(Octobre[[#This Row],[1]:[31]],AS$6)</f>
        <v>0</v>
      </c>
      <c r="AT117" s="51">
        <f>COUNTIF(Octobre[[#This Row],[1]:[31]],AT$6)/2</f>
        <v>0</v>
      </c>
      <c r="AU117" s="51">
        <f t="shared" si="66"/>
        <v>0</v>
      </c>
      <c r="AV117" s="52">
        <f t="shared" si="67"/>
        <v>0</v>
      </c>
      <c r="AW117" s="82">
        <f t="shared" si="68"/>
        <v>0</v>
      </c>
    </row>
    <row r="118" spans="1:49" ht="20.100000000000001" customHeight="1" x14ac:dyDescent="0.3">
      <c r="A118" s="48" t="s">
        <v>123</v>
      </c>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c r="AA118" s="50"/>
      <c r="AB118" s="50"/>
      <c r="AC118" s="50"/>
      <c r="AD118" s="50"/>
      <c r="AE118" s="50"/>
      <c r="AF118" s="50"/>
      <c r="AG118" s="18"/>
      <c r="AH118" s="48" t="s">
        <v>123</v>
      </c>
      <c r="AI118" s="53">
        <f>COUNTIF(Octobre[[#This Row],[1]:[31]],AI$6)</f>
        <v>0</v>
      </c>
      <c r="AJ118" s="53">
        <f>COUNTIF(Octobre[[#This Row],[1]:[31]],AJ$6)/2</f>
        <v>0</v>
      </c>
      <c r="AK118" s="53">
        <f t="shared" si="63"/>
        <v>0</v>
      </c>
      <c r="AL118" s="53">
        <f>COUNTIF(Octobre[[#This Row],[1]:[31]],AL$6)</f>
        <v>0</v>
      </c>
      <c r="AM118" s="53">
        <f>COUNTIF(Octobre[[#This Row],[1]:[31]],AM$6)/2</f>
        <v>0</v>
      </c>
      <c r="AN118" s="53">
        <f t="shared" si="64"/>
        <v>0</v>
      </c>
      <c r="AO118" s="53">
        <f>COUNTIF(Octobre[[#This Row],[1]:[31]],AO$6)</f>
        <v>0</v>
      </c>
      <c r="AP118" s="53">
        <f>COUNTIF(Octobre[[#This Row],[1]:[31]],AP$6)</f>
        <v>0</v>
      </c>
      <c r="AQ118" s="53">
        <f>COUNTIF(Octobre[[#This Row],[1]:[31]],AQ$6)/2</f>
        <v>0</v>
      </c>
      <c r="AR118" s="53">
        <f t="shared" si="65"/>
        <v>0</v>
      </c>
      <c r="AS118" s="53">
        <f>COUNTIF(Octobre[[#This Row],[1]:[31]],AS$6)</f>
        <v>0</v>
      </c>
      <c r="AT118" s="53">
        <f>COUNTIF(Octobre[[#This Row],[1]:[31]],AT$6)/2</f>
        <v>0</v>
      </c>
      <c r="AU118" s="53">
        <f t="shared" si="66"/>
        <v>0</v>
      </c>
      <c r="AV118" s="54">
        <f t="shared" si="67"/>
        <v>0</v>
      </c>
      <c r="AW118" s="83">
        <f t="shared" si="68"/>
        <v>0</v>
      </c>
    </row>
    <row r="119" spans="1:49" ht="20.100000000000001" customHeight="1" x14ac:dyDescent="0.3">
      <c r="A119" s="48" t="s">
        <v>124</v>
      </c>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c r="AA119" s="50"/>
      <c r="AB119" s="50"/>
      <c r="AC119" s="50"/>
      <c r="AD119" s="50"/>
      <c r="AE119" s="50"/>
      <c r="AF119" s="50"/>
      <c r="AG119" s="18"/>
      <c r="AH119" s="48" t="s">
        <v>124</v>
      </c>
      <c r="AI119" s="51">
        <f>COUNTIF(Octobre[[#This Row],[1]:[31]],AI$6)</f>
        <v>0</v>
      </c>
      <c r="AJ119" s="51">
        <f>COUNTIF(Octobre[[#This Row],[1]:[31]],AJ$6)/2</f>
        <v>0</v>
      </c>
      <c r="AK119" s="51">
        <f t="shared" si="63"/>
        <v>0</v>
      </c>
      <c r="AL119" s="51">
        <f>COUNTIF(Octobre[[#This Row],[1]:[31]],AL$6)</f>
        <v>0</v>
      </c>
      <c r="AM119" s="51">
        <f>COUNTIF(Octobre[[#This Row],[1]:[31]],AM$6)/2</f>
        <v>0</v>
      </c>
      <c r="AN119" s="51">
        <f t="shared" si="64"/>
        <v>0</v>
      </c>
      <c r="AO119" s="51">
        <f>COUNTIF(Octobre[[#This Row],[1]:[31]],AO$6)</f>
        <v>0</v>
      </c>
      <c r="AP119" s="51">
        <f>COUNTIF(Octobre[[#This Row],[1]:[31]],AP$6)</f>
        <v>0</v>
      </c>
      <c r="AQ119" s="51">
        <f>COUNTIF(Octobre[[#This Row],[1]:[31]],AQ$6)/2</f>
        <v>0</v>
      </c>
      <c r="AR119" s="51">
        <f t="shared" si="65"/>
        <v>0</v>
      </c>
      <c r="AS119" s="51">
        <f>COUNTIF(Octobre[[#This Row],[1]:[31]],AS$6)</f>
        <v>0</v>
      </c>
      <c r="AT119" s="51">
        <f>COUNTIF(Octobre[[#This Row],[1]:[31]],AT$6)/2</f>
        <v>0</v>
      </c>
      <c r="AU119" s="51">
        <f t="shared" si="66"/>
        <v>0</v>
      </c>
      <c r="AV119" s="52">
        <f t="shared" si="67"/>
        <v>0</v>
      </c>
      <c r="AW119" s="82">
        <f t="shared" si="68"/>
        <v>0</v>
      </c>
    </row>
    <row r="120" spans="1:49" ht="20.100000000000001" customHeight="1" thickBot="1" x14ac:dyDescent="0.35">
      <c r="A120" s="48" t="s">
        <v>125</v>
      </c>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c r="AA120" s="50"/>
      <c r="AB120" s="50"/>
      <c r="AC120" s="50"/>
      <c r="AD120" s="50"/>
      <c r="AE120" s="50"/>
      <c r="AF120" s="50"/>
      <c r="AG120" s="18"/>
      <c r="AH120" s="48" t="s">
        <v>125</v>
      </c>
      <c r="AI120" s="53">
        <f>COUNTIF(Octobre[[#This Row],[1]:[31]],AI$6)</f>
        <v>0</v>
      </c>
      <c r="AJ120" s="53">
        <f>COUNTIF(Octobre[[#This Row],[1]:[31]],AJ$6)/2</f>
        <v>0</v>
      </c>
      <c r="AK120" s="53">
        <f t="shared" si="63"/>
        <v>0</v>
      </c>
      <c r="AL120" s="53">
        <f>COUNTIF(Octobre[[#This Row],[1]:[31]],AL$6)</f>
        <v>0</v>
      </c>
      <c r="AM120" s="53">
        <f>COUNTIF(Octobre[[#This Row],[1]:[31]],AM$6)/2</f>
        <v>0</v>
      </c>
      <c r="AN120" s="53">
        <f t="shared" si="64"/>
        <v>0</v>
      </c>
      <c r="AO120" s="53">
        <f>COUNTIF(Octobre[[#This Row],[1]:[31]],AO$6)</f>
        <v>0</v>
      </c>
      <c r="AP120" s="53">
        <f>COUNTIF(Octobre[[#This Row],[1]:[31]],AP$6)</f>
        <v>0</v>
      </c>
      <c r="AQ120" s="53">
        <f>COUNTIF(Octobre[[#This Row],[1]:[31]],AQ$6)/2</f>
        <v>0</v>
      </c>
      <c r="AR120" s="53">
        <f t="shared" si="65"/>
        <v>0</v>
      </c>
      <c r="AS120" s="53">
        <f>COUNTIF(Octobre[[#This Row],[1]:[31]],AS$6)</f>
        <v>0</v>
      </c>
      <c r="AT120" s="53">
        <f>COUNTIF(Octobre[[#This Row],[1]:[31]],AT$6)/2</f>
        <v>0</v>
      </c>
      <c r="AU120" s="53">
        <f t="shared" si="66"/>
        <v>0</v>
      </c>
      <c r="AV120" s="55">
        <f t="shared" si="67"/>
        <v>0</v>
      </c>
      <c r="AW120" s="84">
        <f t="shared" si="68"/>
        <v>0</v>
      </c>
    </row>
    <row r="122" spans="1:49" s="18" customFormat="1" ht="14.25" thickBot="1" x14ac:dyDescent="0.3">
      <c r="A122" s="19" t="s">
        <v>79</v>
      </c>
      <c r="B122" s="20" t="s">
        <v>27</v>
      </c>
      <c r="C122" s="21" t="s">
        <v>76</v>
      </c>
      <c r="E122" s="22" t="s">
        <v>80</v>
      </c>
      <c r="F122" s="23" t="s">
        <v>77</v>
      </c>
      <c r="G122" s="23"/>
      <c r="H122" s="24" t="s">
        <v>70</v>
      </c>
      <c r="I122" s="25" t="s">
        <v>3</v>
      </c>
      <c r="J122" s="23"/>
      <c r="K122" s="26" t="s">
        <v>81</v>
      </c>
      <c r="L122" s="27" t="s">
        <v>78</v>
      </c>
      <c r="M122" s="23"/>
      <c r="N122" s="28" t="s">
        <v>25</v>
      </c>
      <c r="O122" s="25" t="s">
        <v>28</v>
      </c>
      <c r="P122" s="25"/>
      <c r="Q122" s="29" t="s">
        <v>67</v>
      </c>
      <c r="R122" s="30" t="s">
        <v>66</v>
      </c>
      <c r="S122" s="30"/>
      <c r="T122" s="31" t="s">
        <v>84</v>
      </c>
      <c r="U122" s="23" t="s">
        <v>85</v>
      </c>
      <c r="V122" s="23"/>
      <c r="W122" s="23"/>
      <c r="X122" s="32" t="s">
        <v>68</v>
      </c>
      <c r="Y122" s="33" t="s">
        <v>69</v>
      </c>
      <c r="Z122" s="33"/>
      <c r="AA122" s="34" t="s">
        <v>83</v>
      </c>
      <c r="AB122" s="33" t="s">
        <v>86</v>
      </c>
      <c r="AC122" s="33"/>
      <c r="AD122" s="33"/>
      <c r="AE122" s="33"/>
      <c r="AF122" s="33"/>
      <c r="AW122" s="71"/>
    </row>
    <row r="123" spans="1:49" s="61" customFormat="1" ht="32.25" customHeight="1" x14ac:dyDescent="0.3">
      <c r="A123" s="126" t="s">
        <v>111</v>
      </c>
      <c r="B123" s="125"/>
      <c r="C123" s="125"/>
      <c r="D123" s="125"/>
      <c r="E123" s="125"/>
      <c r="F123" s="125"/>
      <c r="G123" s="125"/>
      <c r="H123" s="125"/>
      <c r="I123" s="125"/>
      <c r="J123" s="125"/>
      <c r="K123" s="125"/>
      <c r="L123" s="125"/>
      <c r="M123" s="125"/>
      <c r="N123" s="125"/>
      <c r="O123" s="125"/>
      <c r="P123" s="125"/>
      <c r="Q123" s="125"/>
      <c r="R123" s="125"/>
      <c r="S123" s="125"/>
      <c r="T123" s="125"/>
      <c r="U123" s="125"/>
      <c r="V123" s="125"/>
      <c r="W123" s="125"/>
      <c r="X123" s="125"/>
      <c r="Y123" s="125"/>
      <c r="Z123" s="125"/>
      <c r="AA123" s="125"/>
      <c r="AB123" s="125"/>
      <c r="AC123" s="125"/>
      <c r="AD123" s="125"/>
      <c r="AE123" s="125"/>
      <c r="AF123" s="125"/>
      <c r="AH123" s="125"/>
    </row>
    <row r="124" spans="1:49" ht="30" thickBot="1" x14ac:dyDescent="0.35">
      <c r="A124" s="14" t="s">
        <v>19</v>
      </c>
      <c r="B124" s="140" t="s">
        <v>29</v>
      </c>
      <c r="C124" s="140"/>
      <c r="D124" s="140"/>
      <c r="E124" s="140"/>
      <c r="F124" s="140"/>
      <c r="G124" s="140"/>
      <c r="H124" s="140"/>
      <c r="I124" s="140"/>
      <c r="J124" s="140"/>
      <c r="K124" s="140"/>
      <c r="L124" s="140"/>
      <c r="M124" s="140"/>
      <c r="N124" s="140"/>
      <c r="O124" s="140"/>
      <c r="P124" s="140"/>
      <c r="Q124" s="140"/>
      <c r="R124" s="140"/>
      <c r="S124" s="140"/>
      <c r="T124" s="140"/>
      <c r="U124" s="140"/>
      <c r="V124" s="140"/>
      <c r="W124" s="140"/>
      <c r="X124" s="140"/>
      <c r="Y124" s="140"/>
      <c r="Z124" s="140"/>
      <c r="AA124" s="140"/>
      <c r="AB124" s="140"/>
      <c r="AC124" s="140"/>
      <c r="AD124" s="140"/>
      <c r="AE124" s="140"/>
      <c r="AF124" s="140"/>
      <c r="AG124" s="14"/>
      <c r="AH124" s="140" t="s">
        <v>91</v>
      </c>
      <c r="AI124" s="140"/>
      <c r="AJ124" s="140"/>
      <c r="AK124" s="140"/>
      <c r="AL124" s="140"/>
      <c r="AM124" s="140"/>
      <c r="AN124" s="140"/>
      <c r="AO124" s="140"/>
      <c r="AP124" s="140"/>
      <c r="AQ124" s="140"/>
      <c r="AR124" s="140"/>
      <c r="AS124" s="140"/>
      <c r="AT124" s="140"/>
      <c r="AU124" s="140"/>
      <c r="AV124" s="140"/>
      <c r="AW124" s="140"/>
    </row>
    <row r="125" spans="1:49" ht="18" thickTop="1" thickBot="1" x14ac:dyDescent="0.35">
      <c r="A125" s="35">
        <v>11</v>
      </c>
      <c r="B125" s="133">
        <f ca="1">DATE(RIGHT(CELL("nomfichier",A121),4),A125,1)</f>
        <v>43405</v>
      </c>
      <c r="C125" s="133">
        <f ca="1">B125+1</f>
        <v>43406</v>
      </c>
      <c r="D125" s="133">
        <f t="shared" ref="D125:AE125" ca="1" si="69">C125+1</f>
        <v>43407</v>
      </c>
      <c r="E125" s="133">
        <f t="shared" ca="1" si="69"/>
        <v>43408</v>
      </c>
      <c r="F125" s="133">
        <f t="shared" ca="1" si="69"/>
        <v>43409</v>
      </c>
      <c r="G125" s="133">
        <f t="shared" ca="1" si="69"/>
        <v>43410</v>
      </c>
      <c r="H125" s="133">
        <f t="shared" ca="1" si="69"/>
        <v>43411</v>
      </c>
      <c r="I125" s="133">
        <f t="shared" ca="1" si="69"/>
        <v>43412</v>
      </c>
      <c r="J125" s="133">
        <f t="shared" ca="1" si="69"/>
        <v>43413</v>
      </c>
      <c r="K125" s="133">
        <f t="shared" ca="1" si="69"/>
        <v>43414</v>
      </c>
      <c r="L125" s="133">
        <f t="shared" ca="1" si="69"/>
        <v>43415</v>
      </c>
      <c r="M125" s="133">
        <f t="shared" ca="1" si="69"/>
        <v>43416</v>
      </c>
      <c r="N125" s="133">
        <f t="shared" ca="1" si="69"/>
        <v>43417</v>
      </c>
      <c r="O125" s="133">
        <f t="shared" ca="1" si="69"/>
        <v>43418</v>
      </c>
      <c r="P125" s="133">
        <f t="shared" ca="1" si="69"/>
        <v>43419</v>
      </c>
      <c r="Q125" s="133">
        <f t="shared" ca="1" si="69"/>
        <v>43420</v>
      </c>
      <c r="R125" s="133">
        <f t="shared" ca="1" si="69"/>
        <v>43421</v>
      </c>
      <c r="S125" s="133">
        <f t="shared" ca="1" si="69"/>
        <v>43422</v>
      </c>
      <c r="T125" s="133">
        <f t="shared" ca="1" si="69"/>
        <v>43423</v>
      </c>
      <c r="U125" s="133">
        <f t="shared" ca="1" si="69"/>
        <v>43424</v>
      </c>
      <c r="V125" s="133">
        <f t="shared" ca="1" si="69"/>
        <v>43425</v>
      </c>
      <c r="W125" s="133">
        <f t="shared" ca="1" si="69"/>
        <v>43426</v>
      </c>
      <c r="X125" s="133">
        <f t="shared" ca="1" si="69"/>
        <v>43427</v>
      </c>
      <c r="Y125" s="133">
        <f t="shared" ca="1" si="69"/>
        <v>43428</v>
      </c>
      <c r="Z125" s="133">
        <f t="shared" ca="1" si="69"/>
        <v>43429</v>
      </c>
      <c r="AA125" s="133">
        <f t="shared" ca="1" si="69"/>
        <v>43430</v>
      </c>
      <c r="AB125" s="133">
        <f t="shared" ca="1" si="69"/>
        <v>43431</v>
      </c>
      <c r="AC125" s="133">
        <f t="shared" ca="1" si="69"/>
        <v>43432</v>
      </c>
      <c r="AD125" s="133">
        <f t="shared" ca="1" si="69"/>
        <v>43433</v>
      </c>
      <c r="AE125" s="133">
        <f t="shared" ca="1" si="69"/>
        <v>43434</v>
      </c>
      <c r="AF125" s="133"/>
      <c r="AG125" s="18"/>
      <c r="AH125" s="35">
        <v>11</v>
      </c>
      <c r="AI125" s="18"/>
      <c r="AJ125" s="18"/>
      <c r="AK125" s="18"/>
      <c r="AL125" s="18"/>
      <c r="AM125" s="18"/>
      <c r="AN125" s="18"/>
      <c r="AO125" s="18"/>
      <c r="AP125" s="18"/>
      <c r="AQ125" s="18"/>
      <c r="AR125" s="18"/>
      <c r="AS125" s="18"/>
      <c r="AT125" s="18"/>
      <c r="AU125" s="18"/>
      <c r="AV125" s="18"/>
      <c r="AW125" s="71"/>
    </row>
    <row r="126" spans="1:49" x14ac:dyDescent="0.3">
      <c r="A126" s="59" t="s">
        <v>24</v>
      </c>
      <c r="B126" s="56" t="s">
        <v>30</v>
      </c>
      <c r="C126" s="56" t="s">
        <v>31</v>
      </c>
      <c r="D126" s="56" t="s">
        <v>32</v>
      </c>
      <c r="E126" s="56" t="s">
        <v>33</v>
      </c>
      <c r="F126" s="56" t="s">
        <v>34</v>
      </c>
      <c r="G126" s="56" t="s">
        <v>35</v>
      </c>
      <c r="H126" s="56" t="s">
        <v>36</v>
      </c>
      <c r="I126" s="56" t="s">
        <v>37</v>
      </c>
      <c r="J126" s="56" t="s">
        <v>38</v>
      </c>
      <c r="K126" s="56" t="s">
        <v>39</v>
      </c>
      <c r="L126" s="56" t="s">
        <v>40</v>
      </c>
      <c r="M126" s="56" t="s">
        <v>41</v>
      </c>
      <c r="N126" s="56" t="s">
        <v>42</v>
      </c>
      <c r="O126" s="56" t="s">
        <v>43</v>
      </c>
      <c r="P126" s="56" t="s">
        <v>44</v>
      </c>
      <c r="Q126" s="56" t="s">
        <v>45</v>
      </c>
      <c r="R126" s="56" t="s">
        <v>46</v>
      </c>
      <c r="S126" s="56" t="s">
        <v>47</v>
      </c>
      <c r="T126" s="56" t="s">
        <v>48</v>
      </c>
      <c r="U126" s="56" t="s">
        <v>49</v>
      </c>
      <c r="V126" s="56" t="s">
        <v>50</v>
      </c>
      <c r="W126" s="56" t="s">
        <v>51</v>
      </c>
      <c r="X126" s="56" t="s">
        <v>52</v>
      </c>
      <c r="Y126" s="56" t="s">
        <v>53</v>
      </c>
      <c r="Z126" s="56" t="s">
        <v>54</v>
      </c>
      <c r="AA126" s="56" t="s">
        <v>55</v>
      </c>
      <c r="AB126" s="56" t="s">
        <v>56</v>
      </c>
      <c r="AC126" s="56" t="s">
        <v>57</v>
      </c>
      <c r="AD126" s="60" t="s">
        <v>58</v>
      </c>
      <c r="AE126" s="60" t="s">
        <v>59</v>
      </c>
      <c r="AF126" s="57" t="s">
        <v>60</v>
      </c>
      <c r="AG126" s="18"/>
      <c r="AH126" s="59" t="s">
        <v>24</v>
      </c>
      <c r="AI126" s="40" t="s">
        <v>27</v>
      </c>
      <c r="AJ126" s="41" t="s">
        <v>80</v>
      </c>
      <c r="AK126" s="20" t="s">
        <v>76</v>
      </c>
      <c r="AL126" s="42" t="s">
        <v>70</v>
      </c>
      <c r="AM126" s="43" t="s">
        <v>81</v>
      </c>
      <c r="AN126" s="24" t="s">
        <v>3</v>
      </c>
      <c r="AO126" s="44" t="s">
        <v>25</v>
      </c>
      <c r="AP126" s="45" t="s">
        <v>67</v>
      </c>
      <c r="AQ126" s="31" t="s">
        <v>84</v>
      </c>
      <c r="AR126" s="70" t="s">
        <v>101</v>
      </c>
      <c r="AS126" s="46" t="s">
        <v>68</v>
      </c>
      <c r="AT126" s="34" t="s">
        <v>83</v>
      </c>
      <c r="AU126" s="64" t="s">
        <v>69</v>
      </c>
      <c r="AV126" s="58" t="s">
        <v>1</v>
      </c>
      <c r="AW126" s="81" t="s">
        <v>92</v>
      </c>
    </row>
    <row r="127" spans="1:49" ht="20.100000000000001" customHeight="1" x14ac:dyDescent="0.3">
      <c r="A127" s="48" t="s">
        <v>120</v>
      </c>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c r="AA127" s="50"/>
      <c r="AB127" s="50"/>
      <c r="AC127" s="50"/>
      <c r="AD127" s="50"/>
      <c r="AE127" s="50"/>
      <c r="AF127" s="50"/>
      <c r="AG127" s="18"/>
      <c r="AH127" s="48" t="s">
        <v>120</v>
      </c>
      <c r="AI127" s="51">
        <f>COUNTIF(Novembre[[#This Row],[1]:[30]],AI$6)</f>
        <v>0</v>
      </c>
      <c r="AJ127" s="51">
        <f>COUNTIF(Novembre[[#This Row],[1]:[30]],AJ$6)/2</f>
        <v>0</v>
      </c>
      <c r="AK127" s="51">
        <f>SUM(AI127:AJ127)</f>
        <v>0</v>
      </c>
      <c r="AL127" s="51">
        <f>COUNTIF(Novembre[[#This Row],[1]:[30]],AL$6)</f>
        <v>0</v>
      </c>
      <c r="AM127" s="51">
        <f>COUNTIF(Novembre[[#This Row],[1]:[30]],AM$6)/2</f>
        <v>0</v>
      </c>
      <c r="AN127" s="51">
        <f>SUM(AL127:AM127)</f>
        <v>0</v>
      </c>
      <c r="AO127" s="51">
        <f>COUNTIF(Novembre[[#This Row],[1]:[30]],AO$6)</f>
        <v>0</v>
      </c>
      <c r="AP127" s="51">
        <f>COUNTIF(Novembre[[#This Row],[1]:[30]],AP$6)</f>
        <v>0</v>
      </c>
      <c r="AQ127" s="51">
        <f>COUNTIF(Novembre[[#This Row],[1]:[30]],AQ$6)/2</f>
        <v>0</v>
      </c>
      <c r="AR127" s="51">
        <f>SUM(AP127:AQ127)</f>
        <v>0</v>
      </c>
      <c r="AS127" s="51">
        <f>COUNTIF(Novembre[[#This Row],[1]:[30]],AS$6)</f>
        <v>0</v>
      </c>
      <c r="AT127" s="51">
        <f>COUNTIF(Novembre[[#This Row],[1]:[30]],AT$6)/2</f>
        <v>0</v>
      </c>
      <c r="AU127" s="51">
        <f>SUM(AS127:AT127)</f>
        <v>0</v>
      </c>
      <c r="AV127" s="52">
        <f>AK127+AN127+AO127+AR127+AU127</f>
        <v>0</v>
      </c>
      <c r="AW127" s="82">
        <f>COUNTA(V115,AF115,W115,X115,Y115,Z115,AA115,AB115,AC115,AD115,AE115,B127:U127)</f>
        <v>0</v>
      </c>
    </row>
    <row r="128" spans="1:49" ht="20.100000000000001" customHeight="1" x14ac:dyDescent="0.3">
      <c r="A128" s="48" t="s">
        <v>121</v>
      </c>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c r="AA128" s="50"/>
      <c r="AB128" s="50"/>
      <c r="AC128" s="50"/>
      <c r="AD128" s="50"/>
      <c r="AE128" s="50"/>
      <c r="AF128" s="50"/>
      <c r="AG128" s="18"/>
      <c r="AH128" s="48" t="s">
        <v>121</v>
      </c>
      <c r="AI128" s="53">
        <f>COUNTIF(Novembre[[#This Row],[1]:[30]],AI$6)</f>
        <v>0</v>
      </c>
      <c r="AJ128" s="53">
        <f>COUNTIF(Novembre[[#This Row],[1]:[30]],AJ$6)/2</f>
        <v>0</v>
      </c>
      <c r="AK128" s="53">
        <f t="shared" ref="AK128:AK132" si="70">SUM(AI128:AJ128)</f>
        <v>0</v>
      </c>
      <c r="AL128" s="53">
        <f>COUNTIF(Novembre[[#This Row],[1]:[30]],AL$6)</f>
        <v>0</v>
      </c>
      <c r="AM128" s="53">
        <f>COUNTIF(Novembre[[#This Row],[1]:[30]],AM$6)/2</f>
        <v>0</v>
      </c>
      <c r="AN128" s="53">
        <f t="shared" ref="AN128:AN132" si="71">SUM(AL128:AM128)</f>
        <v>0</v>
      </c>
      <c r="AO128" s="53">
        <f>COUNTIF(Novembre[[#This Row],[1]:[30]],AO$6)</f>
        <v>0</v>
      </c>
      <c r="AP128" s="53">
        <f>COUNTIF(Novembre[[#This Row],[1]:[30]],AP$6)</f>
        <v>0</v>
      </c>
      <c r="AQ128" s="53">
        <f>COUNTIF(Novembre[[#This Row],[1]:[30]],AQ$6)/2</f>
        <v>0</v>
      </c>
      <c r="AR128" s="53">
        <f t="shared" ref="AR128:AR132" si="72">SUM(AP128:AQ128)</f>
        <v>0</v>
      </c>
      <c r="AS128" s="53">
        <f>COUNTIF(Novembre[[#This Row],[1]:[30]],AS$6)</f>
        <v>0</v>
      </c>
      <c r="AT128" s="53">
        <f>COUNTIF(Novembre[[#This Row],[1]:[30]],AT$6)/2</f>
        <v>0</v>
      </c>
      <c r="AU128" s="53">
        <f t="shared" ref="AU128:AU132" si="73">SUM(AS128:AT128)</f>
        <v>0</v>
      </c>
      <c r="AV128" s="54">
        <f t="shared" ref="AV128:AV132" si="74">AK128+AN128+AO128+AR128+AU128</f>
        <v>0</v>
      </c>
      <c r="AW128" s="83">
        <f t="shared" ref="AW128:AW132" si="75">COUNTA(V116,AF116,W116,X116,Y116,Z116,AA116,AB116,AC116,AD116,AE116,B128:U128)</f>
        <v>0</v>
      </c>
    </row>
    <row r="129" spans="1:49" ht="20.100000000000001" customHeight="1" x14ac:dyDescent="0.3">
      <c r="A129" s="48" t="s">
        <v>122</v>
      </c>
      <c r="B129" s="50"/>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c r="AA129" s="50"/>
      <c r="AB129" s="50"/>
      <c r="AC129" s="50"/>
      <c r="AD129" s="50"/>
      <c r="AE129" s="50"/>
      <c r="AF129" s="50"/>
      <c r="AG129" s="18"/>
      <c r="AH129" s="48" t="s">
        <v>122</v>
      </c>
      <c r="AI129" s="51">
        <f>COUNTIF(Novembre[[#This Row],[1]:[30]],AI$6)</f>
        <v>0</v>
      </c>
      <c r="AJ129" s="51">
        <f>COUNTIF(Novembre[[#This Row],[1]:[30]],AJ$6)/2</f>
        <v>0</v>
      </c>
      <c r="AK129" s="51">
        <f t="shared" si="70"/>
        <v>0</v>
      </c>
      <c r="AL129" s="51">
        <f>COUNTIF(Novembre[[#This Row],[1]:[30]],AL$6)</f>
        <v>0</v>
      </c>
      <c r="AM129" s="51">
        <f>COUNTIF(Novembre[[#This Row],[1]:[30]],AM$6)/2</f>
        <v>0</v>
      </c>
      <c r="AN129" s="51">
        <f t="shared" si="71"/>
        <v>0</v>
      </c>
      <c r="AO129" s="51">
        <f>COUNTIF(Novembre[[#This Row],[1]:[30]],AO$6)</f>
        <v>0</v>
      </c>
      <c r="AP129" s="51">
        <f>COUNTIF(Novembre[[#This Row],[1]:[30]],AP$6)</f>
        <v>0</v>
      </c>
      <c r="AQ129" s="51">
        <f>COUNTIF(Novembre[[#This Row],[1]:[30]],AQ$6)/2</f>
        <v>0</v>
      </c>
      <c r="AR129" s="51">
        <f t="shared" si="72"/>
        <v>0</v>
      </c>
      <c r="AS129" s="51">
        <f>COUNTIF(Novembre[[#This Row],[1]:[30]],AS$6)</f>
        <v>0</v>
      </c>
      <c r="AT129" s="51">
        <f>COUNTIF(Novembre[[#This Row],[1]:[30]],AT$6)/2</f>
        <v>0</v>
      </c>
      <c r="AU129" s="51">
        <f t="shared" si="73"/>
        <v>0</v>
      </c>
      <c r="AV129" s="52">
        <f t="shared" si="74"/>
        <v>0</v>
      </c>
      <c r="AW129" s="82">
        <f t="shared" si="75"/>
        <v>0</v>
      </c>
    </row>
    <row r="130" spans="1:49" ht="20.100000000000001" customHeight="1" x14ac:dyDescent="0.3">
      <c r="A130" s="48" t="s">
        <v>123</v>
      </c>
      <c r="B130" s="50"/>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c r="AA130" s="50"/>
      <c r="AB130" s="50"/>
      <c r="AC130" s="50"/>
      <c r="AD130" s="50"/>
      <c r="AE130" s="50"/>
      <c r="AF130" s="50"/>
      <c r="AG130" s="18"/>
      <c r="AH130" s="48" t="s">
        <v>123</v>
      </c>
      <c r="AI130" s="53">
        <f>COUNTIF(Novembre[[#This Row],[1]:[30]],AI$6)</f>
        <v>0</v>
      </c>
      <c r="AJ130" s="53">
        <f>COUNTIF(Novembre[[#This Row],[1]:[30]],AJ$6)/2</f>
        <v>0</v>
      </c>
      <c r="AK130" s="53">
        <f t="shared" si="70"/>
        <v>0</v>
      </c>
      <c r="AL130" s="53">
        <f>COUNTIF(Novembre[[#This Row],[1]:[30]],AL$6)</f>
        <v>0</v>
      </c>
      <c r="AM130" s="53">
        <f>COUNTIF(Novembre[[#This Row],[1]:[30]],AM$6)/2</f>
        <v>0</v>
      </c>
      <c r="AN130" s="53">
        <f t="shared" si="71"/>
        <v>0</v>
      </c>
      <c r="AO130" s="53">
        <f>COUNTIF(Novembre[[#This Row],[1]:[30]],AO$6)</f>
        <v>0</v>
      </c>
      <c r="AP130" s="53">
        <f>COUNTIF(Novembre[[#This Row],[1]:[30]],AP$6)</f>
        <v>0</v>
      </c>
      <c r="AQ130" s="53">
        <f>COUNTIF(Novembre[[#This Row],[1]:[30]],AQ$6)/2</f>
        <v>0</v>
      </c>
      <c r="AR130" s="53">
        <f t="shared" si="72"/>
        <v>0</v>
      </c>
      <c r="AS130" s="53">
        <f>COUNTIF(Novembre[[#This Row],[1]:[30]],AS$6)</f>
        <v>0</v>
      </c>
      <c r="AT130" s="53">
        <f>COUNTIF(Novembre[[#This Row],[1]:[30]],AT$6)/2</f>
        <v>0</v>
      </c>
      <c r="AU130" s="53">
        <f t="shared" si="73"/>
        <v>0</v>
      </c>
      <c r="AV130" s="54">
        <f t="shared" si="74"/>
        <v>0</v>
      </c>
      <c r="AW130" s="83">
        <f t="shared" si="75"/>
        <v>0</v>
      </c>
    </row>
    <row r="131" spans="1:49" ht="20.100000000000001" customHeight="1" x14ac:dyDescent="0.3">
      <c r="A131" s="48" t="s">
        <v>124</v>
      </c>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c r="AA131" s="50"/>
      <c r="AB131" s="50"/>
      <c r="AC131" s="50"/>
      <c r="AD131" s="50"/>
      <c r="AE131" s="50"/>
      <c r="AF131" s="50"/>
      <c r="AG131" s="18"/>
      <c r="AH131" s="48" t="s">
        <v>124</v>
      </c>
      <c r="AI131" s="51">
        <f>COUNTIF(Novembre[[#This Row],[1]:[30]],AI$6)</f>
        <v>0</v>
      </c>
      <c r="AJ131" s="51">
        <f>COUNTIF(Novembre[[#This Row],[1]:[30]],AJ$6)/2</f>
        <v>0</v>
      </c>
      <c r="AK131" s="51">
        <f t="shared" si="70"/>
        <v>0</v>
      </c>
      <c r="AL131" s="51">
        <f>COUNTIF(Novembre[[#This Row],[1]:[30]],AL$6)</f>
        <v>0</v>
      </c>
      <c r="AM131" s="51">
        <f>COUNTIF(Novembre[[#This Row],[1]:[30]],AM$6)/2</f>
        <v>0</v>
      </c>
      <c r="AN131" s="51">
        <f t="shared" si="71"/>
        <v>0</v>
      </c>
      <c r="AO131" s="51">
        <f>COUNTIF(Novembre[[#This Row],[1]:[30]],AO$6)</f>
        <v>0</v>
      </c>
      <c r="AP131" s="51">
        <f>COUNTIF(Novembre[[#This Row],[1]:[30]],AP$6)</f>
        <v>0</v>
      </c>
      <c r="AQ131" s="51">
        <f>COUNTIF(Novembre[[#This Row],[1]:[30]],AQ$6)/2</f>
        <v>0</v>
      </c>
      <c r="AR131" s="51">
        <f t="shared" si="72"/>
        <v>0</v>
      </c>
      <c r="AS131" s="51">
        <f>COUNTIF(Novembre[[#This Row],[1]:[30]],AS$6)</f>
        <v>0</v>
      </c>
      <c r="AT131" s="51">
        <f>COUNTIF(Novembre[[#This Row],[1]:[30]],AT$6)/2</f>
        <v>0</v>
      </c>
      <c r="AU131" s="51">
        <f t="shared" si="73"/>
        <v>0</v>
      </c>
      <c r="AV131" s="52">
        <f t="shared" si="74"/>
        <v>0</v>
      </c>
      <c r="AW131" s="82">
        <f t="shared" si="75"/>
        <v>0</v>
      </c>
    </row>
    <row r="132" spans="1:49" ht="20.100000000000001" customHeight="1" thickBot="1" x14ac:dyDescent="0.35">
      <c r="A132" s="48" t="s">
        <v>125</v>
      </c>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c r="AA132" s="50"/>
      <c r="AB132" s="50"/>
      <c r="AC132" s="50"/>
      <c r="AD132" s="50"/>
      <c r="AE132" s="50"/>
      <c r="AF132" s="50"/>
      <c r="AG132" s="18"/>
      <c r="AH132" s="48" t="s">
        <v>125</v>
      </c>
      <c r="AI132" s="53">
        <f>COUNTIF(Novembre[[#This Row],[1]:[30]],AI$6)</f>
        <v>0</v>
      </c>
      <c r="AJ132" s="53">
        <f>COUNTIF(Novembre[[#This Row],[1]:[30]],AJ$6)/2</f>
        <v>0</v>
      </c>
      <c r="AK132" s="53">
        <f t="shared" si="70"/>
        <v>0</v>
      </c>
      <c r="AL132" s="53">
        <f>COUNTIF(Novembre[[#This Row],[1]:[30]],AL$6)</f>
        <v>0</v>
      </c>
      <c r="AM132" s="53">
        <f>COUNTIF(Novembre[[#This Row],[1]:[30]],AM$6)/2</f>
        <v>0</v>
      </c>
      <c r="AN132" s="53">
        <f t="shared" si="71"/>
        <v>0</v>
      </c>
      <c r="AO132" s="53">
        <f>COUNTIF(Novembre[[#This Row],[1]:[30]],AO$6)</f>
        <v>0</v>
      </c>
      <c r="AP132" s="53">
        <f>COUNTIF(Novembre[[#This Row],[1]:[30]],AP$6)</f>
        <v>0</v>
      </c>
      <c r="AQ132" s="53">
        <f>COUNTIF(Novembre[[#This Row],[1]:[30]],AQ$6)/2</f>
        <v>0</v>
      </c>
      <c r="AR132" s="53">
        <f t="shared" si="72"/>
        <v>0</v>
      </c>
      <c r="AS132" s="53">
        <f>COUNTIF(Novembre[[#This Row],[1]:[30]],AS$6)</f>
        <v>0</v>
      </c>
      <c r="AT132" s="53">
        <f>COUNTIF(Novembre[[#This Row],[1]:[30]],AT$6)/2</f>
        <v>0</v>
      </c>
      <c r="AU132" s="53">
        <f t="shared" si="73"/>
        <v>0</v>
      </c>
      <c r="AV132" s="55">
        <f t="shared" si="74"/>
        <v>0</v>
      </c>
      <c r="AW132" s="84">
        <f t="shared" si="75"/>
        <v>0</v>
      </c>
    </row>
    <row r="134" spans="1:49" s="18" customFormat="1" ht="14.25" thickBot="1" x14ac:dyDescent="0.3">
      <c r="A134" s="19" t="s">
        <v>79</v>
      </c>
      <c r="B134" s="20" t="s">
        <v>27</v>
      </c>
      <c r="C134" s="21" t="s">
        <v>76</v>
      </c>
      <c r="E134" s="22" t="s">
        <v>80</v>
      </c>
      <c r="F134" s="23" t="s">
        <v>77</v>
      </c>
      <c r="G134" s="23"/>
      <c r="H134" s="24" t="s">
        <v>70</v>
      </c>
      <c r="I134" s="25" t="s">
        <v>3</v>
      </c>
      <c r="J134" s="23"/>
      <c r="K134" s="26" t="s">
        <v>81</v>
      </c>
      <c r="L134" s="27" t="s">
        <v>78</v>
      </c>
      <c r="M134" s="23"/>
      <c r="N134" s="28" t="s">
        <v>25</v>
      </c>
      <c r="O134" s="25" t="s">
        <v>28</v>
      </c>
      <c r="P134" s="25"/>
      <c r="Q134" s="29" t="s">
        <v>67</v>
      </c>
      <c r="R134" s="30" t="s">
        <v>66</v>
      </c>
      <c r="S134" s="30"/>
      <c r="T134" s="31" t="s">
        <v>84</v>
      </c>
      <c r="U134" s="23" t="s">
        <v>85</v>
      </c>
      <c r="V134" s="23"/>
      <c r="W134" s="23"/>
      <c r="X134" s="32" t="s">
        <v>68</v>
      </c>
      <c r="Y134" s="33" t="s">
        <v>69</v>
      </c>
      <c r="Z134" s="33"/>
      <c r="AA134" s="34" t="s">
        <v>83</v>
      </c>
      <c r="AB134" s="33" t="s">
        <v>86</v>
      </c>
      <c r="AC134" s="33"/>
      <c r="AD134" s="33"/>
      <c r="AE134" s="33"/>
      <c r="AF134" s="33"/>
      <c r="AW134" s="71"/>
    </row>
    <row r="135" spans="1:49" s="61" customFormat="1" ht="32.25" customHeight="1" x14ac:dyDescent="0.3">
      <c r="A135" s="126" t="s">
        <v>111</v>
      </c>
      <c r="B135" s="125"/>
      <c r="C135" s="125"/>
      <c r="D135" s="125"/>
      <c r="E135" s="125"/>
      <c r="F135" s="125"/>
      <c r="G135" s="125"/>
      <c r="H135" s="125"/>
      <c r="I135" s="125"/>
      <c r="J135" s="125"/>
      <c r="K135" s="125"/>
      <c r="L135" s="125"/>
      <c r="M135" s="125"/>
      <c r="N135" s="125"/>
      <c r="O135" s="125"/>
      <c r="P135" s="125"/>
      <c r="Q135" s="125"/>
      <c r="R135" s="125"/>
      <c r="S135" s="125"/>
      <c r="T135" s="125"/>
      <c r="U135" s="125"/>
      <c r="V135" s="125"/>
      <c r="W135" s="125"/>
      <c r="X135" s="125"/>
      <c r="Y135" s="125"/>
      <c r="Z135" s="125"/>
      <c r="AA135" s="125"/>
      <c r="AB135" s="125"/>
      <c r="AC135" s="125"/>
      <c r="AD135" s="125"/>
      <c r="AE135" s="125"/>
      <c r="AF135" s="125"/>
      <c r="AH135" s="125"/>
    </row>
    <row r="136" spans="1:49" ht="30" thickBot="1" x14ac:dyDescent="0.35">
      <c r="A136" s="14" t="s">
        <v>20</v>
      </c>
      <c r="B136" s="140" t="s">
        <v>29</v>
      </c>
      <c r="C136" s="140"/>
      <c r="D136" s="140"/>
      <c r="E136" s="140"/>
      <c r="F136" s="140"/>
      <c r="G136" s="140"/>
      <c r="H136" s="140"/>
      <c r="I136" s="140"/>
      <c r="J136" s="140"/>
      <c r="K136" s="140"/>
      <c r="L136" s="140"/>
      <c r="M136" s="140"/>
      <c r="N136" s="140"/>
      <c r="O136" s="140"/>
      <c r="P136" s="140"/>
      <c r="Q136" s="140"/>
      <c r="R136" s="140"/>
      <c r="S136" s="140"/>
      <c r="T136" s="140"/>
      <c r="U136" s="140"/>
      <c r="V136" s="140"/>
      <c r="W136" s="140"/>
      <c r="X136" s="140"/>
      <c r="Y136" s="140"/>
      <c r="Z136" s="140"/>
      <c r="AA136" s="140"/>
      <c r="AB136" s="140"/>
      <c r="AC136" s="140"/>
      <c r="AD136" s="140"/>
      <c r="AE136" s="140"/>
      <c r="AF136" s="140"/>
      <c r="AG136" s="14"/>
      <c r="AH136" s="140" t="s">
        <v>91</v>
      </c>
      <c r="AI136" s="140"/>
      <c r="AJ136" s="140"/>
      <c r="AK136" s="140"/>
      <c r="AL136" s="140"/>
      <c r="AM136" s="140"/>
      <c r="AN136" s="140"/>
      <c r="AO136" s="140"/>
      <c r="AP136" s="140"/>
      <c r="AQ136" s="140"/>
      <c r="AR136" s="140"/>
      <c r="AS136" s="140"/>
      <c r="AT136" s="140"/>
      <c r="AU136" s="140"/>
      <c r="AV136" s="140"/>
      <c r="AW136" s="140"/>
    </row>
    <row r="137" spans="1:49" ht="18" thickTop="1" thickBot="1" x14ac:dyDescent="0.35">
      <c r="A137" s="35">
        <v>12</v>
      </c>
      <c r="B137" s="133">
        <f ca="1">DATE(RIGHT(CELL("nomfichier",A133),4),A137,1)</f>
        <v>43435</v>
      </c>
      <c r="C137" s="133">
        <f ca="1">B137+1</f>
        <v>43436</v>
      </c>
      <c r="D137" s="133">
        <f t="shared" ref="D137:AF137" ca="1" si="76">C137+1</f>
        <v>43437</v>
      </c>
      <c r="E137" s="133">
        <f t="shared" ca="1" si="76"/>
        <v>43438</v>
      </c>
      <c r="F137" s="133">
        <f t="shared" ca="1" si="76"/>
        <v>43439</v>
      </c>
      <c r="G137" s="133">
        <f t="shared" ca="1" si="76"/>
        <v>43440</v>
      </c>
      <c r="H137" s="133">
        <f t="shared" ca="1" si="76"/>
        <v>43441</v>
      </c>
      <c r="I137" s="133">
        <f t="shared" ca="1" si="76"/>
        <v>43442</v>
      </c>
      <c r="J137" s="133">
        <f t="shared" ca="1" si="76"/>
        <v>43443</v>
      </c>
      <c r="K137" s="133">
        <f t="shared" ca="1" si="76"/>
        <v>43444</v>
      </c>
      <c r="L137" s="133">
        <f t="shared" ca="1" si="76"/>
        <v>43445</v>
      </c>
      <c r="M137" s="133">
        <f t="shared" ca="1" si="76"/>
        <v>43446</v>
      </c>
      <c r="N137" s="133">
        <f t="shared" ca="1" si="76"/>
        <v>43447</v>
      </c>
      <c r="O137" s="133">
        <f t="shared" ca="1" si="76"/>
        <v>43448</v>
      </c>
      <c r="P137" s="133">
        <f t="shared" ca="1" si="76"/>
        <v>43449</v>
      </c>
      <c r="Q137" s="133">
        <f t="shared" ca="1" si="76"/>
        <v>43450</v>
      </c>
      <c r="R137" s="133">
        <f t="shared" ca="1" si="76"/>
        <v>43451</v>
      </c>
      <c r="S137" s="133">
        <f t="shared" ca="1" si="76"/>
        <v>43452</v>
      </c>
      <c r="T137" s="133">
        <f t="shared" ca="1" si="76"/>
        <v>43453</v>
      </c>
      <c r="U137" s="133">
        <f t="shared" ca="1" si="76"/>
        <v>43454</v>
      </c>
      <c r="V137" s="133">
        <f t="shared" ca="1" si="76"/>
        <v>43455</v>
      </c>
      <c r="W137" s="133">
        <f t="shared" ca="1" si="76"/>
        <v>43456</v>
      </c>
      <c r="X137" s="133">
        <f t="shared" ca="1" si="76"/>
        <v>43457</v>
      </c>
      <c r="Y137" s="133">
        <f t="shared" ca="1" si="76"/>
        <v>43458</v>
      </c>
      <c r="Z137" s="133">
        <f t="shared" ca="1" si="76"/>
        <v>43459</v>
      </c>
      <c r="AA137" s="133">
        <f t="shared" ca="1" si="76"/>
        <v>43460</v>
      </c>
      <c r="AB137" s="133">
        <f t="shared" ca="1" si="76"/>
        <v>43461</v>
      </c>
      <c r="AC137" s="133">
        <f t="shared" ca="1" si="76"/>
        <v>43462</v>
      </c>
      <c r="AD137" s="133">
        <f t="shared" ca="1" si="76"/>
        <v>43463</v>
      </c>
      <c r="AE137" s="133">
        <f t="shared" ca="1" si="76"/>
        <v>43464</v>
      </c>
      <c r="AF137" s="133">
        <f t="shared" ca="1" si="76"/>
        <v>43465</v>
      </c>
      <c r="AG137" s="18"/>
      <c r="AH137" s="35">
        <v>12</v>
      </c>
      <c r="AI137" s="18"/>
      <c r="AJ137" s="18"/>
      <c r="AK137" s="18"/>
      <c r="AL137" s="18"/>
      <c r="AM137" s="18"/>
      <c r="AN137" s="18"/>
      <c r="AO137" s="18"/>
      <c r="AP137" s="18"/>
      <c r="AQ137" s="18"/>
      <c r="AR137" s="18"/>
      <c r="AS137" s="18"/>
      <c r="AT137" s="18"/>
      <c r="AU137" s="18"/>
      <c r="AV137" s="18"/>
      <c r="AW137" s="71"/>
    </row>
    <row r="138" spans="1:49" x14ac:dyDescent="0.3">
      <c r="A138" s="59" t="s">
        <v>24</v>
      </c>
      <c r="B138" s="56" t="s">
        <v>30</v>
      </c>
      <c r="C138" s="56" t="s">
        <v>31</v>
      </c>
      <c r="D138" s="56" t="s">
        <v>32</v>
      </c>
      <c r="E138" s="56" t="s">
        <v>33</v>
      </c>
      <c r="F138" s="56" t="s">
        <v>34</v>
      </c>
      <c r="G138" s="56" t="s">
        <v>35</v>
      </c>
      <c r="H138" s="56" t="s">
        <v>36</v>
      </c>
      <c r="I138" s="56" t="s">
        <v>37</v>
      </c>
      <c r="J138" s="56" t="s">
        <v>38</v>
      </c>
      <c r="K138" s="56" t="s">
        <v>39</v>
      </c>
      <c r="L138" s="56" t="s">
        <v>40</v>
      </c>
      <c r="M138" s="56" t="s">
        <v>41</v>
      </c>
      <c r="N138" s="56" t="s">
        <v>42</v>
      </c>
      <c r="O138" s="56" t="s">
        <v>43</v>
      </c>
      <c r="P138" s="56" t="s">
        <v>44</v>
      </c>
      <c r="Q138" s="56" t="s">
        <v>45</v>
      </c>
      <c r="R138" s="56" t="s">
        <v>46</v>
      </c>
      <c r="S138" s="56" t="s">
        <v>47</v>
      </c>
      <c r="T138" s="56" t="s">
        <v>48</v>
      </c>
      <c r="U138" s="56" t="s">
        <v>49</v>
      </c>
      <c r="V138" s="56" t="s">
        <v>50</v>
      </c>
      <c r="W138" s="56" t="s">
        <v>51</v>
      </c>
      <c r="X138" s="56" t="s">
        <v>52</v>
      </c>
      <c r="Y138" s="56" t="s">
        <v>53</v>
      </c>
      <c r="Z138" s="56" t="s">
        <v>54</v>
      </c>
      <c r="AA138" s="56" t="s">
        <v>55</v>
      </c>
      <c r="AB138" s="56" t="s">
        <v>56</v>
      </c>
      <c r="AC138" s="56" t="s">
        <v>57</v>
      </c>
      <c r="AD138" s="60" t="s">
        <v>58</v>
      </c>
      <c r="AE138" s="60" t="s">
        <v>59</v>
      </c>
      <c r="AF138" s="60" t="s">
        <v>60</v>
      </c>
      <c r="AG138" s="18"/>
      <c r="AH138" s="59" t="s">
        <v>24</v>
      </c>
      <c r="AI138" s="40" t="s">
        <v>27</v>
      </c>
      <c r="AJ138" s="41" t="s">
        <v>80</v>
      </c>
      <c r="AK138" s="20" t="s">
        <v>76</v>
      </c>
      <c r="AL138" s="42" t="s">
        <v>70</v>
      </c>
      <c r="AM138" s="43" t="s">
        <v>81</v>
      </c>
      <c r="AN138" s="24" t="s">
        <v>3</v>
      </c>
      <c r="AO138" s="44" t="s">
        <v>25</v>
      </c>
      <c r="AP138" s="45" t="s">
        <v>67</v>
      </c>
      <c r="AQ138" s="31" t="s">
        <v>84</v>
      </c>
      <c r="AR138" s="70" t="s">
        <v>101</v>
      </c>
      <c r="AS138" s="46" t="s">
        <v>68</v>
      </c>
      <c r="AT138" s="34" t="s">
        <v>83</v>
      </c>
      <c r="AU138" s="64" t="s">
        <v>69</v>
      </c>
      <c r="AV138" s="58" t="s">
        <v>1</v>
      </c>
      <c r="AW138" s="81" t="s">
        <v>92</v>
      </c>
    </row>
    <row r="139" spans="1:49" ht="20.100000000000001" customHeight="1" x14ac:dyDescent="0.3">
      <c r="A139" s="48" t="s">
        <v>120</v>
      </c>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50"/>
      <c r="AA139" s="50"/>
      <c r="AB139" s="50"/>
      <c r="AC139" s="50"/>
      <c r="AD139" s="50"/>
      <c r="AE139" s="50"/>
      <c r="AF139" s="50"/>
      <c r="AG139" s="18"/>
      <c r="AH139" s="48" t="s">
        <v>120</v>
      </c>
      <c r="AI139" s="51">
        <f>COUNTIF(Décembre[[#This Row],[1]:[31]],AI$6)</f>
        <v>0</v>
      </c>
      <c r="AJ139" s="51">
        <f>COUNTIF(Décembre[[#This Row],[1]:[31]],AJ$6)/2</f>
        <v>0</v>
      </c>
      <c r="AK139" s="51">
        <f>SUM(AI139:AJ139)</f>
        <v>0</v>
      </c>
      <c r="AL139" s="51">
        <f>COUNTIF(Décembre[[#This Row],[1]:[31]],AL$6)</f>
        <v>0</v>
      </c>
      <c r="AM139" s="51">
        <f>COUNTIF(Décembre[[#This Row],[1]:[31]],AM$6)/2</f>
        <v>0</v>
      </c>
      <c r="AN139" s="51">
        <f>SUM(AL139:AM139)</f>
        <v>0</v>
      </c>
      <c r="AO139" s="51">
        <f>COUNTIF(Décembre[[#This Row],[1]:[31]],AO$6)</f>
        <v>0</v>
      </c>
      <c r="AP139" s="51">
        <f>COUNTIF(Décembre[[#This Row],[1]:[31]],AP$6)</f>
        <v>0</v>
      </c>
      <c r="AQ139" s="51">
        <f>COUNTIF(Décembre[[#This Row],[1]:[31]],AQ$6)/2</f>
        <v>0</v>
      </c>
      <c r="AR139" s="51">
        <f>SUM(AP139:AQ139)</f>
        <v>0</v>
      </c>
      <c r="AS139" s="51">
        <f>COUNTIF(Décembre[[#This Row],[1]:[31]],AS$6)</f>
        <v>0</v>
      </c>
      <c r="AT139" s="51">
        <f>COUNTIF(Décembre[[#This Row],[1]:[31]],AT$6)/2</f>
        <v>0</v>
      </c>
      <c r="AU139" s="51">
        <f>SUM(AS139:AT139)</f>
        <v>0</v>
      </c>
      <c r="AV139" s="52">
        <f>AK139+AN139+AO139+AR139+AU139</f>
        <v>0</v>
      </c>
      <c r="AW139" s="82">
        <f>COUNTA(V127,AF127,W127,X127,Y127,Z127,AA127,AB127,AC127,AD127,AE127,B139:U139)</f>
        <v>0</v>
      </c>
    </row>
    <row r="140" spans="1:49" ht="20.100000000000001" customHeight="1" x14ac:dyDescent="0.3">
      <c r="A140" s="48" t="s">
        <v>121</v>
      </c>
      <c r="B140" s="50"/>
      <c r="C140" s="50"/>
      <c r="D140" s="50"/>
      <c r="E140" s="50"/>
      <c r="F140" s="50"/>
      <c r="G140" s="50"/>
      <c r="H140" s="50"/>
      <c r="I140" s="50"/>
      <c r="J140" s="50"/>
      <c r="K140" s="50"/>
      <c r="L140" s="50"/>
      <c r="M140" s="50"/>
      <c r="N140" s="50"/>
      <c r="O140" s="50"/>
      <c r="P140" s="50"/>
      <c r="Q140" s="50"/>
      <c r="R140" s="50"/>
      <c r="S140" s="50"/>
      <c r="T140" s="50"/>
      <c r="U140" s="50"/>
      <c r="V140" s="50"/>
      <c r="W140" s="50"/>
      <c r="X140" s="50"/>
      <c r="Y140" s="50"/>
      <c r="Z140" s="50"/>
      <c r="AA140" s="50"/>
      <c r="AB140" s="50"/>
      <c r="AC140" s="50"/>
      <c r="AD140" s="50"/>
      <c r="AE140" s="50"/>
      <c r="AF140" s="50"/>
      <c r="AG140" s="18"/>
      <c r="AH140" s="48" t="s">
        <v>121</v>
      </c>
      <c r="AI140" s="53">
        <f>COUNTIF(Décembre[[#This Row],[1]:[31]],AI$6)</f>
        <v>0</v>
      </c>
      <c r="AJ140" s="53">
        <f>COUNTIF(Décembre[[#This Row],[1]:[31]],AJ$6)/2</f>
        <v>0</v>
      </c>
      <c r="AK140" s="53">
        <f t="shared" ref="AK140:AK144" si="77">SUM(AI140:AJ140)</f>
        <v>0</v>
      </c>
      <c r="AL140" s="53">
        <f>COUNTIF(Décembre[[#This Row],[1]:[31]],AL$6)</f>
        <v>0</v>
      </c>
      <c r="AM140" s="53">
        <f>COUNTIF(Décembre[[#This Row],[1]:[31]],AM$6)/2</f>
        <v>0</v>
      </c>
      <c r="AN140" s="53">
        <f t="shared" ref="AN140:AN144" si="78">SUM(AL140:AM140)</f>
        <v>0</v>
      </c>
      <c r="AO140" s="53">
        <f>COUNTIF(Décembre[[#This Row],[1]:[31]],AO$6)</f>
        <v>0</v>
      </c>
      <c r="AP140" s="53">
        <f>COUNTIF(Décembre[[#This Row],[1]:[31]],AP$6)</f>
        <v>0</v>
      </c>
      <c r="AQ140" s="53">
        <f>COUNTIF(Décembre[[#This Row],[1]:[31]],AQ$6)/2</f>
        <v>0</v>
      </c>
      <c r="AR140" s="53">
        <f t="shared" ref="AR140:AR144" si="79">SUM(AP140:AQ140)</f>
        <v>0</v>
      </c>
      <c r="AS140" s="53">
        <f>COUNTIF(Décembre[[#This Row],[1]:[31]],AS$6)</f>
        <v>0</v>
      </c>
      <c r="AT140" s="53">
        <f>COUNTIF(Décembre[[#This Row],[1]:[31]],AT$6)/2</f>
        <v>0</v>
      </c>
      <c r="AU140" s="53">
        <f t="shared" ref="AU140:AU144" si="80">SUM(AS140:AT140)</f>
        <v>0</v>
      </c>
      <c r="AV140" s="54">
        <f t="shared" ref="AV140:AV144" si="81">AK140+AN140+AO140+AR140+AU140</f>
        <v>0</v>
      </c>
      <c r="AW140" s="83">
        <f t="shared" ref="AW140:AW144" si="82">COUNTA(V128,AF128,W128,X128,Y128,Z128,AA128,AB128,AC128,AD128,AE128,B140:U140)</f>
        <v>0</v>
      </c>
    </row>
    <row r="141" spans="1:49" ht="20.100000000000001" customHeight="1" x14ac:dyDescent="0.3">
      <c r="A141" s="48" t="s">
        <v>122</v>
      </c>
      <c r="B141" s="50"/>
      <c r="C141" s="50"/>
      <c r="D141" s="50"/>
      <c r="E141" s="50"/>
      <c r="F141" s="50"/>
      <c r="G141" s="50"/>
      <c r="H141" s="50"/>
      <c r="I141" s="50"/>
      <c r="J141" s="50"/>
      <c r="K141" s="50"/>
      <c r="L141" s="50"/>
      <c r="M141" s="50"/>
      <c r="N141" s="50"/>
      <c r="O141" s="50"/>
      <c r="P141" s="50"/>
      <c r="Q141" s="50"/>
      <c r="R141" s="50"/>
      <c r="S141" s="50"/>
      <c r="T141" s="50"/>
      <c r="U141" s="50"/>
      <c r="V141" s="50"/>
      <c r="W141" s="50"/>
      <c r="X141" s="50"/>
      <c r="Y141" s="50"/>
      <c r="Z141" s="50"/>
      <c r="AA141" s="50"/>
      <c r="AB141" s="50"/>
      <c r="AC141" s="50"/>
      <c r="AD141" s="50"/>
      <c r="AE141" s="50"/>
      <c r="AF141" s="50"/>
      <c r="AG141" s="18"/>
      <c r="AH141" s="48" t="s">
        <v>122</v>
      </c>
      <c r="AI141" s="51">
        <f>COUNTIF(Décembre[[#This Row],[1]:[31]],AI$6)</f>
        <v>0</v>
      </c>
      <c r="AJ141" s="51">
        <f>COUNTIF(Décembre[[#This Row],[1]:[31]],AJ$6)/2</f>
        <v>0</v>
      </c>
      <c r="AK141" s="51">
        <f t="shared" si="77"/>
        <v>0</v>
      </c>
      <c r="AL141" s="51">
        <f>COUNTIF(Décembre[[#This Row],[1]:[31]],AL$6)</f>
        <v>0</v>
      </c>
      <c r="AM141" s="51">
        <f>COUNTIF(Décembre[[#This Row],[1]:[31]],AM$6)/2</f>
        <v>0</v>
      </c>
      <c r="AN141" s="51">
        <f t="shared" si="78"/>
        <v>0</v>
      </c>
      <c r="AO141" s="51">
        <f>COUNTIF(Décembre[[#This Row],[1]:[31]],AO$6)</f>
        <v>0</v>
      </c>
      <c r="AP141" s="51">
        <f>COUNTIF(Décembre[[#This Row],[1]:[31]],AP$6)</f>
        <v>0</v>
      </c>
      <c r="AQ141" s="51">
        <f>COUNTIF(Décembre[[#This Row],[1]:[31]],AQ$6)/2</f>
        <v>0</v>
      </c>
      <c r="AR141" s="51">
        <f t="shared" si="79"/>
        <v>0</v>
      </c>
      <c r="AS141" s="51">
        <f>COUNTIF(Décembre[[#This Row],[1]:[31]],AS$6)</f>
        <v>0</v>
      </c>
      <c r="AT141" s="51">
        <f>COUNTIF(Décembre[[#This Row],[1]:[31]],AT$6)/2</f>
        <v>0</v>
      </c>
      <c r="AU141" s="51">
        <f t="shared" si="80"/>
        <v>0</v>
      </c>
      <c r="AV141" s="52">
        <f t="shared" si="81"/>
        <v>0</v>
      </c>
      <c r="AW141" s="82">
        <f t="shared" si="82"/>
        <v>0</v>
      </c>
    </row>
    <row r="142" spans="1:49" ht="20.100000000000001" customHeight="1" x14ac:dyDescent="0.3">
      <c r="A142" s="48" t="s">
        <v>123</v>
      </c>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50"/>
      <c r="AA142" s="50"/>
      <c r="AB142" s="50"/>
      <c r="AC142" s="50"/>
      <c r="AD142" s="50"/>
      <c r="AE142" s="50"/>
      <c r="AF142" s="50"/>
      <c r="AG142" s="18"/>
      <c r="AH142" s="48" t="s">
        <v>123</v>
      </c>
      <c r="AI142" s="53">
        <f>COUNTIF(Décembre[[#This Row],[1]:[31]],AI$6)</f>
        <v>0</v>
      </c>
      <c r="AJ142" s="53">
        <f>COUNTIF(Décembre[[#This Row],[1]:[31]],AJ$6)/2</f>
        <v>0</v>
      </c>
      <c r="AK142" s="53">
        <f t="shared" si="77"/>
        <v>0</v>
      </c>
      <c r="AL142" s="53">
        <f>COUNTIF(Décembre[[#This Row],[1]:[31]],AL$6)</f>
        <v>0</v>
      </c>
      <c r="AM142" s="53">
        <f>COUNTIF(Décembre[[#This Row],[1]:[31]],AM$6)/2</f>
        <v>0</v>
      </c>
      <c r="AN142" s="53">
        <f t="shared" si="78"/>
        <v>0</v>
      </c>
      <c r="AO142" s="53">
        <f>COUNTIF(Décembre[[#This Row],[1]:[31]],AO$6)</f>
        <v>0</v>
      </c>
      <c r="AP142" s="53">
        <f>COUNTIF(Décembre[[#This Row],[1]:[31]],AP$6)</f>
        <v>0</v>
      </c>
      <c r="AQ142" s="53">
        <f>COUNTIF(Décembre[[#This Row],[1]:[31]],AQ$6)/2</f>
        <v>0</v>
      </c>
      <c r="AR142" s="53">
        <f t="shared" si="79"/>
        <v>0</v>
      </c>
      <c r="AS142" s="53">
        <f>COUNTIF(Décembre[[#This Row],[1]:[31]],AS$6)</f>
        <v>0</v>
      </c>
      <c r="AT142" s="53">
        <f>COUNTIF(Décembre[[#This Row],[1]:[31]],AT$6)/2</f>
        <v>0</v>
      </c>
      <c r="AU142" s="53">
        <f t="shared" si="80"/>
        <v>0</v>
      </c>
      <c r="AV142" s="54">
        <f t="shared" si="81"/>
        <v>0</v>
      </c>
      <c r="AW142" s="83">
        <f t="shared" si="82"/>
        <v>0</v>
      </c>
    </row>
    <row r="143" spans="1:49" ht="20.100000000000001" customHeight="1" x14ac:dyDescent="0.3">
      <c r="A143" s="48" t="s">
        <v>124</v>
      </c>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50"/>
      <c r="AA143" s="50"/>
      <c r="AB143" s="50"/>
      <c r="AC143" s="50"/>
      <c r="AD143" s="50"/>
      <c r="AE143" s="50"/>
      <c r="AF143" s="50"/>
      <c r="AG143" s="18"/>
      <c r="AH143" s="48" t="s">
        <v>124</v>
      </c>
      <c r="AI143" s="51">
        <f>COUNTIF(Décembre[[#This Row],[1]:[31]],AI$6)</f>
        <v>0</v>
      </c>
      <c r="AJ143" s="51">
        <f>COUNTIF(Décembre[[#This Row],[1]:[31]],AJ$6)/2</f>
        <v>0</v>
      </c>
      <c r="AK143" s="51">
        <f t="shared" si="77"/>
        <v>0</v>
      </c>
      <c r="AL143" s="51">
        <f>COUNTIF(Décembre[[#This Row],[1]:[31]],AL$6)</f>
        <v>0</v>
      </c>
      <c r="AM143" s="51">
        <f>COUNTIF(Décembre[[#This Row],[1]:[31]],AM$6)/2</f>
        <v>0</v>
      </c>
      <c r="AN143" s="51">
        <f t="shared" si="78"/>
        <v>0</v>
      </c>
      <c r="AO143" s="51">
        <f>COUNTIF(Décembre[[#This Row],[1]:[31]],AO$6)</f>
        <v>0</v>
      </c>
      <c r="AP143" s="51">
        <f>COUNTIF(Décembre[[#This Row],[1]:[31]],AP$6)</f>
        <v>0</v>
      </c>
      <c r="AQ143" s="51">
        <f>COUNTIF(Décembre[[#This Row],[1]:[31]],AQ$6)/2</f>
        <v>0</v>
      </c>
      <c r="AR143" s="51">
        <f t="shared" si="79"/>
        <v>0</v>
      </c>
      <c r="AS143" s="51">
        <f>COUNTIF(Décembre[[#This Row],[1]:[31]],AS$6)</f>
        <v>0</v>
      </c>
      <c r="AT143" s="51">
        <f>COUNTIF(Décembre[[#This Row],[1]:[31]],AT$6)/2</f>
        <v>0</v>
      </c>
      <c r="AU143" s="51">
        <f t="shared" si="80"/>
        <v>0</v>
      </c>
      <c r="AV143" s="52">
        <f t="shared" si="81"/>
        <v>0</v>
      </c>
      <c r="AW143" s="82">
        <f t="shared" si="82"/>
        <v>0</v>
      </c>
    </row>
    <row r="144" spans="1:49" ht="20.100000000000001" customHeight="1" thickBot="1" x14ac:dyDescent="0.35">
      <c r="A144" s="48" t="s">
        <v>125</v>
      </c>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50"/>
      <c r="AA144" s="50"/>
      <c r="AB144" s="50"/>
      <c r="AC144" s="50"/>
      <c r="AD144" s="50"/>
      <c r="AE144" s="50"/>
      <c r="AF144" s="50"/>
      <c r="AG144" s="18"/>
      <c r="AH144" s="48" t="s">
        <v>125</v>
      </c>
      <c r="AI144" s="53">
        <f>COUNTIF(Décembre[[#This Row],[1]:[31]],AI$6)</f>
        <v>0</v>
      </c>
      <c r="AJ144" s="53">
        <f>COUNTIF(Décembre[[#This Row],[1]:[31]],AJ$6)/2</f>
        <v>0</v>
      </c>
      <c r="AK144" s="53">
        <f t="shared" si="77"/>
        <v>0</v>
      </c>
      <c r="AL144" s="53">
        <f>COUNTIF(Décembre[[#This Row],[1]:[31]],AL$6)</f>
        <v>0</v>
      </c>
      <c r="AM144" s="53">
        <f>COUNTIF(Décembre[[#This Row],[1]:[31]],AM$6)/2</f>
        <v>0</v>
      </c>
      <c r="AN144" s="53">
        <f t="shared" si="78"/>
        <v>0</v>
      </c>
      <c r="AO144" s="53">
        <f>COUNTIF(Décembre[[#This Row],[1]:[31]],AO$6)</f>
        <v>0</v>
      </c>
      <c r="AP144" s="53">
        <f>COUNTIF(Décembre[[#This Row],[1]:[31]],AP$6)</f>
        <v>0</v>
      </c>
      <c r="AQ144" s="53">
        <f>COUNTIF(Décembre[[#This Row],[1]:[31]],AQ$6)/2</f>
        <v>0</v>
      </c>
      <c r="AR144" s="53">
        <f t="shared" si="79"/>
        <v>0</v>
      </c>
      <c r="AS144" s="53">
        <f>COUNTIF(Décembre[[#This Row],[1]:[31]],AS$6)</f>
        <v>0</v>
      </c>
      <c r="AT144" s="53">
        <f>COUNTIF(Décembre[[#This Row],[1]:[31]],AT$6)/2</f>
        <v>0</v>
      </c>
      <c r="AU144" s="53">
        <f t="shared" si="80"/>
        <v>0</v>
      </c>
      <c r="AV144" s="55">
        <f t="shared" si="81"/>
        <v>0</v>
      </c>
      <c r="AW144" s="84">
        <f t="shared" si="82"/>
        <v>0</v>
      </c>
    </row>
    <row r="145" spans="34:34" x14ac:dyDescent="0.3">
      <c r="AH145" s="48"/>
    </row>
  </sheetData>
  <mergeCells count="25">
    <mergeCell ref="AH124:AW124"/>
    <mergeCell ref="AH136:AW136"/>
    <mergeCell ref="A1:AW1"/>
    <mergeCell ref="AH64:AW64"/>
    <mergeCell ref="AH76:AW76"/>
    <mergeCell ref="AH88:AW88"/>
    <mergeCell ref="AH100:AW100"/>
    <mergeCell ref="AH112:AW112"/>
    <mergeCell ref="AH4:AW4"/>
    <mergeCell ref="AH16:AW16"/>
    <mergeCell ref="AH28:AW28"/>
    <mergeCell ref="AH40:AW40"/>
    <mergeCell ref="AH52:AW52"/>
    <mergeCell ref="B64:AF64"/>
    <mergeCell ref="B40:AF40"/>
    <mergeCell ref="B16:AF16"/>
    <mergeCell ref="B4:AF4"/>
    <mergeCell ref="B28:AF28"/>
    <mergeCell ref="B52:AF52"/>
    <mergeCell ref="B124:AF124"/>
    <mergeCell ref="B136:AF136"/>
    <mergeCell ref="B100:AF100"/>
    <mergeCell ref="B112:AF112"/>
    <mergeCell ref="B76:AF76"/>
    <mergeCell ref="B88:AF88"/>
  </mergeCells>
  <conditionalFormatting sqref="B7:AE12">
    <cfRule type="expression" dxfId="2754" priority="1240">
      <formula>B7=$B$2</formula>
    </cfRule>
  </conditionalFormatting>
  <conditionalFormatting sqref="B7:AE12">
    <cfRule type="expression" dxfId="2753" priority="1239">
      <formula>B7=$E$2</formula>
    </cfRule>
  </conditionalFormatting>
  <conditionalFormatting sqref="B19:AF24">
    <cfRule type="expression" dxfId="21" priority="1231">
      <formula>B19=$B$2</formula>
    </cfRule>
  </conditionalFormatting>
  <conditionalFormatting sqref="B19:AF24">
    <cfRule type="expression" dxfId="20" priority="1230">
      <formula>B19=$E$2</formula>
    </cfRule>
  </conditionalFormatting>
  <conditionalFormatting sqref="B31:AF36">
    <cfRule type="expression" dxfId="2752" priority="1222">
      <formula>B31=$B$2</formula>
    </cfRule>
  </conditionalFormatting>
  <conditionalFormatting sqref="B31:AF36">
    <cfRule type="expression" dxfId="2751" priority="1221">
      <formula>B31=$E$2</formula>
    </cfRule>
  </conditionalFormatting>
  <conditionalFormatting sqref="B43:AF48">
    <cfRule type="expression" dxfId="2750" priority="1213">
      <formula>B43=$B$2</formula>
    </cfRule>
  </conditionalFormatting>
  <conditionalFormatting sqref="B43:AF48">
    <cfRule type="expression" dxfId="2749" priority="1212">
      <formula>B43=$E$2</formula>
    </cfRule>
  </conditionalFormatting>
  <conditionalFormatting sqref="B55:AF60">
    <cfRule type="expression" dxfId="2748" priority="1204">
      <formula>B55=$B$2</formula>
    </cfRule>
  </conditionalFormatting>
  <conditionalFormatting sqref="B55:AF60">
    <cfRule type="expression" dxfId="2747" priority="1203">
      <formula>B55=$E$2</formula>
    </cfRule>
  </conditionalFormatting>
  <conditionalFormatting sqref="B67:AF72">
    <cfRule type="expression" dxfId="2746" priority="1195">
      <formula>B67=$B$2</formula>
    </cfRule>
  </conditionalFormatting>
  <conditionalFormatting sqref="B67:AF72">
    <cfRule type="expression" dxfId="2745" priority="1194">
      <formula>B67=$E$2</formula>
    </cfRule>
  </conditionalFormatting>
  <conditionalFormatting sqref="B79:AF84">
    <cfRule type="expression" dxfId="2744" priority="1186">
      <formula>B79=$B$2</formula>
    </cfRule>
  </conditionalFormatting>
  <conditionalFormatting sqref="B79:AF84">
    <cfRule type="expression" dxfId="2743" priority="1185">
      <formula>B79=$E$2</formula>
    </cfRule>
  </conditionalFormatting>
  <conditionalFormatting sqref="B91:AF96">
    <cfRule type="expression" dxfId="2742" priority="1177">
      <formula>B91=$B$2</formula>
    </cfRule>
  </conditionalFormatting>
  <conditionalFormatting sqref="B91:AF96">
    <cfRule type="expression" dxfId="2741" priority="1176">
      <formula>B91=$E$2</formula>
    </cfRule>
  </conditionalFormatting>
  <conditionalFormatting sqref="B103:AF108">
    <cfRule type="expression" dxfId="2740" priority="1159">
      <formula>B103=$B$2</formula>
    </cfRule>
  </conditionalFormatting>
  <conditionalFormatting sqref="B103:AF108">
    <cfRule type="expression" dxfId="2739" priority="1158">
      <formula>B103=$E$2</formula>
    </cfRule>
  </conditionalFormatting>
  <conditionalFormatting sqref="B115:AF120">
    <cfRule type="expression" dxfId="2738" priority="1150">
      <formula>B115=$B$2</formula>
    </cfRule>
  </conditionalFormatting>
  <conditionalFormatting sqref="B115:AF120">
    <cfRule type="expression" dxfId="2737" priority="1149">
      <formula>B115=$E$2</formula>
    </cfRule>
  </conditionalFormatting>
  <conditionalFormatting sqref="B127:AF132">
    <cfRule type="expression" dxfId="2736" priority="1141">
      <formula>B127=$B$2</formula>
    </cfRule>
  </conditionalFormatting>
  <conditionalFormatting sqref="B127:AF132">
    <cfRule type="expression" dxfId="2735" priority="1140">
      <formula>B127=$E$2</formula>
    </cfRule>
  </conditionalFormatting>
  <conditionalFormatting sqref="B139:AF144">
    <cfRule type="expression" dxfId="2734" priority="1132">
      <formula>B139=$B$2</formula>
    </cfRule>
  </conditionalFormatting>
  <conditionalFormatting sqref="B139:AF144">
    <cfRule type="expression" dxfId="2733" priority="1131">
      <formula>B139=$E$2</formula>
    </cfRule>
  </conditionalFormatting>
  <conditionalFormatting sqref="AF7:AF12">
    <cfRule type="expression" dxfId="2732" priority="1123">
      <formula>AF7=$B$2</formula>
    </cfRule>
  </conditionalFormatting>
  <conditionalFormatting sqref="AF7:AF12">
    <cfRule type="expression" dxfId="2731" priority="1122">
      <formula>AF7=$E$2</formula>
    </cfRule>
  </conditionalFormatting>
  <conditionalFormatting sqref="AI7:AU12">
    <cfRule type="expression" dxfId="2730" priority="1105">
      <formula>AI7=$B$2</formula>
    </cfRule>
  </conditionalFormatting>
  <conditionalFormatting sqref="AI7:AU12">
    <cfRule type="expression" dxfId="2729" priority="1104">
      <formula>AI7=$E$2</formula>
    </cfRule>
  </conditionalFormatting>
  <conditionalFormatting sqref="AW7:AW12">
    <cfRule type="expression" dxfId="2728" priority="992">
      <formula>AW7=$B$2</formula>
    </cfRule>
  </conditionalFormatting>
  <conditionalFormatting sqref="AW7:AW12">
    <cfRule type="expression" dxfId="2727" priority="991">
      <formula>AW7=$E$2</formula>
    </cfRule>
  </conditionalFormatting>
  <conditionalFormatting sqref="AI7:AU12 AW7:AW12 B7:AF12">
    <cfRule type="expression" dxfId="2726" priority="3389">
      <formula>B7=$Y$2</formula>
    </cfRule>
    <cfRule type="expression" dxfId="2725" priority="3390">
      <formula>B7=$Q$2</formula>
    </cfRule>
    <cfRule type="expression" dxfId="2724" priority="3391">
      <formula>B7=$N$2</formula>
    </cfRule>
    <cfRule type="expression" dxfId="2723" priority="3392">
      <formula>B7=$K$2</formula>
    </cfRule>
    <cfRule type="expression" dxfId="2722" priority="3393">
      <formula>B7=$H$2</formula>
    </cfRule>
    <cfRule type="expression" dxfId="2721" priority="3394" stopIfTrue="1">
      <formula>B$5="sam"</formula>
    </cfRule>
    <cfRule type="expression" dxfId="2720" priority="3395" stopIfTrue="1">
      <formula>B$5="dim"</formula>
    </cfRule>
  </conditionalFormatting>
  <conditionalFormatting sqref="B43:AF48 B55:AF60 B67:AF72 B91:AF96 B103:AF108 B115:AF120 B127:AF132 B139:AF144 B79:AF84 B7:AF12 B31:AF36 B19:AF24">
    <cfRule type="expression" dxfId="19" priority="827">
      <formula>B7=$AB$2</formula>
    </cfRule>
    <cfRule type="expression" dxfId="18" priority="3655">
      <formula>B7=$U$2</formula>
    </cfRule>
  </conditionalFormatting>
  <conditionalFormatting sqref="AW7:AW12">
    <cfRule type="expression" dxfId="2719" priority="826">
      <formula>AW7=$B$2</formula>
    </cfRule>
  </conditionalFormatting>
  <conditionalFormatting sqref="AW7:AW12">
    <cfRule type="expression" dxfId="2718" priority="825">
      <formula>AW7=$E$2</formula>
    </cfRule>
  </conditionalFormatting>
  <conditionalFormatting sqref="AV7:AV12">
    <cfRule type="expression" dxfId="2717" priority="815">
      <formula>AV7=$B$2</formula>
    </cfRule>
  </conditionalFormatting>
  <conditionalFormatting sqref="AV7:AV12">
    <cfRule type="expression" dxfId="2716" priority="814">
      <formula>AV7=$E$2</formula>
    </cfRule>
  </conditionalFormatting>
  <conditionalFormatting sqref="AV7:AV12">
    <cfRule type="expression" dxfId="2715" priority="816">
      <formula>AV7=$Y$2</formula>
    </cfRule>
    <cfRule type="expression" dxfId="2714" priority="817">
      <formula>AV7=$Q$2</formula>
    </cfRule>
    <cfRule type="expression" dxfId="2713" priority="818">
      <formula>AV7=$N$2</formula>
    </cfRule>
    <cfRule type="expression" dxfId="2712" priority="819">
      <formula>AV7=$K$2</formula>
    </cfRule>
    <cfRule type="expression" dxfId="2711" priority="820">
      <formula>AV7=$H$2</formula>
    </cfRule>
    <cfRule type="expression" dxfId="2710" priority="821" stopIfTrue="1">
      <formula>AV$5="sam"</formula>
    </cfRule>
    <cfRule type="expression" dxfId="2709" priority="822" stopIfTrue="1">
      <formula>AV$5="dim"</formula>
    </cfRule>
  </conditionalFormatting>
  <conditionalFormatting sqref="AV7:AV12">
    <cfRule type="expression" dxfId="2708" priority="813">
      <formula>AV7=$B$2</formula>
    </cfRule>
  </conditionalFormatting>
  <conditionalFormatting sqref="AV7:AV12">
    <cfRule type="expression" dxfId="2707" priority="812">
      <formula>AV7=$E$2</formula>
    </cfRule>
  </conditionalFormatting>
  <conditionalFormatting sqref="AI139:AU144">
    <cfRule type="expression" dxfId="2706" priority="53">
      <formula>AI139=$B$2</formula>
    </cfRule>
  </conditionalFormatting>
  <conditionalFormatting sqref="AI139:AU144">
    <cfRule type="expression" dxfId="2705" priority="52">
      <formula>AI139=$E$2</formula>
    </cfRule>
  </conditionalFormatting>
  <conditionalFormatting sqref="AW139:AW144">
    <cfRule type="expression" dxfId="2704" priority="51">
      <formula>AW139=$B$2</formula>
    </cfRule>
  </conditionalFormatting>
  <conditionalFormatting sqref="AW139:AW144">
    <cfRule type="expression" dxfId="2703" priority="50">
      <formula>AW139=$E$2</formula>
    </cfRule>
  </conditionalFormatting>
  <conditionalFormatting sqref="AW139:AW144">
    <cfRule type="expression" dxfId="2702" priority="49">
      <formula>AW139=$B$2</formula>
    </cfRule>
  </conditionalFormatting>
  <conditionalFormatting sqref="AW139:AW144">
    <cfRule type="expression" dxfId="2701" priority="48">
      <formula>AW139=$E$2</formula>
    </cfRule>
  </conditionalFormatting>
  <conditionalFormatting sqref="AV139:AV144">
    <cfRule type="expression" dxfId="2700" priority="40">
      <formula>AV139=$B$2</formula>
    </cfRule>
  </conditionalFormatting>
  <conditionalFormatting sqref="AV139:AV144">
    <cfRule type="expression" dxfId="2699" priority="39">
      <formula>AV139=$E$2</formula>
    </cfRule>
  </conditionalFormatting>
  <conditionalFormatting sqref="AV139:AV144">
    <cfRule type="expression" dxfId="2698" priority="41">
      <formula>AV139=$Y$2</formula>
    </cfRule>
    <cfRule type="expression" dxfId="2697" priority="42">
      <formula>AV139=$Q$2</formula>
    </cfRule>
    <cfRule type="expression" dxfId="2696" priority="43">
      <formula>AV139=$N$2</formula>
    </cfRule>
    <cfRule type="expression" dxfId="2695" priority="44">
      <formula>AV139=$K$2</formula>
    </cfRule>
    <cfRule type="expression" dxfId="2694" priority="45">
      <formula>AV139=$H$2</formula>
    </cfRule>
    <cfRule type="expression" dxfId="2693" priority="46" stopIfTrue="1">
      <formula>AV$5="sam"</formula>
    </cfRule>
    <cfRule type="expression" dxfId="2692" priority="47" stopIfTrue="1">
      <formula>AV$5="dim"</formula>
    </cfRule>
  </conditionalFormatting>
  <conditionalFormatting sqref="AV139:AV144">
    <cfRule type="expression" dxfId="2691" priority="38">
      <formula>AV139=$B$2</formula>
    </cfRule>
  </conditionalFormatting>
  <conditionalFormatting sqref="AV139:AV144">
    <cfRule type="expression" dxfId="2690" priority="37">
      <formula>AV139=$E$2</formula>
    </cfRule>
  </conditionalFormatting>
  <conditionalFormatting sqref="AW43:AW48">
    <cfRule type="expression" dxfId="2689" priority="241">
      <formula>AW43=$B$2</formula>
    </cfRule>
  </conditionalFormatting>
  <conditionalFormatting sqref="AW43:AW48">
    <cfRule type="expression" dxfId="2688" priority="240">
      <formula>AW43=$E$2</formula>
    </cfRule>
  </conditionalFormatting>
  <conditionalFormatting sqref="AV31:AV36">
    <cfRule type="expression" dxfId="2687" priority="254">
      <formula>AV31=$B$2</formula>
    </cfRule>
  </conditionalFormatting>
  <conditionalFormatting sqref="AV31:AV36">
    <cfRule type="expression" dxfId="2686" priority="253">
      <formula>AV31=$E$2</formula>
    </cfRule>
  </conditionalFormatting>
  <conditionalFormatting sqref="AW31:AW36">
    <cfRule type="expression" dxfId="2685" priority="267">
      <formula>AW31=$B$2</formula>
    </cfRule>
  </conditionalFormatting>
  <conditionalFormatting sqref="AW31:AW36">
    <cfRule type="expression" dxfId="2684" priority="266">
      <formula>AW31=$E$2</formula>
    </cfRule>
  </conditionalFormatting>
  <conditionalFormatting sqref="AW31:AW36">
    <cfRule type="expression" dxfId="2683" priority="265">
      <formula>AW31=$B$2</formula>
    </cfRule>
  </conditionalFormatting>
  <conditionalFormatting sqref="AW31:AW36">
    <cfRule type="expression" dxfId="2682" priority="264">
      <formula>AW31=$E$2</formula>
    </cfRule>
  </conditionalFormatting>
  <conditionalFormatting sqref="AV19:AV24">
    <cfRule type="expression" dxfId="2681" priority="280">
      <formula>AV19=$B$2</formula>
    </cfRule>
  </conditionalFormatting>
  <conditionalFormatting sqref="AV19:AV24">
    <cfRule type="expression" dxfId="2680" priority="279">
      <formula>AV19=$E$2</formula>
    </cfRule>
  </conditionalFormatting>
  <conditionalFormatting sqref="AV19:AV24">
    <cfRule type="expression" dxfId="2679" priority="281">
      <formula>AV19=$Y$2</formula>
    </cfRule>
    <cfRule type="expression" dxfId="2678" priority="282">
      <formula>AV19=$Q$2</formula>
    </cfRule>
    <cfRule type="expression" dxfId="2677" priority="283">
      <formula>AV19=$N$2</formula>
    </cfRule>
    <cfRule type="expression" dxfId="2676" priority="284">
      <formula>AV19=$K$2</formula>
    </cfRule>
    <cfRule type="expression" dxfId="2675" priority="285">
      <formula>AV19=$H$2</formula>
    </cfRule>
    <cfRule type="expression" dxfId="2674" priority="286" stopIfTrue="1">
      <formula>AV$5="sam"</formula>
    </cfRule>
    <cfRule type="expression" dxfId="2673" priority="287" stopIfTrue="1">
      <formula>AV$5="dim"</formula>
    </cfRule>
  </conditionalFormatting>
  <conditionalFormatting sqref="AV19:AV24">
    <cfRule type="expression" dxfId="2672" priority="278">
      <formula>AV19=$B$2</formula>
    </cfRule>
  </conditionalFormatting>
  <conditionalFormatting sqref="AV19:AV24">
    <cfRule type="expression" dxfId="2671" priority="277">
      <formula>AV19=$E$2</formula>
    </cfRule>
  </conditionalFormatting>
  <conditionalFormatting sqref="AI19:AU24">
    <cfRule type="expression" dxfId="2670" priority="293">
      <formula>AI19=$B$2</formula>
    </cfRule>
  </conditionalFormatting>
  <conditionalFormatting sqref="AI19:AU24">
    <cfRule type="expression" dxfId="2669" priority="292">
      <formula>AI19=$E$2</formula>
    </cfRule>
  </conditionalFormatting>
  <conditionalFormatting sqref="AW19:AW24">
    <cfRule type="expression" dxfId="2668" priority="291">
      <formula>AW19=$B$2</formula>
    </cfRule>
  </conditionalFormatting>
  <conditionalFormatting sqref="AW19:AW24">
    <cfRule type="expression" dxfId="2667" priority="290">
      <formula>AW19=$E$2</formula>
    </cfRule>
  </conditionalFormatting>
  <conditionalFormatting sqref="AI19:AU24 AW19:AW24">
    <cfRule type="expression" dxfId="2666" priority="294">
      <formula>AI19=$Y$2</formula>
    </cfRule>
    <cfRule type="expression" dxfId="2665" priority="295">
      <formula>AI19=$Q$2</formula>
    </cfRule>
    <cfRule type="expression" dxfId="2664" priority="296">
      <formula>AI19=$N$2</formula>
    </cfRule>
    <cfRule type="expression" dxfId="2663" priority="297">
      <formula>AI19=$K$2</formula>
    </cfRule>
    <cfRule type="expression" dxfId="2662" priority="298">
      <formula>AI19=$H$2</formula>
    </cfRule>
    <cfRule type="expression" dxfId="2661" priority="299" stopIfTrue="1">
      <formula>AI$5="sam"</formula>
    </cfRule>
    <cfRule type="expression" dxfId="2660" priority="300" stopIfTrue="1">
      <formula>AI$5="dim"</formula>
    </cfRule>
  </conditionalFormatting>
  <conditionalFormatting sqref="AW19:AW24">
    <cfRule type="expression" dxfId="2659" priority="289">
      <formula>AW19=$B$2</formula>
    </cfRule>
  </conditionalFormatting>
  <conditionalFormatting sqref="AW19:AW24">
    <cfRule type="expression" dxfId="2658" priority="288">
      <formula>AW19=$E$2</formula>
    </cfRule>
  </conditionalFormatting>
  <conditionalFormatting sqref="AI31:AU36">
    <cfRule type="expression" dxfId="2657" priority="269">
      <formula>AI31=$B$2</formula>
    </cfRule>
  </conditionalFormatting>
  <conditionalFormatting sqref="AI31:AU36">
    <cfRule type="expression" dxfId="2656" priority="268">
      <formula>AI31=$E$2</formula>
    </cfRule>
  </conditionalFormatting>
  <conditionalFormatting sqref="AI31:AU36 AW31:AW36">
    <cfRule type="expression" dxfId="2655" priority="270">
      <formula>AI31=$Y$2</formula>
    </cfRule>
    <cfRule type="expression" dxfId="2654" priority="271">
      <formula>AI31=$Q$2</formula>
    </cfRule>
    <cfRule type="expression" dxfId="2653" priority="272">
      <formula>AI31=$N$2</formula>
    </cfRule>
    <cfRule type="expression" dxfId="2652" priority="273">
      <formula>AI31=$K$2</formula>
    </cfRule>
    <cfRule type="expression" dxfId="2651" priority="274">
      <formula>AI31=$H$2</formula>
    </cfRule>
    <cfRule type="expression" dxfId="2650" priority="275" stopIfTrue="1">
      <formula>AI$5="sam"</formula>
    </cfRule>
    <cfRule type="expression" dxfId="2649" priority="276" stopIfTrue="1">
      <formula>AI$5="dim"</formula>
    </cfRule>
  </conditionalFormatting>
  <conditionalFormatting sqref="AV31:AV36">
    <cfRule type="expression" dxfId="2648" priority="256">
      <formula>AV31=$B$2</formula>
    </cfRule>
  </conditionalFormatting>
  <conditionalFormatting sqref="AV31:AV36">
    <cfRule type="expression" dxfId="2647" priority="255">
      <formula>AV31=$E$2</formula>
    </cfRule>
  </conditionalFormatting>
  <conditionalFormatting sqref="AV31:AV36">
    <cfRule type="expression" dxfId="2646" priority="257">
      <formula>AV31=$Y$2</formula>
    </cfRule>
    <cfRule type="expression" dxfId="2645" priority="258">
      <formula>AV31=$Q$2</formula>
    </cfRule>
    <cfRule type="expression" dxfId="2644" priority="259">
      <formula>AV31=$N$2</formula>
    </cfRule>
    <cfRule type="expression" dxfId="2643" priority="260">
      <formula>AV31=$K$2</formula>
    </cfRule>
    <cfRule type="expression" dxfId="2642" priority="261">
      <formula>AV31=$H$2</formula>
    </cfRule>
    <cfRule type="expression" dxfId="2641" priority="262" stopIfTrue="1">
      <formula>AV$5="sam"</formula>
    </cfRule>
    <cfRule type="expression" dxfId="2640" priority="263" stopIfTrue="1">
      <formula>AV$5="dim"</formula>
    </cfRule>
  </conditionalFormatting>
  <conditionalFormatting sqref="AI43:AU48">
    <cfRule type="expression" dxfId="2639" priority="245">
      <formula>AI43=$B$2</formula>
    </cfRule>
  </conditionalFormatting>
  <conditionalFormatting sqref="AI43:AU48">
    <cfRule type="expression" dxfId="2638" priority="244">
      <formula>AI43=$E$2</formula>
    </cfRule>
  </conditionalFormatting>
  <conditionalFormatting sqref="AW43:AW48">
    <cfRule type="expression" dxfId="2637" priority="243">
      <formula>AW43=$B$2</formula>
    </cfRule>
  </conditionalFormatting>
  <conditionalFormatting sqref="AW43:AW48">
    <cfRule type="expression" dxfId="2636" priority="242">
      <formula>AW43=$E$2</formula>
    </cfRule>
  </conditionalFormatting>
  <conditionalFormatting sqref="AI43:AU48 AW43:AW48">
    <cfRule type="expression" dxfId="2635" priority="246">
      <formula>AI43=$Y$2</formula>
    </cfRule>
    <cfRule type="expression" dxfId="2634" priority="247">
      <formula>AI43=$Q$2</formula>
    </cfRule>
    <cfRule type="expression" dxfId="2633" priority="248">
      <formula>AI43=$N$2</formula>
    </cfRule>
    <cfRule type="expression" dxfId="2632" priority="249">
      <formula>AI43=$K$2</formula>
    </cfRule>
    <cfRule type="expression" dxfId="2631" priority="250">
      <formula>AI43=$H$2</formula>
    </cfRule>
    <cfRule type="expression" dxfId="2630" priority="251" stopIfTrue="1">
      <formula>AI$5="sam"</formula>
    </cfRule>
    <cfRule type="expression" dxfId="2629" priority="252" stopIfTrue="1">
      <formula>AI$5="dim"</formula>
    </cfRule>
  </conditionalFormatting>
  <conditionalFormatting sqref="AV43:AV48">
    <cfRule type="expression" dxfId="2628" priority="232">
      <formula>AV43=$B$2</formula>
    </cfRule>
  </conditionalFormatting>
  <conditionalFormatting sqref="AV43:AV48">
    <cfRule type="expression" dxfId="2627" priority="231">
      <formula>AV43=$E$2</formula>
    </cfRule>
  </conditionalFormatting>
  <conditionalFormatting sqref="AV43:AV48">
    <cfRule type="expression" dxfId="2626" priority="233">
      <formula>AV43=$Y$2</formula>
    </cfRule>
    <cfRule type="expression" dxfId="2625" priority="234">
      <formula>AV43=$Q$2</formula>
    </cfRule>
    <cfRule type="expression" dxfId="2624" priority="235">
      <formula>AV43=$N$2</formula>
    </cfRule>
    <cfRule type="expression" dxfId="2623" priority="236">
      <formula>AV43=$K$2</formula>
    </cfRule>
    <cfRule type="expression" dxfId="2622" priority="237">
      <formula>AV43=$H$2</formula>
    </cfRule>
    <cfRule type="expression" dxfId="2621" priority="238" stopIfTrue="1">
      <formula>AV$5="sam"</formula>
    </cfRule>
    <cfRule type="expression" dxfId="2620" priority="239" stopIfTrue="1">
      <formula>AV$5="dim"</formula>
    </cfRule>
  </conditionalFormatting>
  <conditionalFormatting sqref="AV43:AV48">
    <cfRule type="expression" dxfId="2619" priority="230">
      <formula>AV43=$B$2</formula>
    </cfRule>
  </conditionalFormatting>
  <conditionalFormatting sqref="AV43:AV48">
    <cfRule type="expression" dxfId="2618" priority="229">
      <formula>AV43=$E$2</formula>
    </cfRule>
  </conditionalFormatting>
  <conditionalFormatting sqref="AI55:AU60">
    <cfRule type="expression" dxfId="2617" priority="221">
      <formula>AI55=$B$2</formula>
    </cfRule>
  </conditionalFormatting>
  <conditionalFormatting sqref="AI55:AU60">
    <cfRule type="expression" dxfId="2616" priority="220">
      <formula>AI55=$E$2</formula>
    </cfRule>
  </conditionalFormatting>
  <conditionalFormatting sqref="AW55:AW60">
    <cfRule type="expression" dxfId="2615" priority="219">
      <formula>AW55=$B$2</formula>
    </cfRule>
  </conditionalFormatting>
  <conditionalFormatting sqref="AW55:AW60">
    <cfRule type="expression" dxfId="2614" priority="218">
      <formula>AW55=$E$2</formula>
    </cfRule>
  </conditionalFormatting>
  <conditionalFormatting sqref="AI55:AU60 AW55:AW60">
    <cfRule type="expression" dxfId="2613" priority="222">
      <formula>AI55=$Y$2</formula>
    </cfRule>
    <cfRule type="expression" dxfId="2612" priority="223">
      <formula>AI55=$Q$2</formula>
    </cfRule>
    <cfRule type="expression" dxfId="2611" priority="224">
      <formula>AI55=$N$2</formula>
    </cfRule>
    <cfRule type="expression" dxfId="2610" priority="225">
      <formula>AI55=$K$2</formula>
    </cfRule>
    <cfRule type="expression" dxfId="2609" priority="226">
      <formula>AI55=$H$2</formula>
    </cfRule>
    <cfRule type="expression" dxfId="2608" priority="227" stopIfTrue="1">
      <formula>AI$5="sam"</formula>
    </cfRule>
    <cfRule type="expression" dxfId="2607" priority="228" stopIfTrue="1">
      <formula>AI$5="dim"</formula>
    </cfRule>
  </conditionalFormatting>
  <conditionalFormatting sqref="AW55:AW60">
    <cfRule type="expression" dxfId="2606" priority="217">
      <formula>AW55=$B$2</formula>
    </cfRule>
  </conditionalFormatting>
  <conditionalFormatting sqref="AW55:AW60">
    <cfRule type="expression" dxfId="2605" priority="216">
      <formula>AW55=$E$2</formula>
    </cfRule>
  </conditionalFormatting>
  <conditionalFormatting sqref="AV55:AV60">
    <cfRule type="expression" dxfId="2604" priority="208">
      <formula>AV55=$B$2</formula>
    </cfRule>
  </conditionalFormatting>
  <conditionalFormatting sqref="AV55:AV60">
    <cfRule type="expression" dxfId="2603" priority="207">
      <formula>AV55=$E$2</formula>
    </cfRule>
  </conditionalFormatting>
  <conditionalFormatting sqref="AV55:AV60">
    <cfRule type="expression" dxfId="2602" priority="209">
      <formula>AV55=$Y$2</formula>
    </cfRule>
    <cfRule type="expression" dxfId="2601" priority="210">
      <formula>AV55=$Q$2</formula>
    </cfRule>
    <cfRule type="expression" dxfId="2600" priority="211">
      <formula>AV55=$N$2</formula>
    </cfRule>
    <cfRule type="expression" dxfId="2599" priority="212">
      <formula>AV55=$K$2</formula>
    </cfRule>
    <cfRule type="expression" dxfId="2598" priority="213">
      <formula>AV55=$H$2</formula>
    </cfRule>
    <cfRule type="expression" dxfId="2597" priority="214" stopIfTrue="1">
      <formula>AV$5="sam"</formula>
    </cfRule>
    <cfRule type="expression" dxfId="2596" priority="215" stopIfTrue="1">
      <formula>AV$5="dim"</formula>
    </cfRule>
  </conditionalFormatting>
  <conditionalFormatting sqref="AV55:AV60">
    <cfRule type="expression" dxfId="2595" priority="206">
      <formula>AV55=$B$2</formula>
    </cfRule>
  </conditionalFormatting>
  <conditionalFormatting sqref="AV55:AV60">
    <cfRule type="expression" dxfId="2594" priority="205">
      <formula>AV55=$E$2</formula>
    </cfRule>
  </conditionalFormatting>
  <conditionalFormatting sqref="AI67:AU72">
    <cfRule type="expression" dxfId="2593" priority="197">
      <formula>AI67=$B$2</formula>
    </cfRule>
  </conditionalFormatting>
  <conditionalFormatting sqref="AI67:AU72">
    <cfRule type="expression" dxfId="2592" priority="196">
      <formula>AI67=$E$2</formula>
    </cfRule>
  </conditionalFormatting>
  <conditionalFormatting sqref="AW67:AW72">
    <cfRule type="expression" dxfId="2591" priority="195">
      <formula>AW67=$B$2</formula>
    </cfRule>
  </conditionalFormatting>
  <conditionalFormatting sqref="AW67:AW72">
    <cfRule type="expression" dxfId="2590" priority="194">
      <formula>AW67=$E$2</formula>
    </cfRule>
  </conditionalFormatting>
  <conditionalFormatting sqref="AI67:AU72 AW67:AW72">
    <cfRule type="expression" dxfId="2589" priority="198">
      <formula>AI67=$Y$2</formula>
    </cfRule>
    <cfRule type="expression" dxfId="2588" priority="199">
      <formula>AI67=$Q$2</formula>
    </cfRule>
    <cfRule type="expression" dxfId="2587" priority="200">
      <formula>AI67=$N$2</formula>
    </cfRule>
    <cfRule type="expression" dxfId="2586" priority="201">
      <formula>AI67=$K$2</formula>
    </cfRule>
    <cfRule type="expression" dxfId="2585" priority="202">
      <formula>AI67=$H$2</formula>
    </cfRule>
    <cfRule type="expression" dxfId="2584" priority="203" stopIfTrue="1">
      <formula>AI$5="sam"</formula>
    </cfRule>
    <cfRule type="expression" dxfId="2583" priority="204" stopIfTrue="1">
      <formula>AI$5="dim"</formula>
    </cfRule>
  </conditionalFormatting>
  <conditionalFormatting sqref="AW67:AW72">
    <cfRule type="expression" dxfId="2582" priority="193">
      <formula>AW67=$B$2</formula>
    </cfRule>
  </conditionalFormatting>
  <conditionalFormatting sqref="AW67:AW72">
    <cfRule type="expression" dxfId="2581" priority="192">
      <formula>AW67=$E$2</formula>
    </cfRule>
  </conditionalFormatting>
  <conditionalFormatting sqref="AV67:AV72">
    <cfRule type="expression" dxfId="2580" priority="184">
      <formula>AV67=$B$2</formula>
    </cfRule>
  </conditionalFormatting>
  <conditionalFormatting sqref="AV67:AV72">
    <cfRule type="expression" dxfId="2579" priority="183">
      <formula>AV67=$E$2</formula>
    </cfRule>
  </conditionalFormatting>
  <conditionalFormatting sqref="AV67:AV72">
    <cfRule type="expression" dxfId="2578" priority="185">
      <formula>AV67=$Y$2</formula>
    </cfRule>
    <cfRule type="expression" dxfId="2577" priority="186">
      <formula>AV67=$Q$2</formula>
    </cfRule>
    <cfRule type="expression" dxfId="2576" priority="187">
      <formula>AV67=$N$2</formula>
    </cfRule>
    <cfRule type="expression" dxfId="2575" priority="188">
      <formula>AV67=$K$2</formula>
    </cfRule>
    <cfRule type="expression" dxfId="2574" priority="189">
      <formula>AV67=$H$2</formula>
    </cfRule>
    <cfRule type="expression" dxfId="2573" priority="190" stopIfTrue="1">
      <formula>AV$5="sam"</formula>
    </cfRule>
    <cfRule type="expression" dxfId="2572" priority="191" stopIfTrue="1">
      <formula>AV$5="dim"</formula>
    </cfRule>
  </conditionalFormatting>
  <conditionalFormatting sqref="AV67:AV72">
    <cfRule type="expression" dxfId="2571" priority="182">
      <formula>AV67=$B$2</formula>
    </cfRule>
  </conditionalFormatting>
  <conditionalFormatting sqref="AV67:AV72">
    <cfRule type="expression" dxfId="2570" priority="181">
      <formula>AV67=$E$2</formula>
    </cfRule>
  </conditionalFormatting>
  <conditionalFormatting sqref="AI79:AU84">
    <cfRule type="expression" dxfId="2569" priority="173">
      <formula>AI79=$B$2</formula>
    </cfRule>
  </conditionalFormatting>
  <conditionalFormatting sqref="AI79:AU84">
    <cfRule type="expression" dxfId="2568" priority="172">
      <formula>AI79=$E$2</formula>
    </cfRule>
  </conditionalFormatting>
  <conditionalFormatting sqref="AW79:AW84">
    <cfRule type="expression" dxfId="2567" priority="171">
      <formula>AW79=$B$2</formula>
    </cfRule>
  </conditionalFormatting>
  <conditionalFormatting sqref="AW79:AW84">
    <cfRule type="expression" dxfId="2566" priority="170">
      <formula>AW79=$E$2</formula>
    </cfRule>
  </conditionalFormatting>
  <conditionalFormatting sqref="AI79:AU84 AW79:AW84">
    <cfRule type="expression" dxfId="2565" priority="174">
      <formula>AI79=$Y$2</formula>
    </cfRule>
    <cfRule type="expression" dxfId="2564" priority="175">
      <formula>AI79=$Q$2</formula>
    </cfRule>
    <cfRule type="expression" dxfId="2563" priority="176">
      <formula>AI79=$N$2</formula>
    </cfRule>
    <cfRule type="expression" dxfId="2562" priority="177">
      <formula>AI79=$K$2</formula>
    </cfRule>
    <cfRule type="expression" dxfId="2561" priority="178">
      <formula>AI79=$H$2</formula>
    </cfRule>
    <cfRule type="expression" dxfId="2560" priority="179" stopIfTrue="1">
      <formula>AI$5="sam"</formula>
    </cfRule>
    <cfRule type="expression" dxfId="2559" priority="180" stopIfTrue="1">
      <formula>AI$5="dim"</formula>
    </cfRule>
  </conditionalFormatting>
  <conditionalFormatting sqref="AW79:AW84">
    <cfRule type="expression" dxfId="2558" priority="169">
      <formula>AW79=$B$2</formula>
    </cfRule>
  </conditionalFormatting>
  <conditionalFormatting sqref="AW79:AW84">
    <cfRule type="expression" dxfId="2557" priority="168">
      <formula>AW79=$E$2</formula>
    </cfRule>
  </conditionalFormatting>
  <conditionalFormatting sqref="AV79:AV84">
    <cfRule type="expression" dxfId="2556" priority="160">
      <formula>AV79=$B$2</formula>
    </cfRule>
  </conditionalFormatting>
  <conditionalFormatting sqref="AV79:AV84">
    <cfRule type="expression" dxfId="2555" priority="159">
      <formula>AV79=$E$2</formula>
    </cfRule>
  </conditionalFormatting>
  <conditionalFormatting sqref="AV79:AV84">
    <cfRule type="expression" dxfId="2554" priority="161">
      <formula>AV79=$Y$2</formula>
    </cfRule>
    <cfRule type="expression" dxfId="2553" priority="162">
      <formula>AV79=$Q$2</formula>
    </cfRule>
    <cfRule type="expression" dxfId="2552" priority="163">
      <formula>AV79=$N$2</formula>
    </cfRule>
    <cfRule type="expression" dxfId="2551" priority="164">
      <formula>AV79=$K$2</formula>
    </cfRule>
    <cfRule type="expression" dxfId="2550" priority="165">
      <formula>AV79=$H$2</formula>
    </cfRule>
    <cfRule type="expression" dxfId="2549" priority="166" stopIfTrue="1">
      <formula>AV$5="sam"</formula>
    </cfRule>
    <cfRule type="expression" dxfId="2548" priority="167" stopIfTrue="1">
      <formula>AV$5="dim"</formula>
    </cfRule>
  </conditionalFormatting>
  <conditionalFormatting sqref="AV79:AV84">
    <cfRule type="expression" dxfId="2547" priority="158">
      <formula>AV79=$B$2</formula>
    </cfRule>
  </conditionalFormatting>
  <conditionalFormatting sqref="AV79:AV84">
    <cfRule type="expression" dxfId="2546" priority="157">
      <formula>AV79=$E$2</formula>
    </cfRule>
  </conditionalFormatting>
  <conditionalFormatting sqref="AI91:AU96">
    <cfRule type="expression" dxfId="2545" priority="149">
      <formula>AI91=$B$2</formula>
    </cfRule>
  </conditionalFormatting>
  <conditionalFormatting sqref="AI91:AU96">
    <cfRule type="expression" dxfId="2544" priority="148">
      <formula>AI91=$E$2</formula>
    </cfRule>
  </conditionalFormatting>
  <conditionalFormatting sqref="AW91:AW96">
    <cfRule type="expression" dxfId="2543" priority="147">
      <formula>AW91=$B$2</formula>
    </cfRule>
  </conditionalFormatting>
  <conditionalFormatting sqref="AW91:AW96">
    <cfRule type="expression" dxfId="2542" priority="146">
      <formula>AW91=$E$2</formula>
    </cfRule>
  </conditionalFormatting>
  <conditionalFormatting sqref="AI91:AU96 AW91:AW96">
    <cfRule type="expression" dxfId="2541" priority="150">
      <formula>AI91=$Y$2</formula>
    </cfRule>
    <cfRule type="expression" dxfId="2540" priority="151">
      <formula>AI91=$Q$2</formula>
    </cfRule>
    <cfRule type="expression" dxfId="2539" priority="152">
      <formula>AI91=$N$2</formula>
    </cfRule>
    <cfRule type="expression" dxfId="2538" priority="153">
      <formula>AI91=$K$2</formula>
    </cfRule>
    <cfRule type="expression" dxfId="2537" priority="154">
      <formula>AI91=$H$2</formula>
    </cfRule>
    <cfRule type="expression" dxfId="2536" priority="155" stopIfTrue="1">
      <formula>AI$5="sam"</formula>
    </cfRule>
    <cfRule type="expression" dxfId="2535" priority="156" stopIfTrue="1">
      <formula>AI$5="dim"</formula>
    </cfRule>
  </conditionalFormatting>
  <conditionalFormatting sqref="AW91:AW96">
    <cfRule type="expression" dxfId="2534" priority="145">
      <formula>AW91=$B$2</formula>
    </cfRule>
  </conditionalFormatting>
  <conditionalFormatting sqref="AW91:AW96">
    <cfRule type="expression" dxfId="2533" priority="144">
      <formula>AW91=$E$2</formula>
    </cfRule>
  </conditionalFormatting>
  <conditionalFormatting sqref="AV91:AV96">
    <cfRule type="expression" dxfId="2532" priority="136">
      <formula>AV91=$B$2</formula>
    </cfRule>
  </conditionalFormatting>
  <conditionalFormatting sqref="AV91:AV96">
    <cfRule type="expression" dxfId="2531" priority="135">
      <formula>AV91=$E$2</formula>
    </cfRule>
  </conditionalFormatting>
  <conditionalFormatting sqref="AV91:AV96">
    <cfRule type="expression" dxfId="2530" priority="137">
      <formula>AV91=$Y$2</formula>
    </cfRule>
    <cfRule type="expression" dxfId="2529" priority="138">
      <formula>AV91=$Q$2</formula>
    </cfRule>
    <cfRule type="expression" dxfId="2528" priority="139">
      <formula>AV91=$N$2</formula>
    </cfRule>
    <cfRule type="expression" dxfId="2527" priority="140">
      <formula>AV91=$K$2</formula>
    </cfRule>
    <cfRule type="expression" dxfId="2526" priority="141">
      <formula>AV91=$H$2</formula>
    </cfRule>
    <cfRule type="expression" dxfId="2525" priority="142" stopIfTrue="1">
      <formula>AV$5="sam"</formula>
    </cfRule>
    <cfRule type="expression" dxfId="2524" priority="143" stopIfTrue="1">
      <formula>AV$5="dim"</formula>
    </cfRule>
  </conditionalFormatting>
  <conditionalFormatting sqref="AV91:AV96">
    <cfRule type="expression" dxfId="2523" priority="134">
      <formula>AV91=$B$2</formula>
    </cfRule>
  </conditionalFormatting>
  <conditionalFormatting sqref="AV91:AV96">
    <cfRule type="expression" dxfId="2522" priority="133">
      <formula>AV91=$E$2</formula>
    </cfRule>
  </conditionalFormatting>
  <conditionalFormatting sqref="AI103:AU108">
    <cfRule type="expression" dxfId="2521" priority="125">
      <formula>AI103=$B$2</formula>
    </cfRule>
  </conditionalFormatting>
  <conditionalFormatting sqref="AI103:AU108">
    <cfRule type="expression" dxfId="2520" priority="124">
      <formula>AI103=$E$2</formula>
    </cfRule>
  </conditionalFormatting>
  <conditionalFormatting sqref="AW103:AW108">
    <cfRule type="expression" dxfId="2519" priority="123">
      <formula>AW103=$B$2</formula>
    </cfRule>
  </conditionalFormatting>
  <conditionalFormatting sqref="AW103:AW108">
    <cfRule type="expression" dxfId="2518" priority="122">
      <formula>AW103=$E$2</formula>
    </cfRule>
  </conditionalFormatting>
  <conditionalFormatting sqref="AI103:AU108 AW103:AW108">
    <cfRule type="expression" dxfId="2517" priority="126">
      <formula>AI103=$Y$2</formula>
    </cfRule>
    <cfRule type="expression" dxfId="2516" priority="127">
      <formula>AI103=$Q$2</formula>
    </cfRule>
    <cfRule type="expression" dxfId="2515" priority="128">
      <formula>AI103=$N$2</formula>
    </cfRule>
    <cfRule type="expression" dxfId="2514" priority="129">
      <formula>AI103=$K$2</formula>
    </cfRule>
    <cfRule type="expression" dxfId="2513" priority="130">
      <formula>AI103=$H$2</formula>
    </cfRule>
    <cfRule type="expression" dxfId="2512" priority="131" stopIfTrue="1">
      <formula>AI$5="sam"</formula>
    </cfRule>
    <cfRule type="expression" dxfId="2511" priority="132" stopIfTrue="1">
      <formula>AI$5="dim"</formula>
    </cfRule>
  </conditionalFormatting>
  <conditionalFormatting sqref="AW103:AW108">
    <cfRule type="expression" dxfId="2510" priority="121">
      <formula>AW103=$B$2</formula>
    </cfRule>
  </conditionalFormatting>
  <conditionalFormatting sqref="AW103:AW108">
    <cfRule type="expression" dxfId="2509" priority="120">
      <formula>AW103=$E$2</formula>
    </cfRule>
  </conditionalFormatting>
  <conditionalFormatting sqref="AV103:AV108">
    <cfRule type="expression" dxfId="2508" priority="112">
      <formula>AV103=$B$2</formula>
    </cfRule>
  </conditionalFormatting>
  <conditionalFormatting sqref="AV103:AV108">
    <cfRule type="expression" dxfId="2507" priority="111">
      <formula>AV103=$E$2</formula>
    </cfRule>
  </conditionalFormatting>
  <conditionalFormatting sqref="AV103:AV108">
    <cfRule type="expression" dxfId="2506" priority="113">
      <formula>AV103=$Y$2</formula>
    </cfRule>
    <cfRule type="expression" dxfId="2505" priority="114">
      <formula>AV103=$Q$2</formula>
    </cfRule>
    <cfRule type="expression" dxfId="2504" priority="115">
      <formula>AV103=$N$2</formula>
    </cfRule>
    <cfRule type="expression" dxfId="2503" priority="116">
      <formula>AV103=$K$2</formula>
    </cfRule>
    <cfRule type="expression" dxfId="2502" priority="117">
      <formula>AV103=$H$2</formula>
    </cfRule>
    <cfRule type="expression" dxfId="2501" priority="118" stopIfTrue="1">
      <formula>AV$5="sam"</formula>
    </cfRule>
    <cfRule type="expression" dxfId="2500" priority="119" stopIfTrue="1">
      <formula>AV$5="dim"</formula>
    </cfRule>
  </conditionalFormatting>
  <conditionalFormatting sqref="AV103:AV108">
    <cfRule type="expression" dxfId="2499" priority="110">
      <formula>AV103=$B$2</formula>
    </cfRule>
  </conditionalFormatting>
  <conditionalFormatting sqref="AV103:AV108">
    <cfRule type="expression" dxfId="2498" priority="109">
      <formula>AV103=$E$2</formula>
    </cfRule>
  </conditionalFormatting>
  <conditionalFormatting sqref="AI115:AU120">
    <cfRule type="expression" dxfId="2497" priority="101">
      <formula>AI115=$B$2</formula>
    </cfRule>
  </conditionalFormatting>
  <conditionalFormatting sqref="AI115:AU120">
    <cfRule type="expression" dxfId="2496" priority="100">
      <formula>AI115=$E$2</formula>
    </cfRule>
  </conditionalFormatting>
  <conditionalFormatting sqref="AW115:AW120">
    <cfRule type="expression" dxfId="2495" priority="99">
      <formula>AW115=$B$2</formula>
    </cfRule>
  </conditionalFormatting>
  <conditionalFormatting sqref="AW115:AW120">
    <cfRule type="expression" dxfId="2494" priority="98">
      <formula>AW115=$E$2</formula>
    </cfRule>
  </conditionalFormatting>
  <conditionalFormatting sqref="AI115:AU120 AW115:AW120">
    <cfRule type="expression" dxfId="2493" priority="102">
      <formula>AI115=$Y$2</formula>
    </cfRule>
    <cfRule type="expression" dxfId="2492" priority="103">
      <formula>AI115=$Q$2</formula>
    </cfRule>
    <cfRule type="expression" dxfId="2491" priority="104">
      <formula>AI115=$N$2</formula>
    </cfRule>
    <cfRule type="expression" dxfId="2490" priority="105">
      <formula>AI115=$K$2</formula>
    </cfRule>
    <cfRule type="expression" dxfId="2489" priority="106">
      <formula>AI115=$H$2</formula>
    </cfRule>
    <cfRule type="expression" dxfId="2488" priority="107" stopIfTrue="1">
      <formula>AI$5="sam"</formula>
    </cfRule>
    <cfRule type="expression" dxfId="2487" priority="108" stopIfTrue="1">
      <formula>AI$5="dim"</formula>
    </cfRule>
  </conditionalFormatting>
  <conditionalFormatting sqref="AW115:AW120">
    <cfRule type="expression" dxfId="2486" priority="97">
      <formula>AW115=$B$2</formula>
    </cfRule>
  </conditionalFormatting>
  <conditionalFormatting sqref="AW115:AW120">
    <cfRule type="expression" dxfId="2485" priority="96">
      <formula>AW115=$E$2</formula>
    </cfRule>
  </conditionalFormatting>
  <conditionalFormatting sqref="AV115:AV120">
    <cfRule type="expression" dxfId="2484" priority="88">
      <formula>AV115=$B$2</formula>
    </cfRule>
  </conditionalFormatting>
  <conditionalFormatting sqref="AV115:AV120">
    <cfRule type="expression" dxfId="2483" priority="87">
      <formula>AV115=$E$2</formula>
    </cfRule>
  </conditionalFormatting>
  <conditionalFormatting sqref="AV115:AV120">
    <cfRule type="expression" dxfId="2482" priority="89">
      <formula>AV115=$Y$2</formula>
    </cfRule>
    <cfRule type="expression" dxfId="2481" priority="90">
      <formula>AV115=$Q$2</formula>
    </cfRule>
    <cfRule type="expression" dxfId="2480" priority="91">
      <formula>AV115=$N$2</formula>
    </cfRule>
    <cfRule type="expression" dxfId="2479" priority="92">
      <formula>AV115=$K$2</formula>
    </cfRule>
    <cfRule type="expression" dxfId="2478" priority="93">
      <formula>AV115=$H$2</formula>
    </cfRule>
    <cfRule type="expression" dxfId="2477" priority="94" stopIfTrue="1">
      <formula>AV$5="sam"</formula>
    </cfRule>
    <cfRule type="expression" dxfId="2476" priority="95" stopIfTrue="1">
      <formula>AV$5="dim"</formula>
    </cfRule>
  </conditionalFormatting>
  <conditionalFormatting sqref="AV115:AV120">
    <cfRule type="expression" dxfId="2475" priority="86">
      <formula>AV115=$B$2</formula>
    </cfRule>
  </conditionalFormatting>
  <conditionalFormatting sqref="AV115:AV120">
    <cfRule type="expression" dxfId="2474" priority="85">
      <formula>AV115=$E$2</formula>
    </cfRule>
  </conditionalFormatting>
  <conditionalFormatting sqref="AI127:AU132">
    <cfRule type="expression" dxfId="2473" priority="77">
      <formula>AI127=$B$2</formula>
    </cfRule>
  </conditionalFormatting>
  <conditionalFormatting sqref="AI127:AU132">
    <cfRule type="expression" dxfId="2472" priority="76">
      <formula>AI127=$E$2</formula>
    </cfRule>
  </conditionalFormatting>
  <conditionalFormatting sqref="AW127:AW132">
    <cfRule type="expression" dxfId="2471" priority="75">
      <formula>AW127=$B$2</formula>
    </cfRule>
  </conditionalFormatting>
  <conditionalFormatting sqref="AW127:AW132">
    <cfRule type="expression" dxfId="2470" priority="74">
      <formula>AW127=$E$2</formula>
    </cfRule>
  </conditionalFormatting>
  <conditionalFormatting sqref="AI127:AU132 AW127:AW132">
    <cfRule type="expression" dxfId="2469" priority="78">
      <formula>AI127=$Y$2</formula>
    </cfRule>
    <cfRule type="expression" dxfId="2468" priority="79">
      <formula>AI127=$Q$2</formula>
    </cfRule>
    <cfRule type="expression" dxfId="2467" priority="80">
      <formula>AI127=$N$2</formula>
    </cfRule>
    <cfRule type="expression" dxfId="2466" priority="81">
      <formula>AI127=$K$2</formula>
    </cfRule>
    <cfRule type="expression" dxfId="2465" priority="82">
      <formula>AI127=$H$2</formula>
    </cfRule>
    <cfRule type="expression" dxfId="2464" priority="83" stopIfTrue="1">
      <formula>AI$5="sam"</formula>
    </cfRule>
    <cfRule type="expression" dxfId="2463" priority="84" stopIfTrue="1">
      <formula>AI$5="dim"</formula>
    </cfRule>
  </conditionalFormatting>
  <conditionalFormatting sqref="AW127:AW132">
    <cfRule type="expression" dxfId="2462" priority="73">
      <formula>AW127=$B$2</formula>
    </cfRule>
  </conditionalFormatting>
  <conditionalFormatting sqref="AW127:AW132">
    <cfRule type="expression" dxfId="2461" priority="72">
      <formula>AW127=$E$2</formula>
    </cfRule>
  </conditionalFormatting>
  <conditionalFormatting sqref="AV127:AV132">
    <cfRule type="expression" dxfId="2460" priority="64">
      <formula>AV127=$B$2</formula>
    </cfRule>
  </conditionalFormatting>
  <conditionalFormatting sqref="AV127:AV132">
    <cfRule type="expression" dxfId="2459" priority="63">
      <formula>AV127=$E$2</formula>
    </cfRule>
  </conditionalFormatting>
  <conditionalFormatting sqref="AV127:AV132">
    <cfRule type="expression" dxfId="2458" priority="65">
      <formula>AV127=$Y$2</formula>
    </cfRule>
    <cfRule type="expression" dxfId="2457" priority="66">
      <formula>AV127=$Q$2</formula>
    </cfRule>
    <cfRule type="expression" dxfId="2456" priority="67">
      <formula>AV127=$N$2</formula>
    </cfRule>
    <cfRule type="expression" dxfId="2455" priority="68">
      <formula>AV127=$K$2</formula>
    </cfRule>
    <cfRule type="expression" dxfId="2454" priority="69">
      <formula>AV127=$H$2</formula>
    </cfRule>
    <cfRule type="expression" dxfId="2453" priority="70" stopIfTrue="1">
      <formula>AV$5="sam"</formula>
    </cfRule>
    <cfRule type="expression" dxfId="2452" priority="71" stopIfTrue="1">
      <formula>AV$5="dim"</formula>
    </cfRule>
  </conditionalFormatting>
  <conditionalFormatting sqref="AV127:AV132">
    <cfRule type="expression" dxfId="2451" priority="62">
      <formula>AV127=$B$2</formula>
    </cfRule>
  </conditionalFormatting>
  <conditionalFormatting sqref="AV127:AV132">
    <cfRule type="expression" dxfId="2450" priority="61">
      <formula>AV127=$E$2</formula>
    </cfRule>
  </conditionalFormatting>
  <conditionalFormatting sqref="AI139:AU144 AW139:AW144">
    <cfRule type="expression" dxfId="2449" priority="54">
      <formula>AI139=$Y$2</formula>
    </cfRule>
    <cfRule type="expression" dxfId="2448" priority="55">
      <formula>AI139=$Q$2</formula>
    </cfRule>
    <cfRule type="expression" dxfId="2447" priority="56">
      <formula>AI139=$N$2</formula>
    </cfRule>
    <cfRule type="expression" dxfId="2446" priority="57">
      <formula>AI139=$K$2</formula>
    </cfRule>
    <cfRule type="expression" dxfId="2445" priority="58">
      <formula>AI139=$H$2</formula>
    </cfRule>
    <cfRule type="expression" dxfId="2444" priority="59" stopIfTrue="1">
      <formula>AI$5="sam"</formula>
    </cfRule>
    <cfRule type="expression" dxfId="2443" priority="60" stopIfTrue="1">
      <formula>AI$5="dim"</formula>
    </cfRule>
  </conditionalFormatting>
  <conditionalFormatting sqref="B19:AF24">
    <cfRule type="expression" dxfId="17" priority="3656">
      <formula>B19=$Y$2</formula>
    </cfRule>
    <cfRule type="expression" dxfId="16" priority="3657">
      <formula>B19=$Q$2</formula>
    </cfRule>
    <cfRule type="expression" dxfId="15" priority="3658">
      <formula>B19=$N$2</formula>
    </cfRule>
    <cfRule type="expression" dxfId="14" priority="3659">
      <formula>B19=$K$2</formula>
    </cfRule>
    <cfRule type="expression" dxfId="13" priority="3660">
      <formula>B19=$H$2</formula>
    </cfRule>
    <cfRule type="expression" dxfId="12" priority="3661" stopIfTrue="1">
      <formula>B$17="sam"</formula>
    </cfRule>
    <cfRule type="expression" dxfId="11" priority="3662" stopIfTrue="1">
      <formula>B$17="dim"</formula>
    </cfRule>
  </conditionalFormatting>
  <conditionalFormatting sqref="B31:AF36">
    <cfRule type="expression" dxfId="2442" priority="3663">
      <formula>B31=$Y$2</formula>
    </cfRule>
    <cfRule type="expression" dxfId="2441" priority="3664">
      <formula>B31=$Q$2</formula>
    </cfRule>
    <cfRule type="expression" dxfId="2440" priority="3665">
      <formula>B31=$N$2</formula>
    </cfRule>
    <cfRule type="expression" dxfId="2439" priority="3666">
      <formula>B31=$K$2</formula>
    </cfRule>
    <cfRule type="expression" dxfId="2438" priority="3667">
      <formula>B31=$H$2</formula>
    </cfRule>
    <cfRule type="expression" dxfId="2437" priority="3668" stopIfTrue="1">
      <formula>B$29="sam"</formula>
    </cfRule>
    <cfRule type="expression" dxfId="2436" priority="3669" stopIfTrue="1">
      <formula>B$29="dim"</formula>
    </cfRule>
  </conditionalFormatting>
  <conditionalFormatting sqref="B43:AF48">
    <cfRule type="expression" dxfId="2435" priority="3670">
      <formula>B43=$Y$2</formula>
    </cfRule>
    <cfRule type="expression" dxfId="2434" priority="3671">
      <formula>B43=$Q$2</formula>
    </cfRule>
    <cfRule type="expression" dxfId="2433" priority="3672">
      <formula>B43=$N$2</formula>
    </cfRule>
    <cfRule type="expression" dxfId="2432" priority="3673">
      <formula>B43=$K$2</formula>
    </cfRule>
    <cfRule type="expression" dxfId="2431" priority="3674">
      <formula>B43=$H$2</formula>
    </cfRule>
    <cfRule type="expression" dxfId="2430" priority="3675" stopIfTrue="1">
      <formula>B$41="sam"</formula>
    </cfRule>
    <cfRule type="expression" dxfId="2429" priority="3676" stopIfTrue="1">
      <formula>B$41="dim"</formula>
    </cfRule>
  </conditionalFormatting>
  <conditionalFormatting sqref="B55:AF60">
    <cfRule type="expression" dxfId="2428" priority="3677">
      <formula>B55=$Y$2</formula>
    </cfRule>
    <cfRule type="expression" dxfId="2427" priority="3678">
      <formula>B55=$Q$2</formula>
    </cfRule>
    <cfRule type="expression" dxfId="2426" priority="3679">
      <formula>B55=$N$2</formula>
    </cfRule>
    <cfRule type="expression" dxfId="2425" priority="3680">
      <formula>B55=$K$2</formula>
    </cfRule>
    <cfRule type="expression" dxfId="2424" priority="3681">
      <formula>B55=$H$2</formula>
    </cfRule>
    <cfRule type="expression" dxfId="2423" priority="3682" stopIfTrue="1">
      <formula>B$53="sam"</formula>
    </cfRule>
    <cfRule type="expression" dxfId="2422" priority="3683" stopIfTrue="1">
      <formula>B$53="dim"</formula>
    </cfRule>
  </conditionalFormatting>
  <conditionalFormatting sqref="B67:AF72">
    <cfRule type="expression" dxfId="2421" priority="3684">
      <formula>B67=$Y$2</formula>
    </cfRule>
    <cfRule type="expression" dxfId="2420" priority="3685">
      <formula>B67=$Q$2</formula>
    </cfRule>
    <cfRule type="expression" dxfId="2419" priority="3686">
      <formula>B67=$N$2</formula>
    </cfRule>
    <cfRule type="expression" dxfId="2418" priority="3687">
      <formula>B67=$K$2</formula>
    </cfRule>
    <cfRule type="expression" dxfId="2417" priority="3688">
      <formula>B67=$H$2</formula>
    </cfRule>
    <cfRule type="expression" dxfId="2416" priority="3689" stopIfTrue="1">
      <formula>B$65="sam"</formula>
    </cfRule>
    <cfRule type="expression" dxfId="2415" priority="3690" stopIfTrue="1">
      <formula>B$65="dim"</formula>
    </cfRule>
  </conditionalFormatting>
  <conditionalFormatting sqref="B79:AF84">
    <cfRule type="expression" dxfId="2414" priority="3691">
      <formula>B79=$Y$2</formula>
    </cfRule>
    <cfRule type="expression" dxfId="2413" priority="3692">
      <formula>B79=$Q$2</formula>
    </cfRule>
    <cfRule type="expression" dxfId="2412" priority="3693">
      <formula>B79=$N$2</formula>
    </cfRule>
    <cfRule type="expression" dxfId="2411" priority="3694">
      <formula>B79=$K$2</formula>
    </cfRule>
    <cfRule type="expression" dxfId="2410" priority="3695">
      <formula>B79=$H$2</formula>
    </cfRule>
    <cfRule type="expression" dxfId="2409" priority="3696" stopIfTrue="1">
      <formula>B$77="sam"</formula>
    </cfRule>
    <cfRule type="expression" dxfId="2408" priority="3697" stopIfTrue="1">
      <formula>B$77="dim"</formula>
    </cfRule>
  </conditionalFormatting>
  <conditionalFormatting sqref="B91:AF96">
    <cfRule type="expression" dxfId="2407" priority="3698">
      <formula>B91=$Y$2</formula>
    </cfRule>
    <cfRule type="expression" dxfId="2406" priority="3699">
      <formula>B91=$Q$2</formula>
    </cfRule>
    <cfRule type="expression" dxfId="2405" priority="3700">
      <formula>B91=$N$2</formula>
    </cfRule>
    <cfRule type="expression" dxfId="2404" priority="3701">
      <formula>B91=$K$2</formula>
    </cfRule>
    <cfRule type="expression" dxfId="2403" priority="3702">
      <formula>B91=$H$2</formula>
    </cfRule>
    <cfRule type="expression" dxfId="2402" priority="3703" stopIfTrue="1">
      <formula>B$89="sam"</formula>
    </cfRule>
    <cfRule type="expression" dxfId="2401" priority="3704" stopIfTrue="1">
      <formula>B$89="dim"</formula>
    </cfRule>
  </conditionalFormatting>
  <conditionalFormatting sqref="B103:AF108">
    <cfRule type="expression" dxfId="2400" priority="3705">
      <formula>B103=$Y$2</formula>
    </cfRule>
    <cfRule type="expression" dxfId="2399" priority="3706">
      <formula>B103=$Q$2</formula>
    </cfRule>
    <cfRule type="expression" dxfId="2398" priority="3707">
      <formula>B103=$N$2</formula>
    </cfRule>
    <cfRule type="expression" dxfId="2397" priority="3708">
      <formula>B103=$K$2</formula>
    </cfRule>
    <cfRule type="expression" dxfId="2396" priority="3709">
      <formula>B103=$H$2</formula>
    </cfRule>
    <cfRule type="expression" dxfId="2395" priority="3710" stopIfTrue="1">
      <formula>B$101="sam"</formula>
    </cfRule>
    <cfRule type="expression" dxfId="2394" priority="3711" stopIfTrue="1">
      <formula>B$101="dim"</formula>
    </cfRule>
  </conditionalFormatting>
  <conditionalFormatting sqref="B115:AF120">
    <cfRule type="expression" dxfId="2393" priority="3712">
      <formula>B115=$Y$2</formula>
    </cfRule>
    <cfRule type="expression" dxfId="2392" priority="3713">
      <formula>B115=$Q$2</formula>
    </cfRule>
    <cfRule type="expression" dxfId="2391" priority="3714">
      <formula>B115=$N$2</formula>
    </cfRule>
    <cfRule type="expression" dxfId="2390" priority="3715">
      <formula>B115=$K$2</formula>
    </cfRule>
    <cfRule type="expression" dxfId="2389" priority="3716">
      <formula>B115=$H$2</formula>
    </cfRule>
    <cfRule type="expression" dxfId="2388" priority="3717" stopIfTrue="1">
      <formula>B$113="sam"</formula>
    </cfRule>
    <cfRule type="expression" dxfId="2387" priority="3718" stopIfTrue="1">
      <formula>B$113="dim"</formula>
    </cfRule>
  </conditionalFormatting>
  <conditionalFormatting sqref="B127:AF132">
    <cfRule type="expression" dxfId="2386" priority="3719">
      <formula>B127=$Y$2</formula>
    </cfRule>
    <cfRule type="expression" dxfId="2385" priority="3720">
      <formula>B127=$Q$2</formula>
    </cfRule>
    <cfRule type="expression" dxfId="2384" priority="3721">
      <formula>B127=$N$2</formula>
    </cfRule>
    <cfRule type="expression" dxfId="2383" priority="3722">
      <formula>B127=$K$2</formula>
    </cfRule>
    <cfRule type="expression" dxfId="2382" priority="3723">
      <formula>B127=$H$2</formula>
    </cfRule>
    <cfRule type="expression" dxfId="2381" priority="3724" stopIfTrue="1">
      <formula>B$125="sam"</formula>
    </cfRule>
    <cfRule type="expression" dxfId="2380" priority="3725" stopIfTrue="1">
      <formula>B$125="dim"</formula>
    </cfRule>
  </conditionalFormatting>
  <conditionalFormatting sqref="B139:AF144">
    <cfRule type="expression" dxfId="2379" priority="3726">
      <formula>B139=$Y$2</formula>
    </cfRule>
    <cfRule type="expression" dxfId="2378" priority="3727">
      <formula>B139=$Q$2</formula>
    </cfRule>
    <cfRule type="expression" dxfId="2377" priority="3728">
      <formula>B139=$N$2</formula>
    </cfRule>
    <cfRule type="expression" dxfId="2376" priority="3729">
      <formula>B139=$K$2</formula>
    </cfRule>
    <cfRule type="expression" dxfId="2375" priority="3730">
      <formula>B139=$H$2</formula>
    </cfRule>
    <cfRule type="expression" dxfId="2374" priority="3731" stopIfTrue="1">
      <formula>B$137="sam"</formula>
    </cfRule>
    <cfRule type="expression" dxfId="2373" priority="3732" stopIfTrue="1">
      <formula>B$137="dim"</formula>
    </cfRule>
  </conditionalFormatting>
  <conditionalFormatting sqref="Z22:AC22">
    <cfRule type="expression" dxfId="2372" priority="29">
      <formula>Z22=$B$2</formula>
    </cfRule>
  </conditionalFormatting>
  <conditionalFormatting sqref="Z22:AC22">
    <cfRule type="expression" dxfId="2371" priority="28">
      <formula>Z22=$E$2</formula>
    </cfRule>
  </conditionalFormatting>
  <conditionalFormatting sqref="Z22:AC22">
    <cfRule type="expression" dxfId="2370" priority="30">
      <formula>Z22=$Y$2</formula>
    </cfRule>
    <cfRule type="expression" dxfId="2369" priority="31">
      <formula>Z22=$Q$2</formula>
    </cfRule>
    <cfRule type="expression" dxfId="2368" priority="32">
      <formula>Z22=$N$2</formula>
    </cfRule>
    <cfRule type="expression" dxfId="2367" priority="33">
      <formula>Z22=$K$2</formula>
    </cfRule>
    <cfRule type="expression" dxfId="2366" priority="34">
      <formula>Z22=$H$2</formula>
    </cfRule>
    <cfRule type="expression" dxfId="2365" priority="35" stopIfTrue="1">
      <formula>Z$5="sam"</formula>
    </cfRule>
    <cfRule type="expression" dxfId="2364" priority="36" stopIfTrue="1">
      <formula>Z$5="dim"</formula>
    </cfRule>
  </conditionalFormatting>
  <conditionalFormatting sqref="B34:F34">
    <cfRule type="expression" dxfId="2363" priority="20">
      <formula>B34=$B$2</formula>
    </cfRule>
  </conditionalFormatting>
  <conditionalFormatting sqref="B34:F34">
    <cfRule type="expression" dxfId="2362" priority="19">
      <formula>B34=$E$2</formula>
    </cfRule>
  </conditionalFormatting>
  <conditionalFormatting sqref="B34:F34">
    <cfRule type="expression" dxfId="2361" priority="21">
      <formula>B34=$Y$2</formula>
    </cfRule>
    <cfRule type="expression" dxfId="2360" priority="22">
      <formula>B34=$Q$2</formula>
    </cfRule>
    <cfRule type="expression" dxfId="2359" priority="23">
      <formula>B34=$N$2</formula>
    </cfRule>
    <cfRule type="expression" dxfId="2358" priority="24">
      <formula>B34=$K$2</formula>
    </cfRule>
    <cfRule type="expression" dxfId="2357" priority="25">
      <formula>B34=$H$2</formula>
    </cfRule>
    <cfRule type="expression" dxfId="2356" priority="26" stopIfTrue="1">
      <formula>B$5="sam"</formula>
    </cfRule>
    <cfRule type="expression" dxfId="2355" priority="27" stopIfTrue="1">
      <formula>B$5="dim"</formula>
    </cfRule>
  </conditionalFormatting>
  <conditionalFormatting sqref="B34:F34">
    <cfRule type="expression" dxfId="2354" priority="11">
      <formula>B34=$B$2</formula>
    </cfRule>
  </conditionalFormatting>
  <conditionalFormatting sqref="B34:F34">
    <cfRule type="expression" dxfId="2353" priority="10">
      <formula>B34=$E$2</formula>
    </cfRule>
  </conditionalFormatting>
  <conditionalFormatting sqref="B34:F34">
    <cfRule type="expression" dxfId="2352" priority="12">
      <formula>B34=$Y$2</formula>
    </cfRule>
    <cfRule type="expression" dxfId="2351" priority="13">
      <formula>B34=$Q$2</formula>
    </cfRule>
    <cfRule type="expression" dxfId="2350" priority="14">
      <formula>B34=$N$2</formula>
    </cfRule>
    <cfRule type="expression" dxfId="2349" priority="15">
      <formula>B34=$K$2</formula>
    </cfRule>
    <cfRule type="expression" dxfId="2348" priority="16">
      <formula>B34=$H$2</formula>
    </cfRule>
    <cfRule type="expression" dxfId="2347" priority="17" stopIfTrue="1">
      <formula>B$17="sam"</formula>
    </cfRule>
    <cfRule type="expression" dxfId="2346" priority="18" stopIfTrue="1">
      <formula>B$17="dim"</formula>
    </cfRule>
  </conditionalFormatting>
  <conditionalFormatting sqref="B34:F34">
    <cfRule type="expression" dxfId="2345" priority="2">
      <formula>B34=$B$2</formula>
    </cfRule>
  </conditionalFormatting>
  <conditionalFormatting sqref="B34:F34">
    <cfRule type="expression" dxfId="2344" priority="1">
      <formula>B34=$E$2</formula>
    </cfRule>
  </conditionalFormatting>
  <conditionalFormatting sqref="B34:F34">
    <cfRule type="expression" dxfId="2343" priority="3">
      <formula>B34=$Y$2</formula>
    </cfRule>
    <cfRule type="expression" dxfId="2342" priority="4">
      <formula>B34=$Q$2</formula>
    </cfRule>
    <cfRule type="expression" dxfId="2341" priority="5">
      <formula>B34=$N$2</formula>
    </cfRule>
    <cfRule type="expression" dxfId="2340" priority="6">
      <formula>B34=$K$2</formula>
    </cfRule>
    <cfRule type="expression" dxfId="2339" priority="7">
      <formula>B34=$H$2</formula>
    </cfRule>
    <cfRule type="expression" dxfId="2338" priority="8" stopIfTrue="1">
      <formula>B$17="sam"</formula>
    </cfRule>
    <cfRule type="expression" dxfId="2337" priority="9" stopIfTrue="1">
      <formula>B$17="dim"</formula>
    </cfRule>
  </conditionalFormatting>
  <dataValidations xWindow="1703" yWindow="326" count="4">
    <dataValidation allowBlank="1" showErrorMessage="1" prompt="Les jours du mois dans cette ligne sont générés automatiquement. Entrez l’absence et le motif d’absence d’un employé dans chaque colonne pour chaque jour du mois. Un champ vide indique qu’il n’y a pas eu d’absence" sqref="B6 B18 B30"/>
    <dataValidation allowBlank="1" showErrorMessage="1" sqref="A16 B78:AF78 AI114:AL114 A14:C14 E26 E38 E50 B66:AF66 E74 E86 E98 E110 B42:AF42 B54:AF54 B90:AF90 B102:AF102 B114:AF114 B126:AF126 E62 AS138:AU138 H2:I2 A2:C2 E2 E14 N14:S14 X14:AF14 N26:S26 X26:AF26 H26:I26 N38:S38 X38:AF38 H38:I38 N50:S50 X50:AF50 H50:I50 N62:S62 X62:AF62 H62:I62 N74:S74 X74:AF74 H74:I74 N86:S86 X86:AF86 H86:I86 N98:S98 X98:AF98 H98:I98 N110:S110 X110:AF110 H110:I110 E122 N122:S122 X122:AF122 H122:I122 AI6:AL6 X134:AF134 H134:I134 AI126:AL126 Y2:AF2 AI18:AL18 AO18:AP18 AI30:AL30 AO30:AP30 AI42:AL42 AO42:AP42 AI54:AL54 AO54:AP54 AI66:AL66 AO66:AP66 AI78:AL78 AO78:AP78 AI90:AL90 AO90:AP90 AI102:AL102 AO102:AP102 AO114:AP114 N2:S2 AO126:AP126 AO6:AP6 AS6:AU6 H14:I14 A26:C26 A38:C38 A50:C50 A62:C62 A74:C74 A86:C86 A98:C98 A110:C110 A122:C122 A134:C134 E134 N134:S134 AH113 AS18:AU18 AS30:AU30 AS42:AU42 AS54:AU54 AS66:AU66 AS78:AU78 AS90:AU90 AS102:AU102 AS114:AU114 AS126:AU126 AI138:AL138 AO138:AP138 A40:A42 B40:AF40 A52:A54 B52:AF52 A64:A66 B64:AF64 A76:A78 B76:AF76 A88:A90 B88:AF88 A100:A102 B100:AF100 A112:A114 B112:AF112 A124:A126 B124:AF124 A136:A138 B136:AF136 B138:AF138"/>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18 A30"/>
    <dataValidation allowBlank="1" showErrorMessage="1" prompt="Mois de ce calendrier des absences. Mettez à jour l’année dans la cellule AH4. Suivez les totaux mensuels dans la dernière cellule du tableau. Entrez les noms des employés dans la colonne B du tableau" sqref="A28"/>
  </dataValidations>
  <hyperlinks>
    <hyperlink ref="A3" location="Demandes!A1" display="Retour vers demandes"/>
    <hyperlink ref="A15" location="Demandes!A1" display="Retour vers demandes"/>
    <hyperlink ref="A27" location="Demandes!A1" display="Retour vers demandes"/>
    <hyperlink ref="A39" location="Demandes!A1" display="Retour vers demandes"/>
    <hyperlink ref="A51" location="Demandes!A1" display="Retour vers demandes"/>
    <hyperlink ref="A63" location="Demandes!A1" display="Retour vers demandes"/>
    <hyperlink ref="A75" location="Demandes!A1" display="Retour vers demandes"/>
    <hyperlink ref="A87" location="Demandes!A1" display="Retour vers demandes"/>
    <hyperlink ref="A99" location="Demandes!A1" display="Retour vers demandes"/>
    <hyperlink ref="A111" location="Demandes!A1" display="Retour vers demandes"/>
    <hyperlink ref="A123" location="Demandes!A1" display="Retour vers demandes"/>
    <hyperlink ref="A135" location="Demandes!A1" display="Retour vers demandes"/>
  </hyperlinks>
  <pageMargins left="0.7" right="0.7" top="0.75" bottom="0.75" header="0.3" footer="0.3"/>
  <pageSetup paperSize="9" orientation="portrait" r:id="rId1"/>
  <tableParts count="2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s>
  <extLst>
    <ext xmlns:x14="http://schemas.microsoft.com/office/spreadsheetml/2009/9/main" uri="{CCE6A557-97BC-4b89-ADB6-D9C93CAAB3DF}">
      <x14:dataValidations xmlns:xm="http://schemas.microsoft.com/office/excel/2006/main" xWindow="1703" yWindow="326" count="1">
        <x14:dataValidation type="list" allowBlank="1" showInputMessage="1" showErrorMessage="1">
          <x14:formula1>
            <xm:f>Personnel!$A$2:$A$7</xm:f>
          </x14:formula1>
          <xm:sqref>A55:A60 A67:A72 A79:A84 A91:A96 A103:A108 A115:A120 A127:A132 A139:A144 A43:A48 A31:A36 A19:A24 A7:A12 AH7:AH12 AH19:AH24 AH31:AH36 AH43:AH48 AH55:AH60 AH67:AH72 AH79:AH84 AH91:AH96 AH103:AH108 AH115:AH120 AH127:AH132 AH139:AH144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W145"/>
  <sheetViews>
    <sheetView showGridLines="0" workbookViewId="0">
      <pane xSplit="1" topLeftCell="I1" activePane="topRight" state="frozen"/>
      <selection activeCell="F35" sqref="F35"/>
      <selection pane="topRight" sqref="A1:AW1"/>
    </sheetView>
  </sheetViews>
  <sheetFormatPr baseColWidth="10" defaultRowHeight="16.5" x14ac:dyDescent="0.3"/>
  <cols>
    <col min="1" max="1" width="24.7109375" style="1" customWidth="1"/>
    <col min="2" max="32" width="4.7109375" style="1" customWidth="1"/>
    <col min="33" max="33" width="1.140625" style="1" customWidth="1"/>
    <col min="34" max="34" width="24.7109375" style="1" customWidth="1"/>
    <col min="35" max="35" width="2.5703125" style="1" hidden="1" customWidth="1"/>
    <col min="36" max="36" width="5.140625" style="1" hidden="1" customWidth="1"/>
    <col min="37" max="37" width="5.85546875" style="1" customWidth="1"/>
    <col min="38" max="38" width="2.140625" style="1" hidden="1" customWidth="1"/>
    <col min="39" max="39" width="4.7109375" style="1" hidden="1" customWidth="1"/>
    <col min="40" max="40" width="5.7109375" style="1" customWidth="1"/>
    <col min="41" max="41" width="4.7109375" style="1" customWidth="1"/>
    <col min="42" max="42" width="2.7109375" style="1" hidden="1" customWidth="1"/>
    <col min="43" max="43" width="4.42578125" style="1" hidden="1" customWidth="1"/>
    <col min="44" max="44" width="5.85546875" style="1" customWidth="1"/>
    <col min="45" max="45" width="2.28515625" style="1" hidden="1" customWidth="1"/>
    <col min="46" max="46" width="4.85546875" style="1" hidden="1" customWidth="1"/>
    <col min="47" max="47" width="8" style="1" customWidth="1"/>
    <col min="48" max="16384" width="11.42578125" style="1"/>
  </cols>
  <sheetData>
    <row r="1" spans="1:49" ht="32.25" x14ac:dyDescent="0.3">
      <c r="A1" s="141" t="s">
        <v>26</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41"/>
      <c r="AL1" s="141"/>
      <c r="AM1" s="141"/>
      <c r="AN1" s="141"/>
      <c r="AO1" s="141"/>
      <c r="AP1" s="141"/>
      <c r="AQ1" s="141"/>
      <c r="AR1" s="141"/>
      <c r="AS1" s="141"/>
      <c r="AT1" s="141"/>
      <c r="AU1" s="141"/>
      <c r="AV1" s="141"/>
      <c r="AW1" s="141"/>
    </row>
    <row r="2" spans="1:49" s="18" customFormat="1" ht="14.25" hidden="1" thickBot="1" x14ac:dyDescent="0.3">
      <c r="A2" s="19" t="s">
        <v>79</v>
      </c>
      <c r="B2" s="20" t="s">
        <v>27</v>
      </c>
      <c r="C2" s="21" t="s">
        <v>76</v>
      </c>
      <c r="E2" s="22" t="s">
        <v>80</v>
      </c>
      <c r="F2" s="23" t="s">
        <v>77</v>
      </c>
      <c r="G2" s="23"/>
      <c r="H2" s="24" t="s">
        <v>70</v>
      </c>
      <c r="I2" s="25" t="s">
        <v>3</v>
      </c>
      <c r="J2" s="23"/>
      <c r="K2" s="26" t="s">
        <v>81</v>
      </c>
      <c r="L2" s="27" t="s">
        <v>78</v>
      </c>
      <c r="M2" s="23"/>
      <c r="N2" s="28" t="s">
        <v>25</v>
      </c>
      <c r="O2" s="25" t="s">
        <v>28</v>
      </c>
      <c r="P2" s="25"/>
      <c r="Q2" s="29" t="s">
        <v>67</v>
      </c>
      <c r="R2" s="30" t="s">
        <v>66</v>
      </c>
      <c r="S2" s="30"/>
      <c r="U2" s="31" t="s">
        <v>84</v>
      </c>
      <c r="V2" s="23" t="s">
        <v>85</v>
      </c>
      <c r="W2" s="23"/>
      <c r="X2" s="23"/>
      <c r="Y2" s="32" t="s">
        <v>68</v>
      </c>
      <c r="Z2" s="33" t="s">
        <v>69</v>
      </c>
      <c r="AA2" s="33"/>
      <c r="AB2" s="34" t="s">
        <v>83</v>
      </c>
      <c r="AC2" s="33" t="s">
        <v>86</v>
      </c>
      <c r="AD2" s="33"/>
      <c r="AE2" s="33"/>
      <c r="AF2" s="33"/>
      <c r="AH2" s="19" t="s">
        <v>79</v>
      </c>
    </row>
    <row r="3" spans="1:49" hidden="1" x14ac:dyDescent="0.3">
      <c r="A3" s="11"/>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H3" s="11"/>
    </row>
    <row r="4" spans="1:49" ht="30" hidden="1" thickBot="1" x14ac:dyDescent="0.35">
      <c r="A4" s="17" t="s">
        <v>9</v>
      </c>
      <c r="B4" s="140" t="s">
        <v>29</v>
      </c>
      <c r="C4" s="140"/>
      <c r="D4" s="140"/>
      <c r="E4" s="140"/>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7"/>
      <c r="AH4" s="17" t="s">
        <v>9</v>
      </c>
      <c r="AI4" s="17"/>
      <c r="AJ4" s="17"/>
      <c r="AK4" s="17"/>
      <c r="AL4" s="17"/>
      <c r="AM4" s="17"/>
      <c r="AN4" s="17"/>
      <c r="AO4" s="17"/>
      <c r="AP4" s="17"/>
      <c r="AQ4" s="17"/>
      <c r="AR4" s="17"/>
      <c r="AS4" s="17"/>
      <c r="AT4" s="17"/>
      <c r="AU4" s="17"/>
      <c r="AV4" s="17"/>
      <c r="AW4" s="17"/>
    </row>
    <row r="5" spans="1:49" ht="17.25" hidden="1" thickTop="1" x14ac:dyDescent="0.3">
      <c r="A5" s="35">
        <v>1</v>
      </c>
      <c r="B5" s="36" t="str">
        <f t="shared" ref="B5:AF5" si="0">TEXT(WEEKDAY(DATE(AnnéeCalendrier,$A$5,B$6),16),"jjj")</f>
        <v>lun</v>
      </c>
      <c r="C5" s="36" t="str">
        <f t="shared" si="0"/>
        <v>mar</v>
      </c>
      <c r="D5" s="36" t="str">
        <f t="shared" si="0"/>
        <v>mer</v>
      </c>
      <c r="E5" s="36" t="str">
        <f t="shared" si="0"/>
        <v>jeu</v>
      </c>
      <c r="F5" s="36" t="str">
        <f t="shared" si="0"/>
        <v>ven</v>
      </c>
      <c r="G5" s="36" t="str">
        <f t="shared" si="0"/>
        <v>sam</v>
      </c>
      <c r="H5" s="36" t="str">
        <f t="shared" si="0"/>
        <v>dim</v>
      </c>
      <c r="I5" s="36" t="str">
        <f t="shared" si="0"/>
        <v>lun</v>
      </c>
      <c r="J5" s="36" t="str">
        <f t="shared" si="0"/>
        <v>mar</v>
      </c>
      <c r="K5" s="36" t="str">
        <f t="shared" si="0"/>
        <v>mer</v>
      </c>
      <c r="L5" s="36" t="str">
        <f t="shared" si="0"/>
        <v>jeu</v>
      </c>
      <c r="M5" s="36" t="str">
        <f t="shared" si="0"/>
        <v>ven</v>
      </c>
      <c r="N5" s="36" t="str">
        <f t="shared" si="0"/>
        <v>sam</v>
      </c>
      <c r="O5" s="36" t="str">
        <f t="shared" si="0"/>
        <v>dim</v>
      </c>
      <c r="P5" s="36" t="str">
        <f t="shared" si="0"/>
        <v>lun</v>
      </c>
      <c r="Q5" s="36" t="str">
        <f t="shared" si="0"/>
        <v>mar</v>
      </c>
      <c r="R5" s="36" t="str">
        <f t="shared" si="0"/>
        <v>mer</v>
      </c>
      <c r="S5" s="36" t="str">
        <f t="shared" si="0"/>
        <v>jeu</v>
      </c>
      <c r="T5" s="36" t="str">
        <f t="shared" si="0"/>
        <v>ven</v>
      </c>
      <c r="U5" s="36" t="str">
        <f t="shared" si="0"/>
        <v>sam</v>
      </c>
      <c r="V5" s="36" t="str">
        <f t="shared" si="0"/>
        <v>dim</v>
      </c>
      <c r="W5" s="36" t="str">
        <f t="shared" si="0"/>
        <v>lun</v>
      </c>
      <c r="X5" s="36" t="str">
        <f t="shared" si="0"/>
        <v>mar</v>
      </c>
      <c r="Y5" s="36" t="str">
        <f t="shared" si="0"/>
        <v>mer</v>
      </c>
      <c r="Z5" s="36" t="str">
        <f t="shared" si="0"/>
        <v>jeu</v>
      </c>
      <c r="AA5" s="36" t="str">
        <f t="shared" si="0"/>
        <v>ven</v>
      </c>
      <c r="AB5" s="36" t="str">
        <f t="shared" si="0"/>
        <v>sam</v>
      </c>
      <c r="AC5" s="36" t="str">
        <f t="shared" si="0"/>
        <v>dim</v>
      </c>
      <c r="AD5" s="36" t="str">
        <f t="shared" si="0"/>
        <v>lun</v>
      </c>
      <c r="AE5" s="36" t="str">
        <f t="shared" si="0"/>
        <v>mar</v>
      </c>
      <c r="AF5" s="36" t="str">
        <f t="shared" si="0"/>
        <v>mer</v>
      </c>
      <c r="AG5" s="18"/>
      <c r="AH5" s="35">
        <v>1</v>
      </c>
      <c r="AI5" s="18"/>
      <c r="AJ5" s="18"/>
      <c r="AK5" s="18"/>
      <c r="AL5" s="18"/>
      <c r="AM5" s="18"/>
      <c r="AN5" s="18"/>
      <c r="AO5" s="18"/>
      <c r="AP5" s="18"/>
      <c r="AQ5" s="18"/>
      <c r="AR5" s="18"/>
      <c r="AS5" s="18"/>
      <c r="AT5" s="18"/>
      <c r="AU5" s="18"/>
      <c r="AV5" s="18"/>
      <c r="AW5" s="18"/>
    </row>
    <row r="6" spans="1:49" hidden="1" x14ac:dyDescent="0.3">
      <c r="A6" s="37" t="s">
        <v>24</v>
      </c>
      <c r="B6" s="38" t="s">
        <v>30</v>
      </c>
      <c r="C6" s="39" t="s">
        <v>31</v>
      </c>
      <c r="D6" s="39" t="s">
        <v>32</v>
      </c>
      <c r="E6" s="39" t="s">
        <v>33</v>
      </c>
      <c r="F6" s="39" t="s">
        <v>34</v>
      </c>
      <c r="G6" s="39" t="s">
        <v>35</v>
      </c>
      <c r="H6" s="38" t="s">
        <v>36</v>
      </c>
      <c r="I6" s="38" t="s">
        <v>37</v>
      </c>
      <c r="J6" s="38" t="s">
        <v>38</v>
      </c>
      <c r="K6" s="38" t="s">
        <v>39</v>
      </c>
      <c r="L6" s="38" t="s">
        <v>40</v>
      </c>
      <c r="M6" s="38" t="s">
        <v>41</v>
      </c>
      <c r="N6" s="38" t="s">
        <v>42</v>
      </c>
      <c r="O6" s="38" t="s">
        <v>43</v>
      </c>
      <c r="P6" s="38" t="s">
        <v>44</v>
      </c>
      <c r="Q6" s="38" t="s">
        <v>45</v>
      </c>
      <c r="R6" s="38" t="s">
        <v>46</v>
      </c>
      <c r="S6" s="38" t="s">
        <v>47</v>
      </c>
      <c r="T6" s="38" t="s">
        <v>48</v>
      </c>
      <c r="U6" s="38" t="s">
        <v>49</v>
      </c>
      <c r="V6" s="38" t="s">
        <v>50</v>
      </c>
      <c r="W6" s="38" t="s">
        <v>51</v>
      </c>
      <c r="X6" s="38" t="s">
        <v>52</v>
      </c>
      <c r="Y6" s="38" t="s">
        <v>53</v>
      </c>
      <c r="Z6" s="38" t="s">
        <v>54</v>
      </c>
      <c r="AA6" s="38" t="s">
        <v>55</v>
      </c>
      <c r="AB6" s="38" t="s">
        <v>56</v>
      </c>
      <c r="AC6" s="38" t="s">
        <v>57</v>
      </c>
      <c r="AD6" s="38" t="s">
        <v>58</v>
      </c>
      <c r="AE6" s="38" t="s">
        <v>59</v>
      </c>
      <c r="AF6" s="38" t="s">
        <v>60</v>
      </c>
      <c r="AG6" s="18"/>
      <c r="AH6" s="37" t="s">
        <v>24</v>
      </c>
      <c r="AI6" s="40" t="s">
        <v>27</v>
      </c>
      <c r="AJ6" s="41" t="s">
        <v>80</v>
      </c>
      <c r="AK6" s="41"/>
      <c r="AL6" s="42" t="s">
        <v>70</v>
      </c>
      <c r="AM6" s="43" t="s">
        <v>81</v>
      </c>
      <c r="AN6" s="43"/>
      <c r="AO6" s="44" t="s">
        <v>25</v>
      </c>
      <c r="AP6" s="45" t="s">
        <v>67</v>
      </c>
      <c r="AQ6" s="31" t="s">
        <v>84</v>
      </c>
      <c r="AR6" s="31"/>
      <c r="AS6" s="46" t="s">
        <v>68</v>
      </c>
      <c r="AT6" s="34" t="s">
        <v>83</v>
      </c>
      <c r="AU6" s="34"/>
      <c r="AV6" s="47" t="s">
        <v>1</v>
      </c>
      <c r="AW6" s="47" t="s">
        <v>87</v>
      </c>
    </row>
    <row r="7" spans="1:49" hidden="1" x14ac:dyDescent="0.3">
      <c r="A7" s="48" t="s">
        <v>61</v>
      </c>
      <c r="B7" s="49"/>
      <c r="C7" s="50"/>
      <c r="D7" s="50"/>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18"/>
      <c r="AH7" s="48" t="s">
        <v>61</v>
      </c>
      <c r="AI7" s="51">
        <f>COUNTIF(Janvier15[[#This Row],[1]:[31]],AI$6)</f>
        <v>0</v>
      </c>
      <c r="AJ7" s="51">
        <f>COUNTIF(Janvier15[[#This Row],[1]:[31]],AJ$6)/2</f>
        <v>0</v>
      </c>
      <c r="AK7" s="51"/>
      <c r="AL7" s="51">
        <f>COUNTIF(Janvier15[[#This Row],[1]:[31]],AL$6)</f>
        <v>0</v>
      </c>
      <c r="AM7" s="51">
        <f>COUNTIF(Janvier15[[#This Row],[1]:[31]],AM$6)/2</f>
        <v>0</v>
      </c>
      <c r="AN7" s="51"/>
      <c r="AO7" s="51">
        <f>COUNTIF(Janvier15[[#This Row],[1]:[31]],AO$6)</f>
        <v>0</v>
      </c>
      <c r="AP7" s="51">
        <f>COUNTIF(Janvier15[[#This Row],[1]:[31]],AP$6)</f>
        <v>0</v>
      </c>
      <c r="AQ7" s="51">
        <f>COUNTIF(Janvier15[[#This Row],[1]:[31]],AQ$6)/2</f>
        <v>0</v>
      </c>
      <c r="AR7" s="51"/>
      <c r="AS7" s="51">
        <f>COUNTIF(Janvier15[[#This Row],[1]:[31]],AS$6)</f>
        <v>0</v>
      </c>
      <c r="AT7" s="51">
        <f>COUNTIF(Janvier15[[#This Row],[1]:[31]],AT$6)/2</f>
        <v>0</v>
      </c>
      <c r="AU7" s="66"/>
      <c r="AV7" s="52">
        <f>SUM(AI7:AQ7)</f>
        <v>0</v>
      </c>
      <c r="AW7" s="52"/>
    </row>
    <row r="8" spans="1:49" hidden="1" x14ac:dyDescent="0.3">
      <c r="A8" s="48" t="s">
        <v>62</v>
      </c>
      <c r="B8" s="49"/>
      <c r="C8" s="50"/>
      <c r="D8" s="50"/>
      <c r="E8" s="50"/>
      <c r="F8" s="50"/>
      <c r="G8" s="50"/>
      <c r="H8" s="50"/>
      <c r="I8" s="50"/>
      <c r="J8" s="50"/>
      <c r="K8" s="50"/>
      <c r="L8" s="50"/>
      <c r="M8" s="50"/>
      <c r="N8" s="50"/>
      <c r="O8" s="50"/>
      <c r="P8" s="50"/>
      <c r="Q8" s="50"/>
      <c r="R8" s="50"/>
      <c r="S8" s="50"/>
      <c r="T8" s="50"/>
      <c r="U8" s="50"/>
      <c r="V8" s="50"/>
      <c r="W8" s="50"/>
      <c r="X8" s="50"/>
      <c r="Y8" s="50"/>
      <c r="Z8" s="50"/>
      <c r="AA8" s="50"/>
      <c r="AB8" s="50"/>
      <c r="AC8" s="50"/>
      <c r="AD8" s="50"/>
      <c r="AE8" s="50"/>
      <c r="AF8" s="50"/>
      <c r="AG8" s="18"/>
      <c r="AH8" s="48" t="s">
        <v>62</v>
      </c>
      <c r="AI8" s="53">
        <f>COUNTIF(Janvier15[[#This Row],[1]:[31]],AI$6)</f>
        <v>0</v>
      </c>
      <c r="AJ8" s="53">
        <f>COUNTIF(Janvier15[[#This Row],[1]:[31]],AJ$6)/2</f>
        <v>0</v>
      </c>
      <c r="AK8" s="53"/>
      <c r="AL8" s="53">
        <f>COUNTIF(Janvier15[[#This Row],[1]:[31]],AL$6)</f>
        <v>0</v>
      </c>
      <c r="AM8" s="53">
        <f>COUNTIF(Janvier15[[#This Row],[1]:[31]],AM$6)/2</f>
        <v>0</v>
      </c>
      <c r="AN8" s="53"/>
      <c r="AO8" s="53">
        <f>COUNTIF(Janvier15[[#This Row],[1]:[31]],AO$6)</f>
        <v>0</v>
      </c>
      <c r="AP8" s="53">
        <f>COUNTIF(Janvier15[[#This Row],[1]:[31]],AP$6)</f>
        <v>0</v>
      </c>
      <c r="AQ8" s="53">
        <f>COUNTIF(Janvier15[[#This Row],[1]:[31]],AQ$6)/2</f>
        <v>0</v>
      </c>
      <c r="AR8" s="53"/>
      <c r="AS8" s="53">
        <f>COUNTIF(Janvier15[[#This Row],[1]:[31]],AS$6)</f>
        <v>0</v>
      </c>
      <c r="AT8" s="53">
        <f>COUNTIF(Janvier15[[#This Row],[1]:[31]],AT$6)/2</f>
        <v>0</v>
      </c>
      <c r="AU8" s="67"/>
      <c r="AV8" s="54">
        <f t="shared" ref="AV8:AV12" si="1">SUM(AI8:AQ8)</f>
        <v>0</v>
      </c>
      <c r="AW8" s="54"/>
    </row>
    <row r="9" spans="1:49" hidden="1" x14ac:dyDescent="0.3">
      <c r="A9" s="48" t="s">
        <v>63</v>
      </c>
      <c r="B9" s="49"/>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18"/>
      <c r="AH9" s="48" t="s">
        <v>63</v>
      </c>
      <c r="AI9" s="51">
        <f>COUNTIF(Janvier15[[#This Row],[1]:[31]],AI$6)</f>
        <v>0</v>
      </c>
      <c r="AJ9" s="51">
        <f>COUNTIF(Janvier15[[#This Row],[1]:[31]],AJ$6)/2</f>
        <v>0</v>
      </c>
      <c r="AK9" s="51"/>
      <c r="AL9" s="51">
        <f>COUNTIF(Janvier15[[#This Row],[1]:[31]],AL$6)</f>
        <v>0</v>
      </c>
      <c r="AM9" s="51">
        <f>COUNTIF(Janvier15[[#This Row],[1]:[31]],AM$6)/2</f>
        <v>0</v>
      </c>
      <c r="AN9" s="51"/>
      <c r="AO9" s="51">
        <f>COUNTIF(Janvier15[[#This Row],[1]:[31]],AO$6)</f>
        <v>0</v>
      </c>
      <c r="AP9" s="51">
        <f>COUNTIF(Janvier15[[#This Row],[1]:[31]],AP$6)</f>
        <v>0</v>
      </c>
      <c r="AQ9" s="51">
        <f>COUNTIF(Janvier15[[#This Row],[1]:[31]],AQ$6)/2</f>
        <v>0</v>
      </c>
      <c r="AR9" s="51"/>
      <c r="AS9" s="51">
        <f>COUNTIF(Janvier15[[#This Row],[1]:[31]],AS$6)</f>
        <v>0</v>
      </c>
      <c r="AT9" s="51">
        <f>COUNTIF(Janvier15[[#This Row],[1]:[31]],AT$6)/2</f>
        <v>0</v>
      </c>
      <c r="AU9" s="66"/>
      <c r="AV9" s="52">
        <f t="shared" si="1"/>
        <v>0</v>
      </c>
      <c r="AW9" s="52"/>
    </row>
    <row r="10" spans="1:49" hidden="1" x14ac:dyDescent="0.3">
      <c r="A10" s="48" t="s">
        <v>64</v>
      </c>
      <c r="B10" s="49"/>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18"/>
      <c r="AH10" s="48" t="s">
        <v>64</v>
      </c>
      <c r="AI10" s="53">
        <f>COUNTIF(Janvier15[[#This Row],[1]:[31]],AI$6)</f>
        <v>0</v>
      </c>
      <c r="AJ10" s="53">
        <f>COUNTIF(Janvier15[[#This Row],[1]:[31]],AJ$6)/2</f>
        <v>0</v>
      </c>
      <c r="AK10" s="53"/>
      <c r="AL10" s="53">
        <f>COUNTIF(Janvier15[[#This Row],[1]:[31]],AL$6)</f>
        <v>0</v>
      </c>
      <c r="AM10" s="53">
        <f>COUNTIF(Janvier15[[#This Row],[1]:[31]],AM$6)/2</f>
        <v>0</v>
      </c>
      <c r="AN10" s="53"/>
      <c r="AO10" s="53">
        <f>COUNTIF(Janvier15[[#This Row],[1]:[31]],AO$6)</f>
        <v>0</v>
      </c>
      <c r="AP10" s="53">
        <f>COUNTIF(Janvier15[[#This Row],[1]:[31]],AP$6)</f>
        <v>0</v>
      </c>
      <c r="AQ10" s="53">
        <f>COUNTIF(Janvier15[[#This Row],[1]:[31]],AQ$6)/2</f>
        <v>0</v>
      </c>
      <c r="AR10" s="53"/>
      <c r="AS10" s="53">
        <f>COUNTIF(Janvier15[[#This Row],[1]:[31]],AS$6)</f>
        <v>0</v>
      </c>
      <c r="AT10" s="53">
        <f>COUNTIF(Janvier15[[#This Row],[1]:[31]],AT$6)/2</f>
        <v>0</v>
      </c>
      <c r="AU10" s="67"/>
      <c r="AV10" s="54">
        <f t="shared" si="1"/>
        <v>0</v>
      </c>
      <c r="AW10" s="54"/>
    </row>
    <row r="11" spans="1:49" hidden="1" x14ac:dyDescent="0.3">
      <c r="A11" s="48" t="s">
        <v>65</v>
      </c>
      <c r="B11" s="49"/>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18"/>
      <c r="AH11" s="48" t="s">
        <v>65</v>
      </c>
      <c r="AI11" s="51">
        <f>COUNTIF(Janvier15[[#This Row],[1]:[31]],AI$6)</f>
        <v>0</v>
      </c>
      <c r="AJ11" s="51">
        <f>COUNTIF(Janvier15[[#This Row],[1]:[31]],AJ$6)/2</f>
        <v>0</v>
      </c>
      <c r="AK11" s="51"/>
      <c r="AL11" s="51">
        <f>COUNTIF(Janvier15[[#This Row],[1]:[31]],AL$6)</f>
        <v>0</v>
      </c>
      <c r="AM11" s="51">
        <f>COUNTIF(Janvier15[[#This Row],[1]:[31]],AM$6)/2</f>
        <v>0</v>
      </c>
      <c r="AN11" s="51"/>
      <c r="AO11" s="51">
        <f>COUNTIF(Janvier15[[#This Row],[1]:[31]],AO$6)</f>
        <v>0</v>
      </c>
      <c r="AP11" s="51">
        <f>COUNTIF(Janvier15[[#This Row],[1]:[31]],AP$6)</f>
        <v>0</v>
      </c>
      <c r="AQ11" s="51">
        <f>COUNTIF(Janvier15[[#This Row],[1]:[31]],AQ$6)/2</f>
        <v>0</v>
      </c>
      <c r="AR11" s="51"/>
      <c r="AS11" s="51">
        <f>COUNTIF(Janvier15[[#This Row],[1]:[31]],AS$6)</f>
        <v>0</v>
      </c>
      <c r="AT11" s="51">
        <f>COUNTIF(Janvier15[[#This Row],[1]:[31]],AT$6)/2</f>
        <v>0</v>
      </c>
      <c r="AU11" s="66"/>
      <c r="AV11" s="52">
        <f t="shared" si="1"/>
        <v>0</v>
      </c>
      <c r="AW11" s="52"/>
    </row>
    <row r="12" spans="1:49" ht="17.25" hidden="1" thickBot="1" x14ac:dyDescent="0.35">
      <c r="A12" s="48" t="s">
        <v>23</v>
      </c>
      <c r="B12" s="49"/>
      <c r="C12" s="50"/>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C12" s="50"/>
      <c r="AD12" s="50"/>
      <c r="AE12" s="50"/>
      <c r="AF12" s="50"/>
      <c r="AG12" s="18"/>
      <c r="AH12" s="48" t="s">
        <v>23</v>
      </c>
      <c r="AI12" s="53">
        <f>COUNTIF(Janvier15[[#This Row],[1]:[31]],AI$6)</f>
        <v>0</v>
      </c>
      <c r="AJ12" s="53">
        <f>COUNTIF(Janvier15[[#This Row],[1]:[31]],AJ$6)/2</f>
        <v>0</v>
      </c>
      <c r="AK12" s="53"/>
      <c r="AL12" s="53">
        <f>COUNTIF(Janvier15[[#This Row],[1]:[31]],AL$6)</f>
        <v>0</v>
      </c>
      <c r="AM12" s="53">
        <f>COUNTIF(Janvier15[[#This Row],[1]:[31]],AM$6)/2</f>
        <v>0</v>
      </c>
      <c r="AN12" s="53"/>
      <c r="AO12" s="53">
        <f>COUNTIF(Janvier15[[#This Row],[1]:[31]],AO$6)</f>
        <v>0</v>
      </c>
      <c r="AP12" s="53">
        <f>COUNTIF(Janvier15[[#This Row],[1]:[31]],AP$6)</f>
        <v>0</v>
      </c>
      <c r="AQ12" s="53">
        <f>COUNTIF(Janvier15[[#This Row],[1]:[31]],AQ$6)/2</f>
        <v>0</v>
      </c>
      <c r="AR12" s="53"/>
      <c r="AS12" s="53">
        <f>COUNTIF(Janvier15[[#This Row],[1]:[31]],AS$6)</f>
        <v>0</v>
      </c>
      <c r="AT12" s="53">
        <f>COUNTIF(Janvier15[[#This Row],[1]:[31]],AT$6)/2</f>
        <v>0</v>
      </c>
      <c r="AU12" s="68"/>
      <c r="AV12" s="55">
        <f t="shared" si="1"/>
        <v>0</v>
      </c>
      <c r="AW12" s="55"/>
    </row>
    <row r="13" spans="1:49" hidden="1" x14ac:dyDescent="0.3"/>
    <row r="14" spans="1:49" s="18" customFormat="1" ht="14.25" hidden="1" thickBot="1" x14ac:dyDescent="0.3">
      <c r="A14" s="19" t="s">
        <v>79</v>
      </c>
      <c r="B14" s="20" t="s">
        <v>27</v>
      </c>
      <c r="C14" s="21" t="s">
        <v>76</v>
      </c>
      <c r="E14" s="22" t="s">
        <v>80</v>
      </c>
      <c r="F14" s="23" t="s">
        <v>77</v>
      </c>
      <c r="G14" s="23"/>
      <c r="H14" s="24" t="s">
        <v>70</v>
      </c>
      <c r="I14" s="25" t="s">
        <v>3</v>
      </c>
      <c r="J14" s="23"/>
      <c r="K14" s="26" t="s">
        <v>81</v>
      </c>
      <c r="L14" s="27" t="s">
        <v>78</v>
      </c>
      <c r="M14" s="23"/>
      <c r="N14" s="28" t="s">
        <v>25</v>
      </c>
      <c r="O14" s="25" t="s">
        <v>28</v>
      </c>
      <c r="P14" s="25"/>
      <c r="Q14" s="29" t="s">
        <v>67</v>
      </c>
      <c r="R14" s="30" t="s">
        <v>66</v>
      </c>
      <c r="S14" s="30"/>
      <c r="T14" s="31" t="s">
        <v>84</v>
      </c>
      <c r="U14" s="23" t="s">
        <v>85</v>
      </c>
      <c r="V14" s="23"/>
      <c r="W14" s="23"/>
      <c r="X14" s="32" t="s">
        <v>68</v>
      </c>
      <c r="Y14" s="33" t="s">
        <v>69</v>
      </c>
      <c r="Z14" s="33"/>
      <c r="AA14" s="34" t="s">
        <v>83</v>
      </c>
      <c r="AB14" s="33" t="s">
        <v>86</v>
      </c>
      <c r="AC14" s="33"/>
      <c r="AD14" s="33"/>
      <c r="AE14" s="33"/>
      <c r="AF14" s="33"/>
      <c r="AH14" s="19" t="s">
        <v>79</v>
      </c>
    </row>
    <row r="15" spans="1:49" hidden="1" x14ac:dyDescent="0.3">
      <c r="A15" s="11"/>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H15" s="11"/>
    </row>
    <row r="16" spans="1:49" ht="30" hidden="1" thickBot="1" x14ac:dyDescent="0.35">
      <c r="A16" s="17" t="s">
        <v>10</v>
      </c>
      <c r="B16" s="140" t="s">
        <v>29</v>
      </c>
      <c r="C16" s="140"/>
      <c r="D16" s="140"/>
      <c r="E16" s="140"/>
      <c r="F16" s="140"/>
      <c r="G16" s="140"/>
      <c r="H16" s="140"/>
      <c r="I16" s="140"/>
      <c r="J16" s="140"/>
      <c r="K16" s="140"/>
      <c r="L16" s="140"/>
      <c r="M16" s="140"/>
      <c r="N16" s="140"/>
      <c r="O16" s="140"/>
      <c r="P16" s="140"/>
      <c r="Q16" s="140"/>
      <c r="R16" s="140"/>
      <c r="S16" s="140"/>
      <c r="T16" s="140"/>
      <c r="U16" s="140"/>
      <c r="V16" s="140"/>
      <c r="W16" s="140"/>
      <c r="X16" s="140"/>
      <c r="Y16" s="140"/>
      <c r="Z16" s="140"/>
      <c r="AA16" s="140"/>
      <c r="AB16" s="140"/>
      <c r="AC16" s="140"/>
      <c r="AD16" s="140"/>
      <c r="AE16" s="140"/>
      <c r="AF16" s="140"/>
      <c r="AG16" s="17"/>
      <c r="AH16" s="17" t="s">
        <v>10</v>
      </c>
      <c r="AI16" s="17"/>
      <c r="AJ16" s="17"/>
      <c r="AK16" s="17"/>
      <c r="AL16" s="17"/>
      <c r="AM16" s="17"/>
      <c r="AN16" s="17"/>
      <c r="AO16" s="17"/>
      <c r="AP16" s="17"/>
      <c r="AQ16" s="17"/>
      <c r="AR16" s="17"/>
      <c r="AS16" s="17"/>
      <c r="AT16" s="17"/>
      <c r="AU16" s="17"/>
      <c r="AV16" s="17"/>
      <c r="AW16" s="17"/>
    </row>
    <row r="17" spans="1:49" ht="18" hidden="1" thickTop="1" thickBot="1" x14ac:dyDescent="0.35">
      <c r="A17" s="35">
        <v>2</v>
      </c>
      <c r="B17" s="36" t="str">
        <f t="shared" ref="B17:AC17" si="2">TEXT(WEEKDAY(DATE(AnnéeCalendrier,$A$17,B$18),16),"jjj")</f>
        <v>jeu</v>
      </c>
      <c r="C17" s="36" t="str">
        <f t="shared" si="2"/>
        <v>ven</v>
      </c>
      <c r="D17" s="36" t="str">
        <f t="shared" si="2"/>
        <v>sam</v>
      </c>
      <c r="E17" s="36" t="str">
        <f t="shared" si="2"/>
        <v>dim</v>
      </c>
      <c r="F17" s="36" t="str">
        <f t="shared" si="2"/>
        <v>lun</v>
      </c>
      <c r="G17" s="36" t="str">
        <f t="shared" si="2"/>
        <v>mar</v>
      </c>
      <c r="H17" s="36" t="str">
        <f t="shared" si="2"/>
        <v>mer</v>
      </c>
      <c r="I17" s="36" t="str">
        <f t="shared" si="2"/>
        <v>jeu</v>
      </c>
      <c r="J17" s="36" t="str">
        <f t="shared" si="2"/>
        <v>ven</v>
      </c>
      <c r="K17" s="36" t="str">
        <f t="shared" si="2"/>
        <v>sam</v>
      </c>
      <c r="L17" s="36" t="str">
        <f t="shared" si="2"/>
        <v>dim</v>
      </c>
      <c r="M17" s="36" t="str">
        <f t="shared" si="2"/>
        <v>lun</v>
      </c>
      <c r="N17" s="36" t="str">
        <f t="shared" si="2"/>
        <v>mar</v>
      </c>
      <c r="O17" s="36" t="str">
        <f t="shared" si="2"/>
        <v>mer</v>
      </c>
      <c r="P17" s="36" t="str">
        <f t="shared" si="2"/>
        <v>jeu</v>
      </c>
      <c r="Q17" s="36" t="str">
        <f t="shared" si="2"/>
        <v>ven</v>
      </c>
      <c r="R17" s="36" t="str">
        <f t="shared" si="2"/>
        <v>sam</v>
      </c>
      <c r="S17" s="36" t="str">
        <f t="shared" si="2"/>
        <v>dim</v>
      </c>
      <c r="T17" s="36" t="str">
        <f t="shared" si="2"/>
        <v>lun</v>
      </c>
      <c r="U17" s="36" t="str">
        <f t="shared" si="2"/>
        <v>mar</v>
      </c>
      <c r="V17" s="36" t="str">
        <f t="shared" si="2"/>
        <v>mer</v>
      </c>
      <c r="W17" s="36" t="str">
        <f t="shared" si="2"/>
        <v>jeu</v>
      </c>
      <c r="X17" s="36" t="str">
        <f t="shared" si="2"/>
        <v>ven</v>
      </c>
      <c r="Y17" s="36" t="str">
        <f t="shared" si="2"/>
        <v>sam</v>
      </c>
      <c r="Z17" s="36" t="str">
        <f t="shared" si="2"/>
        <v>dim</v>
      </c>
      <c r="AA17" s="36" t="str">
        <f t="shared" si="2"/>
        <v>lun</v>
      </c>
      <c r="AB17" s="36" t="str">
        <f t="shared" si="2"/>
        <v>mar</v>
      </c>
      <c r="AC17" s="36" t="str">
        <f t="shared" si="2"/>
        <v>mer</v>
      </c>
      <c r="AD17" s="36"/>
      <c r="AE17" s="36"/>
      <c r="AF17" s="36"/>
      <c r="AG17" s="18"/>
      <c r="AH17" s="35">
        <v>2</v>
      </c>
      <c r="AI17" s="18"/>
      <c r="AJ17" s="18"/>
      <c r="AK17" s="18"/>
      <c r="AL17" s="18"/>
      <c r="AM17" s="18"/>
      <c r="AN17" s="18"/>
      <c r="AO17" s="18"/>
      <c r="AP17" s="18"/>
      <c r="AQ17" s="18"/>
      <c r="AR17" s="18"/>
      <c r="AS17" s="18"/>
      <c r="AT17" s="18"/>
      <c r="AU17" s="18"/>
      <c r="AV17" s="18"/>
      <c r="AW17" s="18"/>
    </row>
    <row r="18" spans="1:49" hidden="1" x14ac:dyDescent="0.3">
      <c r="A18" s="37" t="s">
        <v>24</v>
      </c>
      <c r="B18" s="56" t="s">
        <v>30</v>
      </c>
      <c r="C18" s="56" t="s">
        <v>31</v>
      </c>
      <c r="D18" s="56" t="s">
        <v>32</v>
      </c>
      <c r="E18" s="56" t="s">
        <v>33</v>
      </c>
      <c r="F18" s="56" t="s">
        <v>34</v>
      </c>
      <c r="G18" s="56" t="s">
        <v>35</v>
      </c>
      <c r="H18" s="56" t="s">
        <v>36</v>
      </c>
      <c r="I18" s="56" t="s">
        <v>37</v>
      </c>
      <c r="J18" s="56" t="s">
        <v>38</v>
      </c>
      <c r="K18" s="56" t="s">
        <v>39</v>
      </c>
      <c r="L18" s="56" t="s">
        <v>40</v>
      </c>
      <c r="M18" s="56" t="s">
        <v>41</v>
      </c>
      <c r="N18" s="56" t="s">
        <v>42</v>
      </c>
      <c r="O18" s="56" t="s">
        <v>43</v>
      </c>
      <c r="P18" s="56" t="s">
        <v>44</v>
      </c>
      <c r="Q18" s="56" t="s">
        <v>45</v>
      </c>
      <c r="R18" s="56" t="s">
        <v>46</v>
      </c>
      <c r="S18" s="56" t="s">
        <v>47</v>
      </c>
      <c r="T18" s="56" t="s">
        <v>48</v>
      </c>
      <c r="U18" s="56" t="s">
        <v>49</v>
      </c>
      <c r="V18" s="56" t="s">
        <v>50</v>
      </c>
      <c r="W18" s="56" t="s">
        <v>51</v>
      </c>
      <c r="X18" s="56" t="s">
        <v>52</v>
      </c>
      <c r="Y18" s="56" t="s">
        <v>53</v>
      </c>
      <c r="Z18" s="56" t="s">
        <v>54</v>
      </c>
      <c r="AA18" s="56" t="s">
        <v>55</v>
      </c>
      <c r="AB18" s="56" t="s">
        <v>56</v>
      </c>
      <c r="AC18" s="56" t="s">
        <v>57</v>
      </c>
      <c r="AD18" s="57" t="s">
        <v>58</v>
      </c>
      <c r="AE18" s="57" t="s">
        <v>59</v>
      </c>
      <c r="AF18" s="57" t="s">
        <v>60</v>
      </c>
      <c r="AG18" s="18"/>
      <c r="AH18" s="37" t="s">
        <v>24</v>
      </c>
      <c r="AI18" s="40" t="s">
        <v>27</v>
      </c>
      <c r="AJ18" s="41" t="s">
        <v>80</v>
      </c>
      <c r="AK18" s="41"/>
      <c r="AL18" s="42" t="s">
        <v>70</v>
      </c>
      <c r="AM18" s="43" t="s">
        <v>81</v>
      </c>
      <c r="AN18" s="43"/>
      <c r="AO18" s="44" t="s">
        <v>25</v>
      </c>
      <c r="AP18" s="45" t="s">
        <v>67</v>
      </c>
      <c r="AQ18" s="31" t="s">
        <v>84</v>
      </c>
      <c r="AR18" s="31"/>
      <c r="AS18" s="46" t="s">
        <v>68</v>
      </c>
      <c r="AT18" s="34" t="s">
        <v>83</v>
      </c>
      <c r="AU18" s="34"/>
      <c r="AV18" s="58" t="s">
        <v>1</v>
      </c>
      <c r="AW18" s="58" t="s">
        <v>87</v>
      </c>
    </row>
    <row r="19" spans="1:49" hidden="1" x14ac:dyDescent="0.3">
      <c r="A19" s="48" t="s">
        <v>61</v>
      </c>
      <c r="B19" s="50"/>
      <c r="C19" s="50"/>
      <c r="D19" s="50"/>
      <c r="E19" s="50"/>
      <c r="F19" s="50"/>
      <c r="G19" s="50"/>
      <c r="H19" s="50"/>
      <c r="I19" s="50"/>
      <c r="J19" s="50"/>
      <c r="K19" s="50"/>
      <c r="L19" s="50"/>
      <c r="M19" s="50"/>
      <c r="N19" s="50"/>
      <c r="O19" s="50"/>
      <c r="P19" s="50"/>
      <c r="Q19" s="50"/>
      <c r="R19" s="50"/>
      <c r="S19" s="50"/>
      <c r="T19" s="50"/>
      <c r="U19" s="50"/>
      <c r="V19" s="50"/>
      <c r="W19" s="50"/>
      <c r="X19" s="50"/>
      <c r="Y19" s="50"/>
      <c r="Z19" s="50"/>
      <c r="AA19" s="50"/>
      <c r="AB19" s="50"/>
      <c r="AC19" s="50"/>
      <c r="AD19" s="50"/>
      <c r="AE19" s="50"/>
      <c r="AF19" s="50"/>
      <c r="AG19" s="18"/>
      <c r="AH19" s="48" t="s">
        <v>61</v>
      </c>
      <c r="AI19" s="51">
        <f>COUNTIF(Février3[[#This Row],[1]:[31]],AI$6)</f>
        <v>0</v>
      </c>
      <c r="AJ19" s="51">
        <f>COUNTIF(Février3[[#This Row],[1]:[31]],AJ$6)/2</f>
        <v>0</v>
      </c>
      <c r="AK19" s="51"/>
      <c r="AL19" s="51">
        <f>COUNTIF(Février3[[#This Row],[1]:[31]],AL$6)</f>
        <v>0</v>
      </c>
      <c r="AM19" s="51">
        <f>COUNTIF(Février3[[#This Row],[1]:[31]],AM$6)/2</f>
        <v>0</v>
      </c>
      <c r="AN19" s="51"/>
      <c r="AO19" s="51">
        <f>COUNTIF(Février3[[#This Row],[1]:[31]],AO$6)</f>
        <v>0</v>
      </c>
      <c r="AP19" s="51">
        <f>COUNTIF(Février3[[#This Row],[1]:[31]],AP$6)</f>
        <v>0</v>
      </c>
      <c r="AQ19" s="51">
        <f>COUNTIF(Février3[[#This Row],[1]:[31]],AQ$6)/2</f>
        <v>0</v>
      </c>
      <c r="AR19" s="51"/>
      <c r="AS19" s="51">
        <f>COUNTIF(Février3[[#This Row],[1]:[31]],AS$6)</f>
        <v>0</v>
      </c>
      <c r="AT19" s="51">
        <f>COUNTIF(Février3[[#This Row],[1]:[31]],AT$6)/2</f>
        <v>0</v>
      </c>
      <c r="AU19" s="66"/>
      <c r="AV19" s="52">
        <f>SUM(AI19:AQ19)</f>
        <v>0</v>
      </c>
      <c r="AW19" s="52">
        <f>COUNTA(V7,AF7,W7,X7,Y7,Z7,AA7,AB7,AC7,AD7,AE7,B19:U19)</f>
        <v>0</v>
      </c>
    </row>
    <row r="20" spans="1:49" hidden="1" x14ac:dyDescent="0.3">
      <c r="A20" s="48" t="s">
        <v>62</v>
      </c>
      <c r="B20" s="50"/>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c r="AE20" s="50"/>
      <c r="AF20" s="50"/>
      <c r="AG20" s="18"/>
      <c r="AH20" s="48" t="s">
        <v>62</v>
      </c>
      <c r="AI20" s="51">
        <f>COUNTIF(Février3[[#This Row],[1]:[31]],AI$6)</f>
        <v>0</v>
      </c>
      <c r="AJ20" s="51">
        <f>COUNTIF(Février3[[#This Row],[1]:[31]],AJ$6)/2</f>
        <v>0</v>
      </c>
      <c r="AK20" s="51"/>
      <c r="AL20" s="51">
        <f>COUNTIF(Février3[[#This Row],[1]:[31]],AL$6)</f>
        <v>0</v>
      </c>
      <c r="AM20" s="51">
        <f>COUNTIF(Février3[[#This Row],[1]:[31]],AM$6)/2</f>
        <v>0</v>
      </c>
      <c r="AN20" s="51"/>
      <c r="AO20" s="51">
        <f>COUNTIF(Février3[[#This Row],[1]:[31]],AO$6)</f>
        <v>0</v>
      </c>
      <c r="AP20" s="51">
        <f>COUNTIF(Février3[[#This Row],[1]:[31]],AP$6)</f>
        <v>0</v>
      </c>
      <c r="AQ20" s="51">
        <f>COUNTIF(Février3[[#This Row],[1]:[31]],AQ$6)/2</f>
        <v>0</v>
      </c>
      <c r="AR20" s="51"/>
      <c r="AS20" s="51">
        <f>COUNTIF(Février3[[#This Row],[1]:[31]],AS$6)</f>
        <v>0</v>
      </c>
      <c r="AT20" s="51">
        <f>COUNTIF(Février3[[#This Row],[1]:[31]],AT$6)/2</f>
        <v>0</v>
      </c>
      <c r="AU20" s="66"/>
      <c r="AV20" s="54">
        <f t="shared" ref="AV20:AV24" si="3">SUM(AI20:AQ20)</f>
        <v>0</v>
      </c>
      <c r="AW20" s="54">
        <f t="shared" ref="AW20:AW24" si="4">COUNTA(V8,AF8,W8,X8,Y8,Z8,AA8,AB8,AC8,AD8,AE8,B20:U20)</f>
        <v>0</v>
      </c>
    </row>
    <row r="21" spans="1:49" hidden="1" x14ac:dyDescent="0.3">
      <c r="A21" s="48" t="s">
        <v>63</v>
      </c>
      <c r="B21" s="50"/>
      <c r="C21" s="50"/>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18"/>
      <c r="AH21" s="48" t="s">
        <v>63</v>
      </c>
      <c r="AI21" s="51">
        <f>COUNTIF(Février3[[#This Row],[1]:[31]],AI$6)</f>
        <v>0</v>
      </c>
      <c r="AJ21" s="51">
        <f>COUNTIF(Février3[[#This Row],[1]:[31]],AJ$6)/2</f>
        <v>0</v>
      </c>
      <c r="AK21" s="51"/>
      <c r="AL21" s="51">
        <f>COUNTIF(Février3[[#This Row],[1]:[31]],AL$6)</f>
        <v>0</v>
      </c>
      <c r="AM21" s="51">
        <f>COUNTIF(Février3[[#This Row],[1]:[31]],AM$6)/2</f>
        <v>0</v>
      </c>
      <c r="AN21" s="51"/>
      <c r="AO21" s="51">
        <f>COUNTIF(Février3[[#This Row],[1]:[31]],AO$6)</f>
        <v>0</v>
      </c>
      <c r="AP21" s="51">
        <f>COUNTIF(Février3[[#This Row],[1]:[31]],AP$6)</f>
        <v>0</v>
      </c>
      <c r="AQ21" s="51">
        <f>COUNTIF(Février3[[#This Row],[1]:[31]],AQ$6)/2</f>
        <v>0</v>
      </c>
      <c r="AR21" s="51"/>
      <c r="AS21" s="51">
        <f>COUNTIF(Février3[[#This Row],[1]:[31]],AS$6)</f>
        <v>0</v>
      </c>
      <c r="AT21" s="51">
        <f>COUNTIF(Février3[[#This Row],[1]:[31]],AT$6)/2</f>
        <v>0</v>
      </c>
      <c r="AU21" s="66"/>
      <c r="AV21" s="52">
        <f t="shared" si="3"/>
        <v>0</v>
      </c>
      <c r="AW21" s="52">
        <f t="shared" si="4"/>
        <v>0</v>
      </c>
    </row>
    <row r="22" spans="1:49" hidden="1" x14ac:dyDescent="0.3">
      <c r="A22" s="48" t="s">
        <v>64</v>
      </c>
      <c r="B22" s="50"/>
      <c r="C22" s="50"/>
      <c r="D22" s="50"/>
      <c r="E22" s="50"/>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c r="AE22" s="50"/>
      <c r="AF22" s="50"/>
      <c r="AG22" s="18"/>
      <c r="AH22" s="48" t="s">
        <v>64</v>
      </c>
      <c r="AI22" s="51">
        <f>COUNTIF(Février3[[#This Row],[1]:[31]],AI$6)</f>
        <v>0</v>
      </c>
      <c r="AJ22" s="51">
        <f>COUNTIF(Février3[[#This Row],[1]:[31]],AJ$6)/2</f>
        <v>0</v>
      </c>
      <c r="AK22" s="51"/>
      <c r="AL22" s="51">
        <f>COUNTIF(Février3[[#This Row],[1]:[31]],AL$6)</f>
        <v>0</v>
      </c>
      <c r="AM22" s="51">
        <f>COUNTIF(Février3[[#This Row],[1]:[31]],AM$6)/2</f>
        <v>0</v>
      </c>
      <c r="AN22" s="51"/>
      <c r="AO22" s="51">
        <f>COUNTIF(Février3[[#This Row],[1]:[31]],AO$6)</f>
        <v>0</v>
      </c>
      <c r="AP22" s="51">
        <f>COUNTIF(Février3[[#This Row],[1]:[31]],AP$6)</f>
        <v>0</v>
      </c>
      <c r="AQ22" s="51">
        <f>COUNTIF(Février3[[#This Row],[1]:[31]],AQ$6)/2</f>
        <v>0</v>
      </c>
      <c r="AR22" s="51"/>
      <c r="AS22" s="51">
        <f>COUNTIF(Février3[[#This Row],[1]:[31]],AS$6)</f>
        <v>0</v>
      </c>
      <c r="AT22" s="51">
        <f>COUNTIF(Février3[[#This Row],[1]:[31]],AT$6)/2</f>
        <v>0</v>
      </c>
      <c r="AU22" s="66"/>
      <c r="AV22" s="54">
        <f t="shared" si="3"/>
        <v>0</v>
      </c>
      <c r="AW22" s="54">
        <f t="shared" si="4"/>
        <v>0</v>
      </c>
    </row>
    <row r="23" spans="1:49" hidden="1" x14ac:dyDescent="0.3">
      <c r="A23" s="48" t="s">
        <v>65</v>
      </c>
      <c r="B23" s="50"/>
      <c r="C23" s="50"/>
      <c r="D23" s="50"/>
      <c r="E23" s="50"/>
      <c r="F23" s="50"/>
      <c r="G23" s="50"/>
      <c r="H23" s="50"/>
      <c r="I23" s="50"/>
      <c r="J23" s="50"/>
      <c r="K23" s="50"/>
      <c r="L23" s="50"/>
      <c r="M23" s="50"/>
      <c r="N23" s="50"/>
      <c r="O23" s="50"/>
      <c r="P23" s="50"/>
      <c r="Q23" s="50"/>
      <c r="R23" s="50"/>
      <c r="S23" s="50"/>
      <c r="T23" s="50"/>
      <c r="U23" s="50"/>
      <c r="V23" s="50"/>
      <c r="W23" s="50"/>
      <c r="X23" s="50"/>
      <c r="Y23" s="50"/>
      <c r="Z23" s="50"/>
      <c r="AA23" s="50"/>
      <c r="AB23" s="50"/>
      <c r="AC23" s="50"/>
      <c r="AD23" s="50"/>
      <c r="AE23" s="50"/>
      <c r="AF23" s="50"/>
      <c r="AG23" s="18"/>
      <c r="AH23" s="48" t="s">
        <v>65</v>
      </c>
      <c r="AI23" s="51">
        <f>COUNTIF(Février3[[#This Row],[1]:[31]],AI$6)</f>
        <v>0</v>
      </c>
      <c r="AJ23" s="51">
        <f>COUNTIF(Février3[[#This Row],[1]:[31]],AJ$6)/2</f>
        <v>0</v>
      </c>
      <c r="AK23" s="51"/>
      <c r="AL23" s="51">
        <f>COUNTIF(Février3[[#This Row],[1]:[31]],AL$6)</f>
        <v>0</v>
      </c>
      <c r="AM23" s="51">
        <f>COUNTIF(Février3[[#This Row],[1]:[31]],AM$6)/2</f>
        <v>0</v>
      </c>
      <c r="AN23" s="51"/>
      <c r="AO23" s="51">
        <f>COUNTIF(Février3[[#This Row],[1]:[31]],AO$6)</f>
        <v>0</v>
      </c>
      <c r="AP23" s="51">
        <f>COUNTIF(Février3[[#This Row],[1]:[31]],AP$6)</f>
        <v>0</v>
      </c>
      <c r="AQ23" s="51">
        <f>COUNTIF(Février3[[#This Row],[1]:[31]],AQ$6)/2</f>
        <v>0</v>
      </c>
      <c r="AR23" s="51"/>
      <c r="AS23" s="51">
        <f>COUNTIF(Février3[[#This Row],[1]:[31]],AS$6)</f>
        <v>0</v>
      </c>
      <c r="AT23" s="51">
        <f>COUNTIF(Février3[[#This Row],[1]:[31]],AT$6)/2</f>
        <v>0</v>
      </c>
      <c r="AU23" s="66"/>
      <c r="AV23" s="52">
        <f t="shared" si="3"/>
        <v>0</v>
      </c>
      <c r="AW23" s="52">
        <f t="shared" si="4"/>
        <v>0</v>
      </c>
    </row>
    <row r="24" spans="1:49" ht="17.25" hidden="1" thickBot="1" x14ac:dyDescent="0.35">
      <c r="A24" s="48" t="s">
        <v>23</v>
      </c>
      <c r="B24" s="50"/>
      <c r="C24" s="50"/>
      <c r="D24" s="50"/>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18"/>
      <c r="AH24" s="48" t="s">
        <v>23</v>
      </c>
      <c r="AI24" s="51">
        <f>COUNTIF(Février3[[#This Row],[1]:[31]],AI$6)</f>
        <v>0</v>
      </c>
      <c r="AJ24" s="51">
        <f>COUNTIF(Février3[[#This Row],[1]:[31]],AJ$6)/2</f>
        <v>0</v>
      </c>
      <c r="AK24" s="51"/>
      <c r="AL24" s="51">
        <f>COUNTIF(Février3[[#This Row],[1]:[31]],AL$6)</f>
        <v>0</v>
      </c>
      <c r="AM24" s="51">
        <f>COUNTIF(Février3[[#This Row],[1]:[31]],AM$6)/2</f>
        <v>0</v>
      </c>
      <c r="AN24" s="51"/>
      <c r="AO24" s="51">
        <f>COUNTIF(Février3[[#This Row],[1]:[31]],AO$6)</f>
        <v>0</v>
      </c>
      <c r="AP24" s="51">
        <f>COUNTIF(Février3[[#This Row],[1]:[31]],AP$6)</f>
        <v>0</v>
      </c>
      <c r="AQ24" s="51">
        <f>COUNTIF(Février3[[#This Row],[1]:[31]],AQ$6)/2</f>
        <v>0</v>
      </c>
      <c r="AR24" s="51"/>
      <c r="AS24" s="51">
        <f>COUNTIF(Février3[[#This Row],[1]:[31]],AS$6)</f>
        <v>0</v>
      </c>
      <c r="AT24" s="51">
        <f>COUNTIF(Février3[[#This Row],[1]:[31]],AT$6)/2</f>
        <v>0</v>
      </c>
      <c r="AU24" s="69"/>
      <c r="AV24" s="55">
        <f t="shared" si="3"/>
        <v>0</v>
      </c>
      <c r="AW24" s="55">
        <f t="shared" si="4"/>
        <v>0</v>
      </c>
    </row>
    <row r="25" spans="1:49" hidden="1" x14ac:dyDescent="0.3"/>
    <row r="26" spans="1:49" s="18" customFormat="1" ht="14.25" hidden="1" thickBot="1" x14ac:dyDescent="0.3">
      <c r="A26" s="19" t="s">
        <v>79</v>
      </c>
      <c r="B26" s="20" t="s">
        <v>27</v>
      </c>
      <c r="C26" s="21" t="s">
        <v>76</v>
      </c>
      <c r="E26" s="22" t="s">
        <v>80</v>
      </c>
      <c r="F26" s="23" t="s">
        <v>77</v>
      </c>
      <c r="G26" s="23"/>
      <c r="H26" s="24" t="s">
        <v>70</v>
      </c>
      <c r="I26" s="25" t="s">
        <v>3</v>
      </c>
      <c r="J26" s="23"/>
      <c r="K26" s="26" t="s">
        <v>81</v>
      </c>
      <c r="L26" s="27" t="s">
        <v>78</v>
      </c>
      <c r="M26" s="23"/>
      <c r="N26" s="28" t="s">
        <v>25</v>
      </c>
      <c r="O26" s="25" t="s">
        <v>28</v>
      </c>
      <c r="P26" s="25"/>
      <c r="Q26" s="29" t="s">
        <v>67</v>
      </c>
      <c r="R26" s="30" t="s">
        <v>66</v>
      </c>
      <c r="S26" s="30"/>
      <c r="T26" s="31" t="s">
        <v>84</v>
      </c>
      <c r="U26" s="23" t="s">
        <v>85</v>
      </c>
      <c r="V26" s="23"/>
      <c r="W26" s="23"/>
      <c r="X26" s="32" t="s">
        <v>68</v>
      </c>
      <c r="Y26" s="33" t="s">
        <v>69</v>
      </c>
      <c r="Z26" s="33"/>
      <c r="AA26" s="34" t="s">
        <v>83</v>
      </c>
      <c r="AB26" s="33" t="s">
        <v>86</v>
      </c>
      <c r="AC26" s="33"/>
      <c r="AD26" s="33"/>
      <c r="AE26" s="33"/>
      <c r="AF26" s="33"/>
      <c r="AH26" s="19" t="s">
        <v>79</v>
      </c>
    </row>
    <row r="27" spans="1:49" hidden="1" x14ac:dyDescent="0.3">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H27" s="11"/>
    </row>
    <row r="28" spans="1:49" ht="30" hidden="1" thickBot="1" x14ac:dyDescent="0.35">
      <c r="A28" s="17" t="s">
        <v>11</v>
      </c>
      <c r="B28" s="140" t="s">
        <v>29</v>
      </c>
      <c r="C28" s="140"/>
      <c r="D28" s="140"/>
      <c r="E28" s="140"/>
      <c r="F28" s="140"/>
      <c r="G28" s="140"/>
      <c r="H28" s="140"/>
      <c r="I28" s="140"/>
      <c r="J28" s="140"/>
      <c r="K28" s="140"/>
      <c r="L28" s="140"/>
      <c r="M28" s="140"/>
      <c r="N28" s="140"/>
      <c r="O28" s="140"/>
      <c r="P28" s="140"/>
      <c r="Q28" s="140"/>
      <c r="R28" s="140"/>
      <c r="S28" s="140"/>
      <c r="T28" s="140"/>
      <c r="U28" s="140"/>
      <c r="V28" s="140"/>
      <c r="W28" s="140"/>
      <c r="X28" s="140"/>
      <c r="Y28" s="140"/>
      <c r="Z28" s="140"/>
      <c r="AA28" s="140"/>
      <c r="AB28" s="140"/>
      <c r="AC28" s="140"/>
      <c r="AD28" s="140"/>
      <c r="AE28" s="140"/>
      <c r="AF28" s="140"/>
      <c r="AG28" s="17"/>
      <c r="AH28" s="17" t="s">
        <v>11</v>
      </c>
      <c r="AI28" s="17"/>
      <c r="AJ28" s="17"/>
      <c r="AK28" s="17"/>
      <c r="AL28" s="17"/>
      <c r="AM28" s="17"/>
      <c r="AN28" s="17"/>
      <c r="AO28" s="17"/>
      <c r="AP28" s="17"/>
      <c r="AQ28" s="17"/>
      <c r="AR28" s="17"/>
      <c r="AS28" s="17"/>
      <c r="AT28" s="17"/>
      <c r="AU28" s="17"/>
      <c r="AV28" s="17"/>
      <c r="AW28" s="17"/>
    </row>
    <row r="29" spans="1:49" ht="18" hidden="1" thickTop="1" thickBot="1" x14ac:dyDescent="0.35">
      <c r="A29" s="35">
        <v>3</v>
      </c>
      <c r="B29" s="36" t="str">
        <f t="shared" ref="B29:AF29" si="5">TEXT(WEEKDAY(DATE(AnnéeCalendrier,$A$29,B$30),1),"jjj")</f>
        <v>jeu</v>
      </c>
      <c r="C29" s="36" t="str">
        <f t="shared" si="5"/>
        <v>ven</v>
      </c>
      <c r="D29" s="36" t="str">
        <f t="shared" si="5"/>
        <v>sam</v>
      </c>
      <c r="E29" s="36" t="str">
        <f t="shared" si="5"/>
        <v>dim</v>
      </c>
      <c r="F29" s="36" t="str">
        <f t="shared" si="5"/>
        <v>lun</v>
      </c>
      <c r="G29" s="36" t="str">
        <f t="shared" si="5"/>
        <v>mar</v>
      </c>
      <c r="H29" s="36" t="str">
        <f t="shared" si="5"/>
        <v>mer</v>
      </c>
      <c r="I29" s="36" t="str">
        <f t="shared" si="5"/>
        <v>jeu</v>
      </c>
      <c r="J29" s="36" t="str">
        <f t="shared" si="5"/>
        <v>ven</v>
      </c>
      <c r="K29" s="36" t="str">
        <f t="shared" si="5"/>
        <v>sam</v>
      </c>
      <c r="L29" s="36" t="str">
        <f t="shared" si="5"/>
        <v>dim</v>
      </c>
      <c r="M29" s="36" t="str">
        <f t="shared" si="5"/>
        <v>lun</v>
      </c>
      <c r="N29" s="36" t="str">
        <f t="shared" si="5"/>
        <v>mar</v>
      </c>
      <c r="O29" s="36" t="str">
        <f t="shared" si="5"/>
        <v>mer</v>
      </c>
      <c r="P29" s="36" t="str">
        <f t="shared" si="5"/>
        <v>jeu</v>
      </c>
      <c r="Q29" s="36" t="str">
        <f t="shared" si="5"/>
        <v>ven</v>
      </c>
      <c r="R29" s="36" t="str">
        <f t="shared" si="5"/>
        <v>sam</v>
      </c>
      <c r="S29" s="36" t="str">
        <f t="shared" si="5"/>
        <v>dim</v>
      </c>
      <c r="T29" s="36" t="str">
        <f t="shared" si="5"/>
        <v>lun</v>
      </c>
      <c r="U29" s="36" t="str">
        <f t="shared" si="5"/>
        <v>mar</v>
      </c>
      <c r="V29" s="36" t="str">
        <f t="shared" si="5"/>
        <v>mer</v>
      </c>
      <c r="W29" s="36" t="str">
        <f t="shared" si="5"/>
        <v>jeu</v>
      </c>
      <c r="X29" s="36" t="str">
        <f t="shared" si="5"/>
        <v>ven</v>
      </c>
      <c r="Y29" s="36" t="str">
        <f t="shared" si="5"/>
        <v>sam</v>
      </c>
      <c r="Z29" s="36" t="str">
        <f t="shared" si="5"/>
        <v>dim</v>
      </c>
      <c r="AA29" s="36" t="str">
        <f t="shared" si="5"/>
        <v>lun</v>
      </c>
      <c r="AB29" s="36" t="str">
        <f t="shared" si="5"/>
        <v>mar</v>
      </c>
      <c r="AC29" s="36" t="str">
        <f t="shared" si="5"/>
        <v>mer</v>
      </c>
      <c r="AD29" s="36" t="str">
        <f t="shared" si="5"/>
        <v>jeu</v>
      </c>
      <c r="AE29" s="36" t="str">
        <f t="shared" si="5"/>
        <v>ven</v>
      </c>
      <c r="AF29" s="36" t="str">
        <f t="shared" si="5"/>
        <v>sam</v>
      </c>
      <c r="AG29" s="18"/>
      <c r="AH29" s="35">
        <v>3</v>
      </c>
      <c r="AI29" s="18"/>
      <c r="AJ29" s="18"/>
      <c r="AK29" s="18"/>
      <c r="AL29" s="18"/>
      <c r="AM29" s="18"/>
      <c r="AN29" s="18"/>
      <c r="AO29" s="18"/>
      <c r="AP29" s="18"/>
      <c r="AQ29" s="18"/>
      <c r="AR29" s="18"/>
      <c r="AS29" s="18"/>
      <c r="AT29" s="18"/>
      <c r="AU29" s="18"/>
      <c r="AV29" s="18"/>
      <c r="AW29" s="18"/>
    </row>
    <row r="30" spans="1:49" hidden="1" x14ac:dyDescent="0.3">
      <c r="A30" s="59" t="s">
        <v>24</v>
      </c>
      <c r="B30" s="56" t="s">
        <v>30</v>
      </c>
      <c r="C30" s="56" t="s">
        <v>31</v>
      </c>
      <c r="D30" s="56" t="s">
        <v>32</v>
      </c>
      <c r="E30" s="56" t="s">
        <v>33</v>
      </c>
      <c r="F30" s="56" t="s">
        <v>34</v>
      </c>
      <c r="G30" s="56" t="s">
        <v>35</v>
      </c>
      <c r="H30" s="56" t="s">
        <v>36</v>
      </c>
      <c r="I30" s="56" t="s">
        <v>37</v>
      </c>
      <c r="J30" s="56" t="s">
        <v>38</v>
      </c>
      <c r="K30" s="56" t="s">
        <v>39</v>
      </c>
      <c r="L30" s="56" t="s">
        <v>40</v>
      </c>
      <c r="M30" s="56" t="s">
        <v>41</v>
      </c>
      <c r="N30" s="56" t="s">
        <v>42</v>
      </c>
      <c r="O30" s="56" t="s">
        <v>43</v>
      </c>
      <c r="P30" s="56" t="s">
        <v>44</v>
      </c>
      <c r="Q30" s="56" t="s">
        <v>45</v>
      </c>
      <c r="R30" s="56" t="s">
        <v>46</v>
      </c>
      <c r="S30" s="56" t="s">
        <v>47</v>
      </c>
      <c r="T30" s="56" t="s">
        <v>48</v>
      </c>
      <c r="U30" s="56" t="s">
        <v>49</v>
      </c>
      <c r="V30" s="56" t="s">
        <v>50</v>
      </c>
      <c r="W30" s="56" t="s">
        <v>51</v>
      </c>
      <c r="X30" s="56" t="s">
        <v>52</v>
      </c>
      <c r="Y30" s="56" t="s">
        <v>53</v>
      </c>
      <c r="Z30" s="56" t="s">
        <v>54</v>
      </c>
      <c r="AA30" s="56" t="s">
        <v>55</v>
      </c>
      <c r="AB30" s="56" t="s">
        <v>56</v>
      </c>
      <c r="AC30" s="56" t="s">
        <v>57</v>
      </c>
      <c r="AD30" s="60" t="s">
        <v>58</v>
      </c>
      <c r="AE30" s="60" t="s">
        <v>59</v>
      </c>
      <c r="AF30" s="60" t="s">
        <v>60</v>
      </c>
      <c r="AG30" s="18"/>
      <c r="AH30" s="59" t="s">
        <v>24</v>
      </c>
      <c r="AI30" s="40" t="s">
        <v>27</v>
      </c>
      <c r="AJ30" s="41" t="s">
        <v>80</v>
      </c>
      <c r="AK30" s="41"/>
      <c r="AL30" s="42" t="s">
        <v>70</v>
      </c>
      <c r="AM30" s="43" t="s">
        <v>81</v>
      </c>
      <c r="AN30" s="43"/>
      <c r="AO30" s="44" t="s">
        <v>25</v>
      </c>
      <c r="AP30" s="45" t="s">
        <v>67</v>
      </c>
      <c r="AQ30" s="31" t="s">
        <v>84</v>
      </c>
      <c r="AR30" s="31"/>
      <c r="AS30" s="46" t="s">
        <v>68</v>
      </c>
      <c r="AT30" s="34" t="s">
        <v>83</v>
      </c>
      <c r="AU30" s="34"/>
      <c r="AV30" s="58" t="s">
        <v>1</v>
      </c>
      <c r="AW30" s="58" t="s">
        <v>87</v>
      </c>
    </row>
    <row r="31" spans="1:49" hidden="1" x14ac:dyDescent="0.3">
      <c r="A31" s="48" t="s">
        <v>61</v>
      </c>
      <c r="B31" s="50"/>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18"/>
      <c r="AH31" s="48" t="s">
        <v>61</v>
      </c>
      <c r="AI31" s="51">
        <f>COUNTIF(Mars16[[#This Row],[1]:[31]],AI$6)</f>
        <v>0</v>
      </c>
      <c r="AJ31" s="51">
        <f>COUNTIF(Mars16[[#This Row],[1]:[31]],AJ$6)/2</f>
        <v>0</v>
      </c>
      <c r="AK31" s="51"/>
      <c r="AL31" s="51">
        <f>COUNTIF(Mars16[[#This Row],[1]:[31]],AL$6)</f>
        <v>0</v>
      </c>
      <c r="AM31" s="51">
        <f>COUNTIF(Mars16[[#This Row],[1]:[31]],AM$6)/2</f>
        <v>0</v>
      </c>
      <c r="AN31" s="51"/>
      <c r="AO31" s="51">
        <f>COUNTIF(Mars16[[#This Row],[1]:[31]],AO$6)</f>
        <v>0</v>
      </c>
      <c r="AP31" s="51">
        <f>COUNTIF(Mars16[[#This Row],[1]:[31]],AP$6)</f>
        <v>0</v>
      </c>
      <c r="AQ31" s="51">
        <f>COUNTIF(Mars16[[#This Row],[1]:[31]],AQ$6)/2</f>
        <v>0</v>
      </c>
      <c r="AR31" s="51"/>
      <c r="AS31" s="51">
        <f>COUNTIF(Mars16[[#This Row],[1]:[31]],AS$6)</f>
        <v>0</v>
      </c>
      <c r="AT31" s="51">
        <f>COUNTIF(Mars16[[#This Row],[1]:[31]],AT$6)/2</f>
        <v>0</v>
      </c>
      <c r="AU31" s="66"/>
      <c r="AV31" s="52">
        <f>SUM(AI31:AQ31)</f>
        <v>0</v>
      </c>
      <c r="AW31" s="52">
        <f>COUNTA(V19,AF19,W19,X19,Y19,Z19,AA19,AB19,AC19,AD19,AE19,B31:U31)</f>
        <v>0</v>
      </c>
    </row>
    <row r="32" spans="1:49" hidden="1" x14ac:dyDescent="0.3">
      <c r="A32" s="48" t="s">
        <v>62</v>
      </c>
      <c r="B32" s="50"/>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18"/>
      <c r="AH32" s="48" t="s">
        <v>62</v>
      </c>
      <c r="AI32" s="51">
        <f>COUNTIF(Mars16[[#This Row],[1]:[31]],AI$6)</f>
        <v>0</v>
      </c>
      <c r="AJ32" s="51">
        <f>COUNTIF(Mars16[[#This Row],[1]:[31]],AJ$6)/2</f>
        <v>0</v>
      </c>
      <c r="AK32" s="51"/>
      <c r="AL32" s="51">
        <f>COUNTIF(Mars16[[#This Row],[1]:[31]],AL$6)</f>
        <v>0</v>
      </c>
      <c r="AM32" s="51">
        <f>COUNTIF(Mars16[[#This Row],[1]:[31]],AM$6)/2</f>
        <v>0</v>
      </c>
      <c r="AN32" s="51"/>
      <c r="AO32" s="51">
        <f>COUNTIF(Mars16[[#This Row],[1]:[31]],AO$6)</f>
        <v>0</v>
      </c>
      <c r="AP32" s="51">
        <f>COUNTIF(Mars16[[#This Row],[1]:[31]],AP$6)</f>
        <v>0</v>
      </c>
      <c r="AQ32" s="51">
        <f>COUNTIF(Mars16[[#This Row],[1]:[31]],AQ$6)</f>
        <v>0</v>
      </c>
      <c r="AR32" s="51"/>
      <c r="AS32" s="51">
        <f>COUNTIF(Mars16[[#This Row],[1]:[31]],AS$6)</f>
        <v>0</v>
      </c>
      <c r="AT32" s="51">
        <f>COUNTIF(Mars16[[#This Row],[1]:[31]],AT$6)/2</f>
        <v>0</v>
      </c>
      <c r="AU32" s="66"/>
      <c r="AV32" s="54">
        <f t="shared" ref="AV32:AV36" si="6">SUM(AI32:AQ32)</f>
        <v>0</v>
      </c>
      <c r="AW32" s="54">
        <f t="shared" ref="AW32:AW36" si="7">COUNTA(V20,AF20,W20,X20,Y20,Z20,AA20,AB20,AC20,AD20,AE20,B32:U32)</f>
        <v>0</v>
      </c>
    </row>
    <row r="33" spans="1:49" hidden="1" x14ac:dyDescent="0.3">
      <c r="A33" s="48" t="s">
        <v>63</v>
      </c>
      <c r="B33" s="50"/>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18"/>
      <c r="AH33" s="48" t="s">
        <v>63</v>
      </c>
      <c r="AI33" s="51">
        <f>COUNTIF(Mars16[[#This Row],[1]:[31]],AI$6)</f>
        <v>0</v>
      </c>
      <c r="AJ33" s="51">
        <f>COUNTIF(Mars16[[#This Row],[1]:[31]],AJ$6)/2</f>
        <v>0</v>
      </c>
      <c r="AK33" s="51"/>
      <c r="AL33" s="51">
        <f>COUNTIF(Mars16[[#This Row],[1]:[31]],AL$6)</f>
        <v>0</v>
      </c>
      <c r="AM33" s="51">
        <f>COUNTIF(Mars16[[#This Row],[1]:[31]],AM$6)/2</f>
        <v>0</v>
      </c>
      <c r="AN33" s="51"/>
      <c r="AO33" s="51">
        <f>COUNTIF(Mars16[[#This Row],[1]:[31]],AO$6)</f>
        <v>0</v>
      </c>
      <c r="AP33" s="51">
        <f>COUNTIF(Mars16[[#This Row],[1]:[31]],AP$6)</f>
        <v>0</v>
      </c>
      <c r="AQ33" s="51">
        <f>COUNTIF(Mars16[[#This Row],[1]:[31]],AQ$6)</f>
        <v>0</v>
      </c>
      <c r="AR33" s="51"/>
      <c r="AS33" s="51">
        <f>COUNTIF(Mars16[[#This Row],[1]:[31]],AS$6)</f>
        <v>0</v>
      </c>
      <c r="AT33" s="51">
        <f>COUNTIF(Mars16[[#This Row],[1]:[31]],AT$6)/2</f>
        <v>0</v>
      </c>
      <c r="AU33" s="66"/>
      <c r="AV33" s="52">
        <f t="shared" si="6"/>
        <v>0</v>
      </c>
      <c r="AW33" s="52">
        <f t="shared" si="7"/>
        <v>0</v>
      </c>
    </row>
    <row r="34" spans="1:49" hidden="1" x14ac:dyDescent="0.3">
      <c r="A34" s="48" t="s">
        <v>64</v>
      </c>
      <c r="B34" s="5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18"/>
      <c r="AH34" s="48" t="s">
        <v>64</v>
      </c>
      <c r="AI34" s="51">
        <f>COUNTIF(Mars16[[#This Row],[1]:[31]],AI$6)</f>
        <v>0</v>
      </c>
      <c r="AJ34" s="51">
        <f>COUNTIF(Mars16[[#This Row],[1]:[31]],AJ$6)/2</f>
        <v>0</v>
      </c>
      <c r="AK34" s="51"/>
      <c r="AL34" s="51">
        <f>COUNTIF(Mars16[[#This Row],[1]:[31]],AL$6)</f>
        <v>0</v>
      </c>
      <c r="AM34" s="51">
        <f>COUNTIF(Mars16[[#This Row],[1]:[31]],AM$6)/2</f>
        <v>0</v>
      </c>
      <c r="AN34" s="51"/>
      <c r="AO34" s="51">
        <f>COUNTIF(Mars16[[#This Row],[1]:[31]],AO$6)</f>
        <v>0</v>
      </c>
      <c r="AP34" s="51">
        <f>COUNTIF(Mars16[[#This Row],[1]:[31]],AP$6)</f>
        <v>0</v>
      </c>
      <c r="AQ34" s="51">
        <f>COUNTIF(Mars16[[#This Row],[1]:[31]],AQ$6)</f>
        <v>0</v>
      </c>
      <c r="AR34" s="51"/>
      <c r="AS34" s="51">
        <f>COUNTIF(Mars16[[#This Row],[1]:[31]],AS$6)</f>
        <v>0</v>
      </c>
      <c r="AT34" s="51">
        <f>COUNTIF(Mars16[[#This Row],[1]:[31]],AT$6)/2</f>
        <v>0</v>
      </c>
      <c r="AU34" s="66"/>
      <c r="AV34" s="54">
        <f t="shared" si="6"/>
        <v>0</v>
      </c>
      <c r="AW34" s="54">
        <f t="shared" si="7"/>
        <v>0</v>
      </c>
    </row>
    <row r="35" spans="1:49" hidden="1" x14ac:dyDescent="0.3">
      <c r="A35" s="48" t="s">
        <v>65</v>
      </c>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18"/>
      <c r="AH35" s="48" t="s">
        <v>65</v>
      </c>
      <c r="AI35" s="51">
        <f>COUNTIF(Mars16[[#This Row],[1]:[31]],AI$6)</f>
        <v>0</v>
      </c>
      <c r="AJ35" s="51">
        <f>COUNTIF(Mars16[[#This Row],[1]:[31]],AJ$6)/2</f>
        <v>0</v>
      </c>
      <c r="AK35" s="51"/>
      <c r="AL35" s="51">
        <f>COUNTIF(Mars16[[#This Row],[1]:[31]],AL$6)</f>
        <v>0</v>
      </c>
      <c r="AM35" s="51">
        <f>COUNTIF(Mars16[[#This Row],[1]:[31]],AM$6)/2</f>
        <v>0</v>
      </c>
      <c r="AN35" s="51"/>
      <c r="AO35" s="51">
        <f>COUNTIF(Mars16[[#This Row],[1]:[31]],AO$6)</f>
        <v>0</v>
      </c>
      <c r="AP35" s="51">
        <f>COUNTIF(Mars16[[#This Row],[1]:[31]],AP$6)</f>
        <v>0</v>
      </c>
      <c r="AQ35" s="51">
        <f>COUNTIF(Mars16[[#This Row],[1]:[31]],AQ$6)</f>
        <v>0</v>
      </c>
      <c r="AR35" s="51"/>
      <c r="AS35" s="51">
        <f>COUNTIF(Mars16[[#This Row],[1]:[31]],AS$6)</f>
        <v>0</v>
      </c>
      <c r="AT35" s="51">
        <f>COUNTIF(Mars16[[#This Row],[1]:[31]],AT$6)/2</f>
        <v>0</v>
      </c>
      <c r="AU35" s="66"/>
      <c r="AV35" s="52">
        <f t="shared" si="6"/>
        <v>0</v>
      </c>
      <c r="AW35" s="52">
        <f t="shared" si="7"/>
        <v>0</v>
      </c>
    </row>
    <row r="36" spans="1:49" ht="17.25" hidden="1" thickBot="1" x14ac:dyDescent="0.35">
      <c r="A36" s="48" t="s">
        <v>23</v>
      </c>
      <c r="B36" s="5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18"/>
      <c r="AH36" s="48" t="s">
        <v>23</v>
      </c>
      <c r="AI36" s="51">
        <f>COUNTIF(Mars16[[#This Row],[1]:[31]],AI$6)</f>
        <v>0</v>
      </c>
      <c r="AJ36" s="51">
        <f>COUNTIF(Mars16[[#This Row],[1]:[31]],AJ$6)/2</f>
        <v>0</v>
      </c>
      <c r="AK36" s="51"/>
      <c r="AL36" s="51">
        <f>COUNTIF(Mars16[[#This Row],[1]:[31]],AL$6)</f>
        <v>0</v>
      </c>
      <c r="AM36" s="51">
        <f>COUNTIF(Mars16[[#This Row],[1]:[31]],AM$6)/2</f>
        <v>0</v>
      </c>
      <c r="AN36" s="51"/>
      <c r="AO36" s="51">
        <f>COUNTIF(Mars16[[#This Row],[1]:[31]],AO$6)</f>
        <v>0</v>
      </c>
      <c r="AP36" s="51">
        <f>COUNTIF(Mars16[[#This Row],[1]:[31]],AP$6)</f>
        <v>0</v>
      </c>
      <c r="AQ36" s="51">
        <f>COUNTIF(Mars16[[#This Row],[1]:[31]],AQ$6)</f>
        <v>0</v>
      </c>
      <c r="AR36" s="51"/>
      <c r="AS36" s="51">
        <f>COUNTIF(Mars16[[#This Row],[1]:[31]],AS$6)</f>
        <v>0</v>
      </c>
      <c r="AT36" s="51">
        <f>COUNTIF(Mars16[[#This Row],[1]:[31]],AT$6)/2</f>
        <v>0</v>
      </c>
      <c r="AU36" s="69"/>
      <c r="AV36" s="55">
        <f t="shared" si="6"/>
        <v>0</v>
      </c>
      <c r="AW36" s="55">
        <f t="shared" si="7"/>
        <v>0</v>
      </c>
    </row>
    <row r="37" spans="1:49" hidden="1" x14ac:dyDescent="0.3"/>
    <row r="38" spans="1:49" s="18" customFormat="1" ht="14.25" hidden="1" thickBot="1" x14ac:dyDescent="0.3">
      <c r="A38" s="19" t="s">
        <v>79</v>
      </c>
      <c r="B38" s="20" t="s">
        <v>27</v>
      </c>
      <c r="C38" s="21" t="s">
        <v>76</v>
      </c>
      <c r="E38" s="22" t="s">
        <v>80</v>
      </c>
      <c r="F38" s="23" t="s">
        <v>77</v>
      </c>
      <c r="G38" s="23"/>
      <c r="H38" s="24" t="s">
        <v>70</v>
      </c>
      <c r="I38" s="25" t="s">
        <v>3</v>
      </c>
      <c r="J38" s="23"/>
      <c r="K38" s="26" t="s">
        <v>81</v>
      </c>
      <c r="L38" s="27" t="s">
        <v>78</v>
      </c>
      <c r="M38" s="23"/>
      <c r="N38" s="28" t="s">
        <v>25</v>
      </c>
      <c r="O38" s="25" t="s">
        <v>28</v>
      </c>
      <c r="P38" s="25"/>
      <c r="Q38" s="29" t="s">
        <v>67</v>
      </c>
      <c r="R38" s="30" t="s">
        <v>66</v>
      </c>
      <c r="S38" s="30"/>
      <c r="T38" s="31" t="s">
        <v>84</v>
      </c>
      <c r="U38" s="23" t="s">
        <v>85</v>
      </c>
      <c r="V38" s="23"/>
      <c r="W38" s="23"/>
      <c r="X38" s="32" t="s">
        <v>68</v>
      </c>
      <c r="Y38" s="33" t="s">
        <v>69</v>
      </c>
      <c r="Z38" s="33"/>
      <c r="AA38" s="34" t="s">
        <v>83</v>
      </c>
      <c r="AB38" s="33" t="s">
        <v>86</v>
      </c>
      <c r="AC38" s="33"/>
      <c r="AD38" s="33"/>
      <c r="AE38" s="33"/>
      <c r="AF38" s="33"/>
      <c r="AH38" s="19" t="s">
        <v>79</v>
      </c>
    </row>
    <row r="39" spans="1:49" hidden="1" x14ac:dyDescent="0.3">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H39" s="11"/>
    </row>
    <row r="40" spans="1:49" ht="30" hidden="1" thickBot="1" x14ac:dyDescent="0.35">
      <c r="A40" s="17" t="s">
        <v>12</v>
      </c>
      <c r="B40" s="140" t="s">
        <v>29</v>
      </c>
      <c r="C40" s="140"/>
      <c r="D40" s="140"/>
      <c r="E40" s="140"/>
      <c r="F40" s="140"/>
      <c r="G40" s="140"/>
      <c r="H40" s="140"/>
      <c r="I40" s="140"/>
      <c r="J40" s="140"/>
      <c r="K40" s="140"/>
      <c r="L40" s="140"/>
      <c r="M40" s="140"/>
      <c r="N40" s="140"/>
      <c r="O40" s="140"/>
      <c r="P40" s="140"/>
      <c r="Q40" s="140"/>
      <c r="R40" s="140"/>
      <c r="S40" s="140"/>
      <c r="T40" s="140"/>
      <c r="U40" s="140"/>
      <c r="V40" s="140"/>
      <c r="W40" s="140"/>
      <c r="X40" s="140"/>
      <c r="Y40" s="140"/>
      <c r="Z40" s="140"/>
      <c r="AA40" s="140"/>
      <c r="AB40" s="140"/>
      <c r="AC40" s="140"/>
      <c r="AD40" s="140"/>
      <c r="AE40" s="140"/>
      <c r="AF40" s="140"/>
      <c r="AG40" s="17"/>
      <c r="AH40" s="17" t="s">
        <v>12</v>
      </c>
      <c r="AI40" s="17"/>
      <c r="AJ40" s="17"/>
      <c r="AK40" s="17"/>
      <c r="AL40" s="17"/>
      <c r="AM40" s="17"/>
      <c r="AN40" s="17"/>
      <c r="AO40" s="17"/>
      <c r="AP40" s="17"/>
      <c r="AQ40" s="17"/>
      <c r="AR40" s="17"/>
      <c r="AS40" s="17"/>
      <c r="AT40" s="17"/>
      <c r="AU40" s="17"/>
      <c r="AV40" s="17"/>
      <c r="AW40" s="17"/>
    </row>
    <row r="41" spans="1:49" ht="18" hidden="1" thickTop="1" thickBot="1" x14ac:dyDescent="0.35">
      <c r="A41" s="35">
        <v>4</v>
      </c>
      <c r="B41" s="36" t="str">
        <f t="shared" ref="B41:AE41" si="8">TEXT(WEEKDAY(DATE(AnnéeCalendrier,$A$41,B$42),1),"jjj")</f>
        <v>dim</v>
      </c>
      <c r="C41" s="36" t="str">
        <f t="shared" si="8"/>
        <v>lun</v>
      </c>
      <c r="D41" s="36" t="str">
        <f t="shared" si="8"/>
        <v>mar</v>
      </c>
      <c r="E41" s="36" t="str">
        <f t="shared" si="8"/>
        <v>mer</v>
      </c>
      <c r="F41" s="36" t="str">
        <f t="shared" si="8"/>
        <v>jeu</v>
      </c>
      <c r="G41" s="36" t="str">
        <f t="shared" si="8"/>
        <v>ven</v>
      </c>
      <c r="H41" s="36" t="str">
        <f t="shared" si="8"/>
        <v>sam</v>
      </c>
      <c r="I41" s="36" t="str">
        <f t="shared" si="8"/>
        <v>dim</v>
      </c>
      <c r="J41" s="36" t="str">
        <f t="shared" si="8"/>
        <v>lun</v>
      </c>
      <c r="K41" s="36" t="str">
        <f t="shared" si="8"/>
        <v>mar</v>
      </c>
      <c r="L41" s="36" t="str">
        <f t="shared" si="8"/>
        <v>mer</v>
      </c>
      <c r="M41" s="36" t="str">
        <f t="shared" si="8"/>
        <v>jeu</v>
      </c>
      <c r="N41" s="36" t="str">
        <f t="shared" si="8"/>
        <v>ven</v>
      </c>
      <c r="O41" s="36" t="str">
        <f t="shared" si="8"/>
        <v>sam</v>
      </c>
      <c r="P41" s="36" t="str">
        <f t="shared" si="8"/>
        <v>dim</v>
      </c>
      <c r="Q41" s="36" t="str">
        <f t="shared" si="8"/>
        <v>lun</v>
      </c>
      <c r="R41" s="36" t="str">
        <f t="shared" si="8"/>
        <v>mar</v>
      </c>
      <c r="S41" s="36" t="str">
        <f t="shared" si="8"/>
        <v>mer</v>
      </c>
      <c r="T41" s="36" t="str">
        <f t="shared" si="8"/>
        <v>jeu</v>
      </c>
      <c r="U41" s="36" t="str">
        <f t="shared" si="8"/>
        <v>ven</v>
      </c>
      <c r="V41" s="36" t="str">
        <f t="shared" si="8"/>
        <v>sam</v>
      </c>
      <c r="W41" s="36" t="str">
        <f t="shared" si="8"/>
        <v>dim</v>
      </c>
      <c r="X41" s="36" t="str">
        <f t="shared" si="8"/>
        <v>lun</v>
      </c>
      <c r="Y41" s="36" t="str">
        <f t="shared" si="8"/>
        <v>mar</v>
      </c>
      <c r="Z41" s="36" t="str">
        <f t="shared" si="8"/>
        <v>mer</v>
      </c>
      <c r="AA41" s="36" t="str">
        <f t="shared" si="8"/>
        <v>jeu</v>
      </c>
      <c r="AB41" s="36" t="str">
        <f t="shared" si="8"/>
        <v>ven</v>
      </c>
      <c r="AC41" s="36" t="str">
        <f t="shared" si="8"/>
        <v>sam</v>
      </c>
      <c r="AD41" s="36" t="str">
        <f t="shared" si="8"/>
        <v>dim</v>
      </c>
      <c r="AE41" s="36" t="str">
        <f t="shared" si="8"/>
        <v>lun</v>
      </c>
      <c r="AF41" s="36"/>
      <c r="AG41" s="18"/>
      <c r="AH41" s="35">
        <v>4</v>
      </c>
      <c r="AI41" s="18"/>
      <c r="AJ41" s="18"/>
      <c r="AK41" s="18"/>
      <c r="AL41" s="18"/>
      <c r="AM41" s="18"/>
      <c r="AN41" s="18"/>
      <c r="AO41" s="18"/>
      <c r="AP41" s="18"/>
      <c r="AQ41" s="18"/>
      <c r="AR41" s="18"/>
      <c r="AS41" s="18"/>
      <c r="AT41" s="18"/>
      <c r="AU41" s="18"/>
      <c r="AV41" s="18"/>
      <c r="AW41" s="18"/>
    </row>
    <row r="42" spans="1:49" hidden="1" x14ac:dyDescent="0.3">
      <c r="A42" s="59" t="s">
        <v>24</v>
      </c>
      <c r="B42" s="56" t="s">
        <v>30</v>
      </c>
      <c r="C42" s="56" t="s">
        <v>31</v>
      </c>
      <c r="D42" s="56" t="s">
        <v>32</v>
      </c>
      <c r="E42" s="56" t="s">
        <v>33</v>
      </c>
      <c r="F42" s="56" t="s">
        <v>34</v>
      </c>
      <c r="G42" s="56" t="s">
        <v>35</v>
      </c>
      <c r="H42" s="56" t="s">
        <v>36</v>
      </c>
      <c r="I42" s="56" t="s">
        <v>37</v>
      </c>
      <c r="J42" s="56" t="s">
        <v>38</v>
      </c>
      <c r="K42" s="56" t="s">
        <v>39</v>
      </c>
      <c r="L42" s="56" t="s">
        <v>40</v>
      </c>
      <c r="M42" s="56" t="s">
        <v>41</v>
      </c>
      <c r="N42" s="56" t="s">
        <v>42</v>
      </c>
      <c r="O42" s="56" t="s">
        <v>43</v>
      </c>
      <c r="P42" s="56" t="s">
        <v>44</v>
      </c>
      <c r="Q42" s="56" t="s">
        <v>45</v>
      </c>
      <c r="R42" s="56" t="s">
        <v>46</v>
      </c>
      <c r="S42" s="56" t="s">
        <v>47</v>
      </c>
      <c r="T42" s="56" t="s">
        <v>48</v>
      </c>
      <c r="U42" s="56" t="s">
        <v>49</v>
      </c>
      <c r="V42" s="56" t="s">
        <v>50</v>
      </c>
      <c r="W42" s="56" t="s">
        <v>51</v>
      </c>
      <c r="X42" s="56" t="s">
        <v>52</v>
      </c>
      <c r="Y42" s="56" t="s">
        <v>53</v>
      </c>
      <c r="Z42" s="56" t="s">
        <v>54</v>
      </c>
      <c r="AA42" s="56" t="s">
        <v>55</v>
      </c>
      <c r="AB42" s="56" t="s">
        <v>56</v>
      </c>
      <c r="AC42" s="56" t="s">
        <v>57</v>
      </c>
      <c r="AD42" s="60" t="s">
        <v>58</v>
      </c>
      <c r="AE42" s="60" t="s">
        <v>59</v>
      </c>
      <c r="AF42" s="57" t="s">
        <v>60</v>
      </c>
      <c r="AG42" s="18"/>
      <c r="AH42" s="59" t="s">
        <v>24</v>
      </c>
      <c r="AI42" s="40" t="s">
        <v>27</v>
      </c>
      <c r="AJ42" s="41" t="s">
        <v>80</v>
      </c>
      <c r="AK42" s="41"/>
      <c r="AL42" s="42" t="s">
        <v>70</v>
      </c>
      <c r="AM42" s="43" t="s">
        <v>81</v>
      </c>
      <c r="AN42" s="43"/>
      <c r="AO42" s="44" t="s">
        <v>25</v>
      </c>
      <c r="AP42" s="45" t="s">
        <v>67</v>
      </c>
      <c r="AQ42" s="31" t="s">
        <v>84</v>
      </c>
      <c r="AR42" s="31"/>
      <c r="AS42" s="46" t="s">
        <v>68</v>
      </c>
      <c r="AT42" s="34" t="s">
        <v>83</v>
      </c>
      <c r="AU42" s="34"/>
      <c r="AV42" s="58" t="s">
        <v>1</v>
      </c>
      <c r="AW42" s="58" t="s">
        <v>87</v>
      </c>
    </row>
    <row r="43" spans="1:49" hidden="1" x14ac:dyDescent="0.3">
      <c r="A43" s="48" t="s">
        <v>61</v>
      </c>
      <c r="B43" s="50"/>
      <c r="C43" s="50"/>
      <c r="D43" s="50"/>
      <c r="E43" s="50"/>
      <c r="F43" s="50"/>
      <c r="G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18"/>
      <c r="AH43" s="48" t="s">
        <v>61</v>
      </c>
      <c r="AI43" s="51">
        <f>COUNTIF(Avril17[[#This Row],[1]:[31]],AI$6)</f>
        <v>0</v>
      </c>
      <c r="AJ43" s="51">
        <f>COUNTIF(Avril17[[#This Row],[1]:[31]],AJ$6)/2</f>
        <v>0</v>
      </c>
      <c r="AK43" s="51"/>
      <c r="AL43" s="51">
        <f>COUNTIF(Avril17[[#This Row],[1]:[31]],AL$6)</f>
        <v>0</v>
      </c>
      <c r="AM43" s="51">
        <f>COUNTIF(Avril17[[#This Row],[1]:[31]],AM$6)/2</f>
        <v>0</v>
      </c>
      <c r="AN43" s="51"/>
      <c r="AO43" s="51">
        <f>COUNTIF(Avril17[[#This Row],[1]:[31]],AO$6)</f>
        <v>0</v>
      </c>
      <c r="AP43" s="51">
        <f>COUNTIF(Avril17[[#This Row],[1]:[31]],AP$6)</f>
        <v>0</v>
      </c>
      <c r="AQ43" s="51">
        <f>COUNTIF(Avril17[[#This Row],[1]:[31]],AQ$6)/2</f>
        <v>0</v>
      </c>
      <c r="AR43" s="51"/>
      <c r="AS43" s="51">
        <f>COUNTIF(Avril17[[#This Row],[1]:[31]],AS$6)</f>
        <v>0</v>
      </c>
      <c r="AT43" s="51">
        <f>COUNTIF(Avril17[[#This Row],[1]:[31]],AT$6)/2</f>
        <v>0</v>
      </c>
      <c r="AU43" s="66"/>
      <c r="AV43" s="52">
        <f>SUM(AI43:AQ43)</f>
        <v>0</v>
      </c>
      <c r="AW43" s="52">
        <f>COUNTA(V31,AF31,W31,X31,Y31,Z31,AA31,AB31,AC31,AD31,AE31,B43:U43)</f>
        <v>0</v>
      </c>
    </row>
    <row r="44" spans="1:49" hidden="1" x14ac:dyDescent="0.3">
      <c r="A44" s="48" t="s">
        <v>62</v>
      </c>
      <c r="B44" s="50"/>
      <c r="C44" s="50"/>
      <c r="D44" s="50"/>
      <c r="E44" s="50"/>
      <c r="F44" s="50"/>
      <c r="G44" s="50"/>
      <c r="H44" s="50"/>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18"/>
      <c r="AH44" s="48" t="s">
        <v>62</v>
      </c>
      <c r="AI44" s="51">
        <f>COUNTIF(Avril17[[#This Row],[1]:[31]],AI$6)</f>
        <v>0</v>
      </c>
      <c r="AJ44" s="51">
        <f>COUNTIF(Avril17[[#This Row],[1]:[31]],AJ$6)/2</f>
        <v>0</v>
      </c>
      <c r="AK44" s="51"/>
      <c r="AL44" s="51">
        <f>COUNTIF(Avril17[[#This Row],[1]:[31]],AL$6)</f>
        <v>0</v>
      </c>
      <c r="AM44" s="51">
        <f>COUNTIF(Avril17[[#This Row],[1]:[31]],AM$6)/2</f>
        <v>0</v>
      </c>
      <c r="AN44" s="51"/>
      <c r="AO44" s="51">
        <f>COUNTIF(Avril17[[#This Row],[1]:[31]],AO$6)</f>
        <v>0</v>
      </c>
      <c r="AP44" s="51">
        <f>COUNTIF(Avril17[[#This Row],[1]:[31]],AP$6)</f>
        <v>0</v>
      </c>
      <c r="AQ44" s="51">
        <f>COUNTIF(Avril17[[#This Row],[1]:[31]],AQ$6)/2</f>
        <v>0</v>
      </c>
      <c r="AR44" s="51"/>
      <c r="AS44" s="51">
        <f>COUNTIF(Avril17[[#This Row],[1]:[31]],AS$6)</f>
        <v>0</v>
      </c>
      <c r="AT44" s="51">
        <f>COUNTIF(Avril17[[#This Row],[1]:[31]],AT$6)/2</f>
        <v>0</v>
      </c>
      <c r="AU44" s="66"/>
      <c r="AV44" s="54">
        <f t="shared" ref="AV44:AV48" si="9">SUM(AI44:AQ44)</f>
        <v>0</v>
      </c>
      <c r="AW44" s="54">
        <f t="shared" ref="AW44:AW48" si="10">COUNTA(V32,AF32,W32,X32,Y32,Z32,AA32,AB32,AC32,AD32,AE32,B44:U44)</f>
        <v>0</v>
      </c>
    </row>
    <row r="45" spans="1:49" hidden="1" x14ac:dyDescent="0.3">
      <c r="A45" s="48" t="s">
        <v>63</v>
      </c>
      <c r="B45" s="50"/>
      <c r="C45" s="50"/>
      <c r="D45" s="50"/>
      <c r="E45" s="50"/>
      <c r="F45" s="50"/>
      <c r="G45" s="50"/>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18"/>
      <c r="AH45" s="48" t="s">
        <v>63</v>
      </c>
      <c r="AI45" s="51">
        <f>COUNTIF(Avril17[[#This Row],[1]:[31]],AI$6)</f>
        <v>0</v>
      </c>
      <c r="AJ45" s="51">
        <f>COUNTIF(Avril17[[#This Row],[1]:[31]],AJ$6)/2</f>
        <v>0</v>
      </c>
      <c r="AK45" s="51"/>
      <c r="AL45" s="51">
        <f>COUNTIF(Avril17[[#This Row],[1]:[31]],AL$6)</f>
        <v>0</v>
      </c>
      <c r="AM45" s="51">
        <f>COUNTIF(Avril17[[#This Row],[1]:[31]],AM$6)/2</f>
        <v>0</v>
      </c>
      <c r="AN45" s="51"/>
      <c r="AO45" s="51">
        <f>COUNTIF(Avril17[[#This Row],[1]:[31]],AO$6)</f>
        <v>0</v>
      </c>
      <c r="AP45" s="51">
        <f>COUNTIF(Avril17[[#This Row],[1]:[31]],AP$6)</f>
        <v>0</v>
      </c>
      <c r="AQ45" s="51">
        <f>COUNTIF(Avril17[[#This Row],[1]:[31]],AQ$6)/2</f>
        <v>0</v>
      </c>
      <c r="AR45" s="51"/>
      <c r="AS45" s="51">
        <f>COUNTIF(Avril17[[#This Row],[1]:[31]],AS$6)</f>
        <v>0</v>
      </c>
      <c r="AT45" s="51">
        <f>COUNTIF(Avril17[[#This Row],[1]:[31]],AT$6)/2</f>
        <v>0</v>
      </c>
      <c r="AU45" s="66"/>
      <c r="AV45" s="52">
        <f t="shared" si="9"/>
        <v>0</v>
      </c>
      <c r="AW45" s="52">
        <f t="shared" si="10"/>
        <v>0</v>
      </c>
    </row>
    <row r="46" spans="1:49" hidden="1" x14ac:dyDescent="0.3">
      <c r="A46" s="48" t="s">
        <v>64</v>
      </c>
      <c r="B46" s="50"/>
      <c r="C46" s="50"/>
      <c r="D46" s="50"/>
      <c r="E46" s="50"/>
      <c r="F46" s="50"/>
      <c r="G46" s="50"/>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18"/>
      <c r="AH46" s="48" t="s">
        <v>64</v>
      </c>
      <c r="AI46" s="51">
        <f>COUNTIF(Avril17[[#This Row],[1]:[31]],AI$6)</f>
        <v>0</v>
      </c>
      <c r="AJ46" s="51">
        <f>COUNTIF(Avril17[[#This Row],[1]:[31]],AJ$6)/2</f>
        <v>0</v>
      </c>
      <c r="AK46" s="51"/>
      <c r="AL46" s="51">
        <f>COUNTIF(Avril17[[#This Row],[1]:[31]],AL$6)</f>
        <v>0</v>
      </c>
      <c r="AM46" s="51">
        <f>COUNTIF(Avril17[[#This Row],[1]:[31]],AM$6)/2</f>
        <v>0</v>
      </c>
      <c r="AN46" s="51"/>
      <c r="AO46" s="51">
        <f>COUNTIF(Avril17[[#This Row],[1]:[31]],AO$6)</f>
        <v>0</v>
      </c>
      <c r="AP46" s="51">
        <f>COUNTIF(Avril17[[#This Row],[1]:[31]],AP$6)</f>
        <v>0</v>
      </c>
      <c r="AQ46" s="51">
        <f>COUNTIF(Avril17[[#This Row],[1]:[31]],AQ$6)/2</f>
        <v>0</v>
      </c>
      <c r="AR46" s="51"/>
      <c r="AS46" s="51">
        <f>COUNTIF(Avril17[[#This Row],[1]:[31]],AS$6)</f>
        <v>0</v>
      </c>
      <c r="AT46" s="51">
        <f>COUNTIF(Avril17[[#This Row],[1]:[31]],AT$6)/2</f>
        <v>0</v>
      </c>
      <c r="AU46" s="66"/>
      <c r="AV46" s="54">
        <f t="shared" si="9"/>
        <v>0</v>
      </c>
      <c r="AW46" s="54">
        <f t="shared" si="10"/>
        <v>0</v>
      </c>
    </row>
    <row r="47" spans="1:49" hidden="1" x14ac:dyDescent="0.3">
      <c r="A47" s="48" t="s">
        <v>65</v>
      </c>
      <c r="B47" s="50"/>
      <c r="C47" s="50"/>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18"/>
      <c r="AH47" s="48" t="s">
        <v>65</v>
      </c>
      <c r="AI47" s="51">
        <f>COUNTIF(Avril17[[#This Row],[1]:[31]],AI$6)</f>
        <v>0</v>
      </c>
      <c r="AJ47" s="51">
        <f>COUNTIF(Avril17[[#This Row],[1]:[31]],AJ$6)/2</f>
        <v>0</v>
      </c>
      <c r="AK47" s="51"/>
      <c r="AL47" s="51">
        <f>COUNTIF(Avril17[[#This Row],[1]:[31]],AL$6)</f>
        <v>0</v>
      </c>
      <c r="AM47" s="51">
        <f>COUNTIF(Avril17[[#This Row],[1]:[31]],AM$6)/2</f>
        <v>0</v>
      </c>
      <c r="AN47" s="51"/>
      <c r="AO47" s="51">
        <f>COUNTIF(Avril17[[#This Row],[1]:[31]],AO$6)</f>
        <v>0</v>
      </c>
      <c r="AP47" s="51">
        <f>COUNTIF(Avril17[[#This Row],[1]:[31]],AP$6)</f>
        <v>0</v>
      </c>
      <c r="AQ47" s="51">
        <f>COUNTIF(Avril17[[#This Row],[1]:[31]],AQ$6)/2</f>
        <v>0</v>
      </c>
      <c r="AR47" s="51"/>
      <c r="AS47" s="51">
        <f>COUNTIF(Avril17[[#This Row],[1]:[31]],AS$6)</f>
        <v>0</v>
      </c>
      <c r="AT47" s="51">
        <f>COUNTIF(Avril17[[#This Row],[1]:[31]],AT$6)/2</f>
        <v>0</v>
      </c>
      <c r="AU47" s="66"/>
      <c r="AV47" s="52">
        <f t="shared" si="9"/>
        <v>0</v>
      </c>
      <c r="AW47" s="52">
        <f t="shared" si="10"/>
        <v>0</v>
      </c>
    </row>
    <row r="48" spans="1:49" ht="17.25" hidden="1" thickBot="1" x14ac:dyDescent="0.35">
      <c r="A48" s="48" t="s">
        <v>23</v>
      </c>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18"/>
      <c r="AH48" s="48" t="s">
        <v>23</v>
      </c>
      <c r="AI48" s="51">
        <f>COUNTIF(Avril17[[#This Row],[1]:[31]],AI$6)</f>
        <v>0</v>
      </c>
      <c r="AJ48" s="51">
        <f>COUNTIF(Avril17[[#This Row],[1]:[31]],AJ$6)/2</f>
        <v>0</v>
      </c>
      <c r="AK48" s="51"/>
      <c r="AL48" s="51">
        <f>COUNTIF(Avril17[[#This Row],[1]:[31]],AL$6)</f>
        <v>0</v>
      </c>
      <c r="AM48" s="51">
        <f>COUNTIF(Avril17[[#This Row],[1]:[31]],AM$6)/2</f>
        <v>0</v>
      </c>
      <c r="AN48" s="51"/>
      <c r="AO48" s="51">
        <f>COUNTIF(Avril17[[#This Row],[1]:[31]],AO$6)</f>
        <v>0</v>
      </c>
      <c r="AP48" s="51">
        <f>COUNTIF(Avril17[[#This Row],[1]:[31]],AP$6)</f>
        <v>0</v>
      </c>
      <c r="AQ48" s="51">
        <f>COUNTIF(Avril17[[#This Row],[1]:[31]],AQ$6)/2</f>
        <v>0</v>
      </c>
      <c r="AR48" s="51"/>
      <c r="AS48" s="51">
        <f>COUNTIF(Avril17[[#This Row],[1]:[31]],AS$6)</f>
        <v>0</v>
      </c>
      <c r="AT48" s="51">
        <f>COUNTIF(Avril17[[#This Row],[1]:[31]],AT$6)/2</f>
        <v>0</v>
      </c>
      <c r="AU48" s="69"/>
      <c r="AV48" s="55">
        <f t="shared" si="9"/>
        <v>0</v>
      </c>
      <c r="AW48" s="55">
        <f t="shared" si="10"/>
        <v>0</v>
      </c>
    </row>
    <row r="49" spans="1:49" hidden="1" x14ac:dyDescent="0.3"/>
    <row r="50" spans="1:49" s="18" customFormat="1" ht="14.25" hidden="1" thickBot="1" x14ac:dyDescent="0.3">
      <c r="A50" s="19" t="s">
        <v>79</v>
      </c>
      <c r="B50" s="20" t="s">
        <v>27</v>
      </c>
      <c r="C50" s="21" t="s">
        <v>76</v>
      </c>
      <c r="E50" s="22" t="s">
        <v>80</v>
      </c>
      <c r="F50" s="23" t="s">
        <v>77</v>
      </c>
      <c r="G50" s="23"/>
      <c r="H50" s="24" t="s">
        <v>70</v>
      </c>
      <c r="I50" s="25" t="s">
        <v>3</v>
      </c>
      <c r="J50" s="23"/>
      <c r="K50" s="26" t="s">
        <v>81</v>
      </c>
      <c r="L50" s="27" t="s">
        <v>78</v>
      </c>
      <c r="M50" s="23"/>
      <c r="N50" s="28" t="s">
        <v>25</v>
      </c>
      <c r="O50" s="25" t="s">
        <v>28</v>
      </c>
      <c r="P50" s="25"/>
      <c r="Q50" s="29" t="s">
        <v>67</v>
      </c>
      <c r="R50" s="30" t="s">
        <v>66</v>
      </c>
      <c r="S50" s="30"/>
      <c r="T50" s="31" t="s">
        <v>84</v>
      </c>
      <c r="U50" s="23" t="s">
        <v>85</v>
      </c>
      <c r="V50" s="23"/>
      <c r="W50" s="23"/>
      <c r="X50" s="32" t="s">
        <v>68</v>
      </c>
      <c r="Y50" s="33" t="s">
        <v>69</v>
      </c>
      <c r="Z50" s="33"/>
      <c r="AA50" s="34" t="s">
        <v>83</v>
      </c>
      <c r="AB50" s="33" t="s">
        <v>86</v>
      </c>
      <c r="AC50" s="33"/>
      <c r="AD50" s="33"/>
      <c r="AE50" s="33"/>
      <c r="AF50" s="33"/>
      <c r="AH50" s="19" t="s">
        <v>79</v>
      </c>
    </row>
    <row r="51" spans="1:49" hidden="1" x14ac:dyDescent="0.3">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H51" s="11"/>
    </row>
    <row r="52" spans="1:49" ht="30" hidden="1" thickBot="1" x14ac:dyDescent="0.35">
      <c r="A52" s="17" t="s">
        <v>13</v>
      </c>
      <c r="B52" s="140" t="s">
        <v>29</v>
      </c>
      <c r="C52" s="140"/>
      <c r="D52" s="140"/>
      <c r="E52" s="140"/>
      <c r="F52" s="140"/>
      <c r="G52" s="140"/>
      <c r="H52" s="140"/>
      <c r="I52" s="140"/>
      <c r="J52" s="140"/>
      <c r="K52" s="140"/>
      <c r="L52" s="140"/>
      <c r="M52" s="140"/>
      <c r="N52" s="140"/>
      <c r="O52" s="140"/>
      <c r="P52" s="140"/>
      <c r="Q52" s="140"/>
      <c r="R52" s="140"/>
      <c r="S52" s="140"/>
      <c r="T52" s="140"/>
      <c r="U52" s="140"/>
      <c r="V52" s="140"/>
      <c r="W52" s="140"/>
      <c r="X52" s="140"/>
      <c r="Y52" s="140"/>
      <c r="Z52" s="140"/>
      <c r="AA52" s="140"/>
      <c r="AB52" s="140"/>
      <c r="AC52" s="140"/>
      <c r="AD52" s="140"/>
      <c r="AE52" s="140"/>
      <c r="AF52" s="140"/>
      <c r="AG52" s="17"/>
      <c r="AH52" s="17" t="s">
        <v>13</v>
      </c>
      <c r="AI52" s="17"/>
      <c r="AJ52" s="17"/>
      <c r="AK52" s="17"/>
      <c r="AL52" s="17"/>
      <c r="AM52" s="17"/>
      <c r="AN52" s="17"/>
      <c r="AO52" s="17"/>
      <c r="AP52" s="17"/>
      <c r="AQ52" s="17"/>
      <c r="AR52" s="17"/>
      <c r="AS52" s="17"/>
      <c r="AT52" s="17"/>
      <c r="AU52" s="17"/>
      <c r="AV52" s="17"/>
      <c r="AW52" s="17"/>
    </row>
    <row r="53" spans="1:49" ht="18" hidden="1" thickTop="1" thickBot="1" x14ac:dyDescent="0.35">
      <c r="A53" s="35">
        <v>5</v>
      </c>
      <c r="B53" s="36" t="str">
        <f t="shared" ref="B53:AF53" si="11">TEXT(WEEKDAY(DATE(AnnéeCalendrier,$A$53,B$54),12),"jjj")</f>
        <v>dim</v>
      </c>
      <c r="C53" s="36" t="str">
        <f t="shared" si="11"/>
        <v>lun</v>
      </c>
      <c r="D53" s="36" t="str">
        <f t="shared" si="11"/>
        <v>mar</v>
      </c>
      <c r="E53" s="36" t="str">
        <f t="shared" si="11"/>
        <v>mer</v>
      </c>
      <c r="F53" s="36" t="str">
        <f t="shared" si="11"/>
        <v>jeu</v>
      </c>
      <c r="G53" s="36" t="str">
        <f t="shared" si="11"/>
        <v>ven</v>
      </c>
      <c r="H53" s="36" t="str">
        <f t="shared" si="11"/>
        <v>sam</v>
      </c>
      <c r="I53" s="36" t="str">
        <f t="shared" si="11"/>
        <v>dim</v>
      </c>
      <c r="J53" s="36" t="str">
        <f t="shared" si="11"/>
        <v>lun</v>
      </c>
      <c r="K53" s="36" t="str">
        <f t="shared" si="11"/>
        <v>mar</v>
      </c>
      <c r="L53" s="36" t="str">
        <f t="shared" si="11"/>
        <v>mer</v>
      </c>
      <c r="M53" s="36" t="str">
        <f t="shared" si="11"/>
        <v>jeu</v>
      </c>
      <c r="N53" s="36" t="str">
        <f t="shared" si="11"/>
        <v>ven</v>
      </c>
      <c r="O53" s="36" t="str">
        <f t="shared" si="11"/>
        <v>sam</v>
      </c>
      <c r="P53" s="36" t="str">
        <f t="shared" si="11"/>
        <v>dim</v>
      </c>
      <c r="Q53" s="36" t="str">
        <f t="shared" si="11"/>
        <v>lun</v>
      </c>
      <c r="R53" s="36" t="str">
        <f t="shared" si="11"/>
        <v>mar</v>
      </c>
      <c r="S53" s="36" t="str">
        <f t="shared" si="11"/>
        <v>mer</v>
      </c>
      <c r="T53" s="36" t="str">
        <f t="shared" si="11"/>
        <v>jeu</v>
      </c>
      <c r="U53" s="36" t="str">
        <f t="shared" si="11"/>
        <v>ven</v>
      </c>
      <c r="V53" s="36" t="str">
        <f t="shared" si="11"/>
        <v>sam</v>
      </c>
      <c r="W53" s="36" t="str">
        <f t="shared" si="11"/>
        <v>dim</v>
      </c>
      <c r="X53" s="36" t="str">
        <f t="shared" si="11"/>
        <v>lun</v>
      </c>
      <c r="Y53" s="36" t="str">
        <f t="shared" si="11"/>
        <v>mar</v>
      </c>
      <c r="Z53" s="36" t="str">
        <f t="shared" si="11"/>
        <v>mer</v>
      </c>
      <c r="AA53" s="36" t="str">
        <f t="shared" si="11"/>
        <v>jeu</v>
      </c>
      <c r="AB53" s="36" t="str">
        <f t="shared" si="11"/>
        <v>ven</v>
      </c>
      <c r="AC53" s="36" t="str">
        <f t="shared" si="11"/>
        <v>sam</v>
      </c>
      <c r="AD53" s="36" t="str">
        <f t="shared" si="11"/>
        <v>dim</v>
      </c>
      <c r="AE53" s="36" t="str">
        <f t="shared" si="11"/>
        <v>lun</v>
      </c>
      <c r="AF53" s="36" t="str">
        <f t="shared" si="11"/>
        <v>mar</v>
      </c>
      <c r="AG53" s="18"/>
      <c r="AH53" s="35">
        <v>5</v>
      </c>
      <c r="AI53" s="18"/>
      <c r="AJ53" s="18"/>
      <c r="AK53" s="18"/>
      <c r="AL53" s="18"/>
      <c r="AM53" s="18"/>
      <c r="AN53" s="18"/>
      <c r="AO53" s="18"/>
      <c r="AP53" s="18"/>
      <c r="AQ53" s="18"/>
      <c r="AR53" s="18"/>
      <c r="AS53" s="18"/>
      <c r="AT53" s="18"/>
      <c r="AU53" s="18"/>
      <c r="AV53" s="18"/>
      <c r="AW53" s="18"/>
    </row>
    <row r="54" spans="1:49" hidden="1" x14ac:dyDescent="0.3">
      <c r="A54" s="59" t="s">
        <v>24</v>
      </c>
      <c r="B54" s="56" t="s">
        <v>30</v>
      </c>
      <c r="C54" s="56" t="s">
        <v>31</v>
      </c>
      <c r="D54" s="56" t="s">
        <v>32</v>
      </c>
      <c r="E54" s="56" t="s">
        <v>33</v>
      </c>
      <c r="F54" s="56" t="s">
        <v>34</v>
      </c>
      <c r="G54" s="56" t="s">
        <v>35</v>
      </c>
      <c r="H54" s="56" t="s">
        <v>36</v>
      </c>
      <c r="I54" s="56" t="s">
        <v>37</v>
      </c>
      <c r="J54" s="56" t="s">
        <v>38</v>
      </c>
      <c r="K54" s="56" t="s">
        <v>39</v>
      </c>
      <c r="L54" s="56" t="s">
        <v>40</v>
      </c>
      <c r="M54" s="56" t="s">
        <v>41</v>
      </c>
      <c r="N54" s="56" t="s">
        <v>42</v>
      </c>
      <c r="O54" s="56" t="s">
        <v>43</v>
      </c>
      <c r="P54" s="56" t="s">
        <v>44</v>
      </c>
      <c r="Q54" s="56" t="s">
        <v>45</v>
      </c>
      <c r="R54" s="56" t="s">
        <v>46</v>
      </c>
      <c r="S54" s="56" t="s">
        <v>47</v>
      </c>
      <c r="T54" s="56" t="s">
        <v>48</v>
      </c>
      <c r="U54" s="56" t="s">
        <v>49</v>
      </c>
      <c r="V54" s="56" t="s">
        <v>50</v>
      </c>
      <c r="W54" s="56" t="s">
        <v>51</v>
      </c>
      <c r="X54" s="56" t="s">
        <v>52</v>
      </c>
      <c r="Y54" s="56" t="s">
        <v>53</v>
      </c>
      <c r="Z54" s="56" t="s">
        <v>54</v>
      </c>
      <c r="AA54" s="56" t="s">
        <v>55</v>
      </c>
      <c r="AB54" s="56" t="s">
        <v>56</v>
      </c>
      <c r="AC54" s="56" t="s">
        <v>57</v>
      </c>
      <c r="AD54" s="60" t="s">
        <v>58</v>
      </c>
      <c r="AE54" s="60" t="s">
        <v>59</v>
      </c>
      <c r="AF54" s="60" t="s">
        <v>60</v>
      </c>
      <c r="AG54" s="18"/>
      <c r="AH54" s="59" t="s">
        <v>24</v>
      </c>
      <c r="AI54" s="40" t="s">
        <v>27</v>
      </c>
      <c r="AJ54" s="41" t="s">
        <v>80</v>
      </c>
      <c r="AK54" s="41"/>
      <c r="AL54" s="42" t="s">
        <v>70</v>
      </c>
      <c r="AM54" s="43" t="s">
        <v>81</v>
      </c>
      <c r="AN54" s="43"/>
      <c r="AO54" s="44" t="s">
        <v>25</v>
      </c>
      <c r="AP54" s="45" t="s">
        <v>67</v>
      </c>
      <c r="AQ54" s="31" t="s">
        <v>84</v>
      </c>
      <c r="AR54" s="31"/>
      <c r="AS54" s="46" t="s">
        <v>68</v>
      </c>
      <c r="AT54" s="34" t="s">
        <v>83</v>
      </c>
      <c r="AU54" s="34"/>
      <c r="AV54" s="58" t="s">
        <v>1</v>
      </c>
      <c r="AW54" s="58" t="s">
        <v>87</v>
      </c>
    </row>
    <row r="55" spans="1:49" hidden="1" x14ac:dyDescent="0.3">
      <c r="A55" s="48" t="s">
        <v>61</v>
      </c>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18"/>
      <c r="AH55" s="48" t="s">
        <v>61</v>
      </c>
      <c r="AI55" s="51">
        <f>COUNTIF(Mai_18[[#This Row],[1]:[31]],AI$6)</f>
        <v>0</v>
      </c>
      <c r="AJ55" s="51">
        <f>COUNTIF(Mai_18[[#This Row],[1]:[31]],AJ$6)/2</f>
        <v>0</v>
      </c>
      <c r="AK55" s="51"/>
      <c r="AL55" s="51">
        <f>COUNTIF(Mai_18[[#This Row],[1]:[31]],AL$6)</f>
        <v>0</v>
      </c>
      <c r="AM55" s="51">
        <f>COUNTIF(Mai_18[[#This Row],[1]:[31]],AM$6)/2</f>
        <v>0</v>
      </c>
      <c r="AN55" s="51"/>
      <c r="AO55" s="51">
        <f>COUNTIF(Mai_18[[#This Row],[1]:[31]],AO$6)</f>
        <v>0</v>
      </c>
      <c r="AP55" s="51">
        <f>COUNTIF(Mai_18[[#This Row],[1]:[31]],AP$6)</f>
        <v>0</v>
      </c>
      <c r="AQ55" s="51">
        <f>COUNTIF(Mai_18[[#This Row],[1]:[31]],AQ$6)/2</f>
        <v>0</v>
      </c>
      <c r="AR55" s="51"/>
      <c r="AS55" s="51">
        <f>COUNTIF(Mai_18[[#This Row],[1]:[31]],AS$6)</f>
        <v>0</v>
      </c>
      <c r="AT55" s="51">
        <f>COUNTIF(Mai_18[[#This Row],[1]:[31]],AT$6)/2</f>
        <v>0</v>
      </c>
      <c r="AU55" s="66"/>
      <c r="AV55" s="52">
        <f>SUM(AI55:AQ55)</f>
        <v>0</v>
      </c>
      <c r="AW55" s="52">
        <f>COUNTA(V43,AF43,W43,X43,Y43,Z43,AA43,AB43,AC43,AD43,AE43,B55:U55)</f>
        <v>0</v>
      </c>
    </row>
    <row r="56" spans="1:49" hidden="1" x14ac:dyDescent="0.3">
      <c r="A56" s="48" t="s">
        <v>62</v>
      </c>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18"/>
      <c r="AH56" s="48" t="s">
        <v>62</v>
      </c>
      <c r="AI56" s="51">
        <f>COUNTIF(Mai_18[[#This Row],[1]:[31]],AI$6)</f>
        <v>0</v>
      </c>
      <c r="AJ56" s="51">
        <f>COUNTIF(Mai_18[[#This Row],[1]:[31]],AJ$6)/2</f>
        <v>0</v>
      </c>
      <c r="AK56" s="51"/>
      <c r="AL56" s="51">
        <f>COUNTIF(Mai_18[[#This Row],[1]:[31]],AL$6)</f>
        <v>0</v>
      </c>
      <c r="AM56" s="51">
        <f>COUNTIF(Mai_18[[#This Row],[1]:[31]],AM$6)/2</f>
        <v>0</v>
      </c>
      <c r="AN56" s="51"/>
      <c r="AO56" s="51">
        <f>COUNTIF(Mai_18[[#This Row],[1]:[31]],AO$6)</f>
        <v>0</v>
      </c>
      <c r="AP56" s="51">
        <f>COUNTIF(Mai_18[[#This Row],[1]:[31]],AP$6)</f>
        <v>0</v>
      </c>
      <c r="AQ56" s="51">
        <f>COUNTIF(Mai_18[[#This Row],[1]:[31]],AQ$6)/2</f>
        <v>0</v>
      </c>
      <c r="AR56" s="51"/>
      <c r="AS56" s="51">
        <f>COUNTIF(Mai_18[[#This Row],[1]:[31]],AS$6)</f>
        <v>0</v>
      </c>
      <c r="AT56" s="51">
        <f>COUNTIF(Mai_18[[#This Row],[1]:[31]],AT$6)/2</f>
        <v>0</v>
      </c>
      <c r="AU56" s="66"/>
      <c r="AV56" s="54">
        <f t="shared" ref="AV56:AV60" si="12">SUM(AI56:AQ56)</f>
        <v>0</v>
      </c>
      <c r="AW56" s="54">
        <f t="shared" ref="AW56:AW60" si="13">COUNTA(V44,AF44,W44,X44,Y44,Z44,AA44,AB44,AC44,AD44,AE44,B56:U56)</f>
        <v>0</v>
      </c>
    </row>
    <row r="57" spans="1:49" hidden="1" x14ac:dyDescent="0.3">
      <c r="A57" s="48" t="s">
        <v>63</v>
      </c>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18"/>
      <c r="AH57" s="48" t="s">
        <v>63</v>
      </c>
      <c r="AI57" s="51">
        <f>COUNTIF(Mai_18[[#This Row],[1]:[31]],AI$6)</f>
        <v>0</v>
      </c>
      <c r="AJ57" s="51">
        <f>COUNTIF(Mai_18[[#This Row],[1]:[31]],AJ$6)/2</f>
        <v>0</v>
      </c>
      <c r="AK57" s="51"/>
      <c r="AL57" s="51">
        <f>COUNTIF(Mai_18[[#This Row],[1]:[31]],AL$6)</f>
        <v>0</v>
      </c>
      <c r="AM57" s="51">
        <f>COUNTIF(Mai_18[[#This Row],[1]:[31]],AM$6)/2</f>
        <v>0</v>
      </c>
      <c r="AN57" s="51"/>
      <c r="AO57" s="51">
        <f>COUNTIF(Mai_18[[#This Row],[1]:[31]],AO$6)</f>
        <v>0</v>
      </c>
      <c r="AP57" s="51">
        <f>COUNTIF(Mai_18[[#This Row],[1]:[31]],AP$6)</f>
        <v>0</v>
      </c>
      <c r="AQ57" s="51">
        <f>COUNTIF(Mai_18[[#This Row],[1]:[31]],AQ$6)/2</f>
        <v>0</v>
      </c>
      <c r="AR57" s="51"/>
      <c r="AS57" s="51">
        <f>COUNTIF(Mai_18[[#This Row],[1]:[31]],AS$6)</f>
        <v>0</v>
      </c>
      <c r="AT57" s="51">
        <f>COUNTIF(Mai_18[[#This Row],[1]:[31]],AT$6)/2</f>
        <v>0</v>
      </c>
      <c r="AU57" s="66"/>
      <c r="AV57" s="52">
        <f t="shared" si="12"/>
        <v>0</v>
      </c>
      <c r="AW57" s="52">
        <f t="shared" si="13"/>
        <v>0</v>
      </c>
    </row>
    <row r="58" spans="1:49" hidden="1" x14ac:dyDescent="0.3">
      <c r="A58" s="48" t="s">
        <v>64</v>
      </c>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18"/>
      <c r="AH58" s="48" t="s">
        <v>64</v>
      </c>
      <c r="AI58" s="51">
        <f>COUNTIF(Mai_18[[#This Row],[1]:[31]],AI$6)</f>
        <v>0</v>
      </c>
      <c r="AJ58" s="51">
        <f>COUNTIF(Mai_18[[#This Row],[1]:[31]],AJ$6)/2</f>
        <v>0</v>
      </c>
      <c r="AK58" s="51"/>
      <c r="AL58" s="51">
        <f>COUNTIF(Mai_18[[#This Row],[1]:[31]],AL$6)</f>
        <v>0</v>
      </c>
      <c r="AM58" s="51">
        <f>COUNTIF(Mai_18[[#This Row],[1]:[31]],AM$6)/2</f>
        <v>0</v>
      </c>
      <c r="AN58" s="51"/>
      <c r="AO58" s="51">
        <f>COUNTIF(Mai_18[[#This Row],[1]:[31]],AO$6)</f>
        <v>0</v>
      </c>
      <c r="AP58" s="51">
        <f>COUNTIF(Mai_18[[#This Row],[1]:[31]],AP$6)</f>
        <v>0</v>
      </c>
      <c r="AQ58" s="51">
        <f>COUNTIF(Mai_18[[#This Row],[1]:[31]],AQ$6)/2</f>
        <v>0</v>
      </c>
      <c r="AR58" s="51"/>
      <c r="AS58" s="51">
        <f>COUNTIF(Mai_18[[#This Row],[1]:[31]],AS$6)</f>
        <v>0</v>
      </c>
      <c r="AT58" s="51">
        <f>COUNTIF(Mai_18[[#This Row],[1]:[31]],AT$6)/2</f>
        <v>0</v>
      </c>
      <c r="AU58" s="66"/>
      <c r="AV58" s="54">
        <f t="shared" si="12"/>
        <v>0</v>
      </c>
      <c r="AW58" s="54">
        <f t="shared" si="13"/>
        <v>0</v>
      </c>
    </row>
    <row r="59" spans="1:49" hidden="1" x14ac:dyDescent="0.3">
      <c r="A59" s="48" t="s">
        <v>65</v>
      </c>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18"/>
      <c r="AH59" s="48" t="s">
        <v>65</v>
      </c>
      <c r="AI59" s="51">
        <f>COUNTIF(Mai_18[[#This Row],[1]:[31]],AI$6)</f>
        <v>0</v>
      </c>
      <c r="AJ59" s="51">
        <f>COUNTIF(Mai_18[[#This Row],[1]:[31]],AJ$6)/2</f>
        <v>0</v>
      </c>
      <c r="AK59" s="51"/>
      <c r="AL59" s="51">
        <f>COUNTIF(Mai_18[[#This Row],[1]:[31]],AL$6)</f>
        <v>0</v>
      </c>
      <c r="AM59" s="51">
        <f>COUNTIF(Mai_18[[#This Row],[1]:[31]],AM$6)/2</f>
        <v>0</v>
      </c>
      <c r="AN59" s="51"/>
      <c r="AO59" s="51">
        <f>COUNTIF(Mai_18[[#This Row],[1]:[31]],AO$6)</f>
        <v>0</v>
      </c>
      <c r="AP59" s="51">
        <f>COUNTIF(Mai_18[[#This Row],[1]:[31]],AP$6)</f>
        <v>0</v>
      </c>
      <c r="AQ59" s="51">
        <f>COUNTIF(Mai_18[[#This Row],[1]:[31]],AQ$6)/2</f>
        <v>0</v>
      </c>
      <c r="AR59" s="51"/>
      <c r="AS59" s="51">
        <f>COUNTIF(Mai_18[[#This Row],[1]:[31]],AS$6)</f>
        <v>0</v>
      </c>
      <c r="AT59" s="51">
        <f>COUNTIF(Mai_18[[#This Row],[1]:[31]],AT$6)/2</f>
        <v>0</v>
      </c>
      <c r="AU59" s="66"/>
      <c r="AV59" s="52">
        <f t="shared" si="12"/>
        <v>0</v>
      </c>
      <c r="AW59" s="52">
        <f t="shared" si="13"/>
        <v>0</v>
      </c>
    </row>
    <row r="60" spans="1:49" ht="17.25" hidden="1" thickBot="1" x14ac:dyDescent="0.35">
      <c r="A60" s="48" t="s">
        <v>23</v>
      </c>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18"/>
      <c r="AH60" s="48" t="s">
        <v>23</v>
      </c>
      <c r="AI60" s="51">
        <f>COUNTIF(Mai_18[[#This Row],[1]:[31]],AI$6)</f>
        <v>0</v>
      </c>
      <c r="AJ60" s="51">
        <f>COUNTIF(Mai_18[[#This Row],[1]:[31]],AJ$6)/2</f>
        <v>0</v>
      </c>
      <c r="AK60" s="51"/>
      <c r="AL60" s="51">
        <f>COUNTIF(Mai_18[[#This Row],[1]:[31]],AL$6)</f>
        <v>0</v>
      </c>
      <c r="AM60" s="51">
        <f>COUNTIF(Mai_18[[#This Row],[1]:[31]],AM$6)/2</f>
        <v>0</v>
      </c>
      <c r="AN60" s="51"/>
      <c r="AO60" s="51">
        <f>COUNTIF(Mai_18[[#This Row],[1]:[31]],AO$6)</f>
        <v>0</v>
      </c>
      <c r="AP60" s="51">
        <f>COUNTIF(Mai_18[[#This Row],[1]:[31]],AP$6)</f>
        <v>0</v>
      </c>
      <c r="AQ60" s="51">
        <f>COUNTIF(Mai_18[[#This Row],[1]:[31]],AQ$6)/2</f>
        <v>0</v>
      </c>
      <c r="AR60" s="51"/>
      <c r="AS60" s="51">
        <f>COUNTIF(Mai_18[[#This Row],[1]:[31]],AS$6)</f>
        <v>0</v>
      </c>
      <c r="AT60" s="51">
        <f>COUNTIF(Mai_18[[#This Row],[1]:[31]],AT$6)/2</f>
        <v>0</v>
      </c>
      <c r="AU60" s="69"/>
      <c r="AV60" s="55">
        <f t="shared" si="12"/>
        <v>0</v>
      </c>
      <c r="AW60" s="55">
        <f t="shared" si="13"/>
        <v>0</v>
      </c>
    </row>
    <row r="62" spans="1:49" s="18" customFormat="1" ht="14.25" thickBot="1" x14ac:dyDescent="0.3">
      <c r="A62" s="19" t="s">
        <v>79</v>
      </c>
      <c r="B62" s="20" t="s">
        <v>27</v>
      </c>
      <c r="C62" s="21" t="s">
        <v>76</v>
      </c>
      <c r="E62" s="22" t="s">
        <v>80</v>
      </c>
      <c r="F62" s="23" t="s">
        <v>77</v>
      </c>
      <c r="G62" s="23"/>
      <c r="H62" s="24" t="s">
        <v>70</v>
      </c>
      <c r="I62" s="25" t="s">
        <v>3</v>
      </c>
      <c r="J62" s="23"/>
      <c r="K62" s="26" t="s">
        <v>81</v>
      </c>
      <c r="L62" s="27" t="s">
        <v>78</v>
      </c>
      <c r="M62" s="23"/>
      <c r="N62" s="28" t="s">
        <v>25</v>
      </c>
      <c r="O62" s="25" t="s">
        <v>28</v>
      </c>
      <c r="P62" s="25"/>
      <c r="Q62" s="29" t="s">
        <v>67</v>
      </c>
      <c r="R62" s="30" t="s">
        <v>66</v>
      </c>
      <c r="S62" s="30"/>
      <c r="T62" s="31" t="s">
        <v>84</v>
      </c>
      <c r="U62" s="23" t="s">
        <v>85</v>
      </c>
      <c r="V62" s="23"/>
      <c r="W62" s="23"/>
      <c r="X62" s="32" t="s">
        <v>68</v>
      </c>
      <c r="Y62" s="33" t="s">
        <v>69</v>
      </c>
      <c r="Z62" s="33"/>
      <c r="AA62" s="34" t="s">
        <v>83</v>
      </c>
      <c r="AB62" s="33" t="s">
        <v>86</v>
      </c>
      <c r="AC62" s="33"/>
      <c r="AD62" s="33"/>
      <c r="AE62" s="33"/>
      <c r="AF62" s="33"/>
    </row>
    <row r="63" spans="1:49" s="61" customFormat="1" ht="32.25" customHeight="1" x14ac:dyDescent="0.3">
      <c r="A63" s="126" t="s">
        <v>111</v>
      </c>
      <c r="B63" s="125"/>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H63" s="125"/>
    </row>
    <row r="64" spans="1:49" ht="30" thickBot="1" x14ac:dyDescent="0.35">
      <c r="A64" s="17" t="s">
        <v>14</v>
      </c>
      <c r="B64" s="140" t="s">
        <v>29</v>
      </c>
      <c r="C64" s="140"/>
      <c r="D64" s="140"/>
      <c r="E64" s="140"/>
      <c r="F64" s="140"/>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0"/>
      <c r="AE64" s="140"/>
      <c r="AF64" s="140"/>
      <c r="AG64" s="17"/>
      <c r="AH64" s="140" t="s">
        <v>91</v>
      </c>
      <c r="AI64" s="140"/>
      <c r="AJ64" s="140"/>
      <c r="AK64" s="140"/>
      <c r="AL64" s="140"/>
      <c r="AM64" s="140"/>
      <c r="AN64" s="140"/>
      <c r="AO64" s="140"/>
      <c r="AP64" s="140"/>
      <c r="AQ64" s="140"/>
      <c r="AR64" s="140"/>
      <c r="AS64" s="140"/>
      <c r="AT64" s="140"/>
      <c r="AU64" s="140"/>
      <c r="AV64" s="140"/>
      <c r="AW64" s="140"/>
    </row>
    <row r="65" spans="1:49" ht="18" thickTop="1" thickBot="1" x14ac:dyDescent="0.35">
      <c r="A65" s="35">
        <v>6</v>
      </c>
      <c r="B65" s="36" t="str">
        <f t="shared" ref="B65:AE65" si="14">TEXT(WEEKDAY(DATE(AnnéeCalendrier,$A$53,B$54),15),"jjj")</f>
        <v>jeu</v>
      </c>
      <c r="C65" s="36" t="str">
        <f t="shared" si="14"/>
        <v>ven</v>
      </c>
      <c r="D65" s="36" t="str">
        <f t="shared" si="14"/>
        <v>sam</v>
      </c>
      <c r="E65" s="36" t="str">
        <f t="shared" si="14"/>
        <v>dim</v>
      </c>
      <c r="F65" s="36" t="str">
        <f t="shared" si="14"/>
        <v>lun</v>
      </c>
      <c r="G65" s="36" t="str">
        <f t="shared" si="14"/>
        <v>mar</v>
      </c>
      <c r="H65" s="36" t="str">
        <f t="shared" si="14"/>
        <v>mer</v>
      </c>
      <c r="I65" s="36" t="str">
        <f t="shared" si="14"/>
        <v>jeu</v>
      </c>
      <c r="J65" s="36" t="str">
        <f t="shared" si="14"/>
        <v>ven</v>
      </c>
      <c r="K65" s="36" t="str">
        <f t="shared" si="14"/>
        <v>sam</v>
      </c>
      <c r="L65" s="36" t="str">
        <f t="shared" si="14"/>
        <v>dim</v>
      </c>
      <c r="M65" s="36" t="str">
        <f t="shared" si="14"/>
        <v>lun</v>
      </c>
      <c r="N65" s="36" t="str">
        <f t="shared" si="14"/>
        <v>mar</v>
      </c>
      <c r="O65" s="36" t="str">
        <f t="shared" si="14"/>
        <v>mer</v>
      </c>
      <c r="P65" s="36" t="str">
        <f t="shared" si="14"/>
        <v>jeu</v>
      </c>
      <c r="Q65" s="36" t="str">
        <f t="shared" si="14"/>
        <v>ven</v>
      </c>
      <c r="R65" s="36" t="str">
        <f t="shared" si="14"/>
        <v>sam</v>
      </c>
      <c r="S65" s="36" t="str">
        <f t="shared" si="14"/>
        <v>dim</v>
      </c>
      <c r="T65" s="36" t="str">
        <f t="shared" si="14"/>
        <v>lun</v>
      </c>
      <c r="U65" s="36" t="str">
        <f t="shared" si="14"/>
        <v>mar</v>
      </c>
      <c r="V65" s="36" t="str">
        <f t="shared" si="14"/>
        <v>mer</v>
      </c>
      <c r="W65" s="36" t="str">
        <f t="shared" si="14"/>
        <v>jeu</v>
      </c>
      <c r="X65" s="36" t="str">
        <f t="shared" si="14"/>
        <v>ven</v>
      </c>
      <c r="Y65" s="36" t="str">
        <f t="shared" si="14"/>
        <v>sam</v>
      </c>
      <c r="Z65" s="36" t="str">
        <f t="shared" si="14"/>
        <v>dim</v>
      </c>
      <c r="AA65" s="36" t="str">
        <f t="shared" si="14"/>
        <v>lun</v>
      </c>
      <c r="AB65" s="36" t="str">
        <f t="shared" si="14"/>
        <v>mar</v>
      </c>
      <c r="AC65" s="36" t="str">
        <f t="shared" si="14"/>
        <v>mer</v>
      </c>
      <c r="AD65" s="36" t="str">
        <f t="shared" si="14"/>
        <v>jeu</v>
      </c>
      <c r="AE65" s="36" t="str">
        <f t="shared" si="14"/>
        <v>ven</v>
      </c>
      <c r="AF65" s="36"/>
      <c r="AG65" s="18"/>
      <c r="AH65" s="35">
        <v>6</v>
      </c>
      <c r="AI65" s="18"/>
      <c r="AJ65" s="18"/>
      <c r="AK65" s="18"/>
      <c r="AL65" s="18"/>
      <c r="AM65" s="18"/>
      <c r="AN65" s="18"/>
      <c r="AO65" s="18"/>
      <c r="AP65" s="18"/>
      <c r="AQ65" s="18"/>
      <c r="AR65" s="18"/>
      <c r="AS65" s="18"/>
      <c r="AT65" s="18"/>
      <c r="AU65" s="18"/>
      <c r="AV65" s="18"/>
      <c r="AW65" s="18"/>
    </row>
    <row r="66" spans="1:49" x14ac:dyDescent="0.3">
      <c r="A66" s="59" t="s">
        <v>24</v>
      </c>
      <c r="B66" s="56" t="s">
        <v>30</v>
      </c>
      <c r="C66" s="56" t="s">
        <v>31</v>
      </c>
      <c r="D66" s="56" t="s">
        <v>32</v>
      </c>
      <c r="E66" s="56" t="s">
        <v>33</v>
      </c>
      <c r="F66" s="56" t="s">
        <v>34</v>
      </c>
      <c r="G66" s="56" t="s">
        <v>35</v>
      </c>
      <c r="H66" s="56" t="s">
        <v>36</v>
      </c>
      <c r="I66" s="56" t="s">
        <v>37</v>
      </c>
      <c r="J66" s="56" t="s">
        <v>38</v>
      </c>
      <c r="K66" s="56" t="s">
        <v>39</v>
      </c>
      <c r="L66" s="56" t="s">
        <v>40</v>
      </c>
      <c r="M66" s="56" t="s">
        <v>41</v>
      </c>
      <c r="N66" s="56" t="s">
        <v>42</v>
      </c>
      <c r="O66" s="56" t="s">
        <v>43</v>
      </c>
      <c r="P66" s="56" t="s">
        <v>44</v>
      </c>
      <c r="Q66" s="56" t="s">
        <v>45</v>
      </c>
      <c r="R66" s="56" t="s">
        <v>46</v>
      </c>
      <c r="S66" s="56" t="s">
        <v>47</v>
      </c>
      <c r="T66" s="56" t="s">
        <v>48</v>
      </c>
      <c r="U66" s="56" t="s">
        <v>49</v>
      </c>
      <c r="V66" s="56" t="s">
        <v>50</v>
      </c>
      <c r="W66" s="56" t="s">
        <v>51</v>
      </c>
      <c r="X66" s="56" t="s">
        <v>52</v>
      </c>
      <c r="Y66" s="56" t="s">
        <v>53</v>
      </c>
      <c r="Z66" s="56" t="s">
        <v>54</v>
      </c>
      <c r="AA66" s="56" t="s">
        <v>55</v>
      </c>
      <c r="AB66" s="56" t="s">
        <v>56</v>
      </c>
      <c r="AC66" s="56" t="s">
        <v>57</v>
      </c>
      <c r="AD66" s="60" t="s">
        <v>58</v>
      </c>
      <c r="AE66" s="60" t="s">
        <v>59</v>
      </c>
      <c r="AF66" s="57" t="s">
        <v>60</v>
      </c>
      <c r="AG66" s="18"/>
      <c r="AH66" s="59" t="s">
        <v>24</v>
      </c>
      <c r="AI66" s="40" t="s">
        <v>27</v>
      </c>
      <c r="AJ66" s="41" t="s">
        <v>80</v>
      </c>
      <c r="AK66" s="40" t="s">
        <v>76</v>
      </c>
      <c r="AL66" s="42" t="s">
        <v>70</v>
      </c>
      <c r="AM66" s="43" t="s">
        <v>81</v>
      </c>
      <c r="AN66" s="42" t="s">
        <v>3</v>
      </c>
      <c r="AO66" s="44" t="s">
        <v>25</v>
      </c>
      <c r="AP66" s="45" t="s">
        <v>67</v>
      </c>
      <c r="AQ66" s="31" t="s">
        <v>84</v>
      </c>
      <c r="AR66" s="45" t="s">
        <v>101</v>
      </c>
      <c r="AS66" s="46" t="s">
        <v>68</v>
      </c>
      <c r="AT66" s="34" t="s">
        <v>83</v>
      </c>
      <c r="AU66" s="46" t="s">
        <v>69</v>
      </c>
      <c r="AV66" s="58" t="s">
        <v>1</v>
      </c>
      <c r="AW66" s="76" t="s">
        <v>87</v>
      </c>
    </row>
    <row r="67" spans="1:49" x14ac:dyDescent="0.3">
      <c r="A67" s="48" t="s">
        <v>120</v>
      </c>
      <c r="B67" s="50"/>
      <c r="C67" s="50"/>
      <c r="D67" s="50"/>
      <c r="E67" s="50"/>
      <c r="F67" s="49"/>
      <c r="G67" s="50" t="s">
        <v>75</v>
      </c>
      <c r="H67" s="50"/>
      <c r="I67" s="50" t="s">
        <v>88</v>
      </c>
      <c r="J67" s="50"/>
      <c r="K67" s="50"/>
      <c r="L67" s="50"/>
      <c r="M67" s="50"/>
      <c r="N67" s="50"/>
      <c r="O67" s="50" t="s">
        <v>74</v>
      </c>
      <c r="P67" s="50"/>
      <c r="Q67" s="50"/>
      <c r="R67" s="50"/>
      <c r="S67" s="50"/>
      <c r="T67" s="50"/>
      <c r="U67" s="50"/>
      <c r="V67" s="50" t="s">
        <v>74</v>
      </c>
      <c r="W67" s="50"/>
      <c r="X67" s="50"/>
      <c r="Y67" s="50"/>
      <c r="Z67" s="50"/>
      <c r="AA67" s="50"/>
      <c r="AB67" s="50"/>
      <c r="AC67" s="50" t="s">
        <v>72</v>
      </c>
      <c r="AD67" s="50" t="s">
        <v>72</v>
      </c>
      <c r="AE67" s="50" t="s">
        <v>72</v>
      </c>
      <c r="AF67" s="50"/>
      <c r="AG67" s="18"/>
      <c r="AH67" s="48" t="s">
        <v>120</v>
      </c>
      <c r="AI67" s="51">
        <f>COUNTIF(Juin19[[#This Row],[1]:[30]],AI$6)</f>
        <v>0</v>
      </c>
      <c r="AJ67" s="51">
        <f>COUNTIF(Juin19[[#This Row],[1]:[30]],AJ$6)/2</f>
        <v>0</v>
      </c>
      <c r="AK67" s="51">
        <f>SUM(AI67:AJ67)</f>
        <v>0</v>
      </c>
      <c r="AL67" s="51">
        <f>COUNTIF(Juin19[[#This Row],[1]:[30]],AL$6)</f>
        <v>2</v>
      </c>
      <c r="AM67" s="51">
        <f>COUNTIF(Juin19[[#This Row],[1]:[30]],AM$6)/2</f>
        <v>0.5</v>
      </c>
      <c r="AN67" s="51">
        <f>SUM(AL67:AM67)</f>
        <v>2.5</v>
      </c>
      <c r="AO67" s="51">
        <f>COUNTIF(Juin19[[#This Row],[1]:[30]],AO$6)</f>
        <v>3</v>
      </c>
      <c r="AP67" s="51">
        <f>COUNTIF(Juin19[[#This Row],[1]:[30]],AP$6)</f>
        <v>0</v>
      </c>
      <c r="AQ67" s="51">
        <f>COUNTIF(Juin19[[#This Row],[1]:[30]],AQ$6)/2</f>
        <v>0</v>
      </c>
      <c r="AR67" s="51">
        <f>SUM(AP67:AQ67)</f>
        <v>0</v>
      </c>
      <c r="AS67" s="51">
        <f>COUNTIF(Juin19[[#This Row],[1]:[30]],AS$6)</f>
        <v>1</v>
      </c>
      <c r="AT67" s="51">
        <f>COUNTIF(Juin19[[#This Row],[1]:[30]],AT$6)/2</f>
        <v>0</v>
      </c>
      <c r="AU67" s="51">
        <f>SUM(AS67:AT67)</f>
        <v>1</v>
      </c>
      <c r="AV67" s="52">
        <f>AK67+AN67+AO67+AR67+AU67</f>
        <v>6.5</v>
      </c>
      <c r="AW67" s="77">
        <f>COUNTA(V55,AF55,W55,X55,Y55,Z55,AA55,AB55,AC55,AD55,AE55,B67:U67)</f>
        <v>3</v>
      </c>
    </row>
    <row r="68" spans="1:49" x14ac:dyDescent="0.3">
      <c r="A68" s="48" t="s">
        <v>121</v>
      </c>
      <c r="B68" s="50"/>
      <c r="C68" s="50" t="s">
        <v>88</v>
      </c>
      <c r="D68" s="50"/>
      <c r="E68" s="50"/>
      <c r="F68" s="49"/>
      <c r="G68" s="50" t="s">
        <v>88</v>
      </c>
      <c r="H68" s="50"/>
      <c r="I68" s="50"/>
      <c r="J68" s="50"/>
      <c r="K68" s="50"/>
      <c r="L68" s="50"/>
      <c r="M68" s="50"/>
      <c r="N68" s="50" t="s">
        <v>71</v>
      </c>
      <c r="O68" s="50"/>
      <c r="P68" s="50"/>
      <c r="Q68" s="50"/>
      <c r="R68" s="50"/>
      <c r="S68" s="50"/>
      <c r="T68" s="50"/>
      <c r="U68" s="50"/>
      <c r="V68" s="50"/>
      <c r="W68" s="50" t="s">
        <v>71</v>
      </c>
      <c r="X68" s="50"/>
      <c r="Y68" s="50"/>
      <c r="Z68" s="50"/>
      <c r="AA68" s="50"/>
      <c r="AB68" s="50"/>
      <c r="AC68" s="50"/>
      <c r="AD68" s="50"/>
      <c r="AE68" s="50"/>
      <c r="AF68" s="50"/>
      <c r="AG68" s="18"/>
      <c r="AH68" s="48" t="s">
        <v>121</v>
      </c>
      <c r="AI68" s="53">
        <f>COUNTIF(Juin19[[#This Row],[1]:[30]],AI$6)</f>
        <v>2</v>
      </c>
      <c r="AJ68" s="53">
        <f>COUNTIF(Juin19[[#This Row],[1]:[30]],AJ$6)/2</f>
        <v>0</v>
      </c>
      <c r="AK68" s="53">
        <f t="shared" ref="AK68:AK72" si="15">SUM(AI68:AJ68)</f>
        <v>2</v>
      </c>
      <c r="AL68" s="53">
        <f>COUNTIF(Juin19[[#This Row],[1]:[30]],AL$6)</f>
        <v>0</v>
      </c>
      <c r="AM68" s="53">
        <f>COUNTIF(Juin19[[#This Row],[1]:[30]],AM$6)/2</f>
        <v>1</v>
      </c>
      <c r="AN68" s="53">
        <f t="shared" ref="AN68:AN72" si="16">SUM(AL68:AM68)</f>
        <v>1</v>
      </c>
      <c r="AO68" s="53">
        <f>COUNTIF(Juin19[[#This Row],[1]:[30]],AO$6)</f>
        <v>0</v>
      </c>
      <c r="AP68" s="53">
        <f>COUNTIF(Juin19[[#This Row],[1]:[30]],AP$6)</f>
        <v>0</v>
      </c>
      <c r="AQ68" s="53">
        <f>COUNTIF(Juin19[[#This Row],[1]:[30]],AQ$6)/2</f>
        <v>0</v>
      </c>
      <c r="AR68" s="53">
        <f t="shared" ref="AR68:AR72" si="17">SUM(AP68:AQ68)</f>
        <v>0</v>
      </c>
      <c r="AS68" s="53">
        <f>COUNTIF(Juin19[[#This Row],[1]:[30]],AS$6)</f>
        <v>0</v>
      </c>
      <c r="AT68" s="53">
        <f>COUNTIF(Juin19[[#This Row],[1]:[30]],AT$6)/2</f>
        <v>0</v>
      </c>
      <c r="AU68" s="53">
        <f t="shared" ref="AU68:AU72" si="18">SUM(AS68:AT68)</f>
        <v>0</v>
      </c>
      <c r="AV68" s="54">
        <f t="shared" ref="AV68:AV72" si="19">AK68+AN68+AO68+AR68+AU68</f>
        <v>3</v>
      </c>
      <c r="AW68" s="78">
        <f t="shared" ref="AW68:AW72" si="20">COUNTA(V56,AF56,W56,X56,Y56,Z56,AA56,AB56,AC56,AD56,AE56,B68:U68)</f>
        <v>3</v>
      </c>
    </row>
    <row r="69" spans="1:49" x14ac:dyDescent="0.3">
      <c r="A69" s="48" t="s">
        <v>122</v>
      </c>
      <c r="B69" s="50"/>
      <c r="C69" s="50"/>
      <c r="D69" s="50"/>
      <c r="E69" s="50"/>
      <c r="F69" s="49"/>
      <c r="G69" s="50"/>
      <c r="H69" s="50"/>
      <c r="I69" s="50"/>
      <c r="J69" s="50"/>
      <c r="K69" s="50"/>
      <c r="L69" s="50"/>
      <c r="M69" s="50"/>
      <c r="N69" s="50"/>
      <c r="O69" s="50"/>
      <c r="P69" s="50"/>
      <c r="Q69" s="50" t="s">
        <v>71</v>
      </c>
      <c r="R69" s="50"/>
      <c r="S69" s="50"/>
      <c r="T69" s="50" t="s">
        <v>74</v>
      </c>
      <c r="U69" s="50"/>
      <c r="V69" s="50"/>
      <c r="W69" s="50"/>
      <c r="X69" s="50"/>
      <c r="Y69" s="50"/>
      <c r="Z69" s="50"/>
      <c r="AA69" s="50"/>
      <c r="AB69" s="50"/>
      <c r="AC69" s="50"/>
      <c r="AD69" s="50"/>
      <c r="AE69" s="50"/>
      <c r="AF69" s="50"/>
      <c r="AG69" s="18"/>
      <c r="AH69" s="48" t="s">
        <v>122</v>
      </c>
      <c r="AI69" s="51">
        <f>COUNTIF(Juin19[[#This Row],[1]:[30]],AI$6)</f>
        <v>1</v>
      </c>
      <c r="AJ69" s="51">
        <f>COUNTIF(Juin19[[#This Row],[1]:[30]],AJ$6)/2</f>
        <v>0</v>
      </c>
      <c r="AK69" s="51">
        <f t="shared" si="15"/>
        <v>1</v>
      </c>
      <c r="AL69" s="51">
        <f>COUNTIF(Juin19[[#This Row],[1]:[30]],AL$6)</f>
        <v>1</v>
      </c>
      <c r="AM69" s="51">
        <f>COUNTIF(Juin19[[#This Row],[1]:[30]],AM$6)/2</f>
        <v>0</v>
      </c>
      <c r="AN69" s="51">
        <f t="shared" si="16"/>
        <v>1</v>
      </c>
      <c r="AO69" s="51">
        <f>COUNTIF(Juin19[[#This Row],[1]:[30]],AO$6)</f>
        <v>0</v>
      </c>
      <c r="AP69" s="51">
        <f>COUNTIF(Juin19[[#This Row],[1]:[30]],AP$6)</f>
        <v>0</v>
      </c>
      <c r="AQ69" s="51">
        <f>COUNTIF(Juin19[[#This Row],[1]:[30]],AQ$6)/2</f>
        <v>0</v>
      </c>
      <c r="AR69" s="51">
        <f t="shared" si="17"/>
        <v>0</v>
      </c>
      <c r="AS69" s="51">
        <f>COUNTIF(Juin19[[#This Row],[1]:[30]],AS$6)</f>
        <v>0</v>
      </c>
      <c r="AT69" s="51">
        <f>COUNTIF(Juin19[[#This Row],[1]:[30]],AT$6)/2</f>
        <v>0</v>
      </c>
      <c r="AU69" s="51">
        <f t="shared" si="18"/>
        <v>0</v>
      </c>
      <c r="AV69" s="52">
        <f t="shared" si="19"/>
        <v>2</v>
      </c>
      <c r="AW69" s="77">
        <f t="shared" si="20"/>
        <v>2</v>
      </c>
    </row>
    <row r="70" spans="1:49" x14ac:dyDescent="0.3">
      <c r="A70" s="48" t="s">
        <v>123</v>
      </c>
      <c r="B70" s="50"/>
      <c r="C70" s="50"/>
      <c r="D70" s="50"/>
      <c r="E70" s="50"/>
      <c r="F70" s="49"/>
      <c r="G70" s="50"/>
      <c r="H70" s="50"/>
      <c r="I70" s="50"/>
      <c r="J70" s="50"/>
      <c r="K70" s="50"/>
      <c r="L70" s="50"/>
      <c r="M70" s="50"/>
      <c r="N70" s="50"/>
      <c r="O70" s="50"/>
      <c r="P70" s="50"/>
      <c r="Q70" s="50"/>
      <c r="R70" s="50"/>
      <c r="S70" s="50"/>
      <c r="T70" s="50"/>
      <c r="U70" s="50"/>
      <c r="V70" s="50"/>
      <c r="W70" s="50"/>
      <c r="X70" s="50"/>
      <c r="Y70" s="50"/>
      <c r="Z70" s="50"/>
      <c r="AA70" s="50"/>
      <c r="AB70" s="50"/>
      <c r="AC70" s="50"/>
      <c r="AD70" s="50"/>
      <c r="AE70" s="50"/>
      <c r="AF70" s="50"/>
      <c r="AG70" s="18"/>
      <c r="AH70" s="48" t="s">
        <v>123</v>
      </c>
      <c r="AI70" s="53">
        <f>COUNTIF(Juin19[[#This Row],[1]:[30]],AI$6)</f>
        <v>0</v>
      </c>
      <c r="AJ70" s="53">
        <f>COUNTIF(Juin19[[#This Row],[1]:[30]],AJ$6)/2</f>
        <v>0</v>
      </c>
      <c r="AK70" s="53">
        <f t="shared" si="15"/>
        <v>0</v>
      </c>
      <c r="AL70" s="53">
        <f>COUNTIF(Juin19[[#This Row],[1]:[30]],AL$6)</f>
        <v>0</v>
      </c>
      <c r="AM70" s="53">
        <f>COUNTIF(Juin19[[#This Row],[1]:[30]],AM$6)/2</f>
        <v>0</v>
      </c>
      <c r="AN70" s="53">
        <f t="shared" si="16"/>
        <v>0</v>
      </c>
      <c r="AO70" s="53">
        <f>COUNTIF(Juin19[[#This Row],[1]:[30]],AO$6)</f>
        <v>0</v>
      </c>
      <c r="AP70" s="53">
        <f>COUNTIF(Juin19[[#This Row],[1]:[30]],AP$6)</f>
        <v>0</v>
      </c>
      <c r="AQ70" s="53">
        <f>COUNTIF(Juin19[[#This Row],[1]:[30]],AQ$6)/2</f>
        <v>0</v>
      </c>
      <c r="AR70" s="53">
        <f t="shared" si="17"/>
        <v>0</v>
      </c>
      <c r="AS70" s="53">
        <f>COUNTIF(Juin19[[#This Row],[1]:[30]],AS$6)</f>
        <v>0</v>
      </c>
      <c r="AT70" s="53">
        <f>COUNTIF(Juin19[[#This Row],[1]:[30]],AT$6)/2</f>
        <v>0</v>
      </c>
      <c r="AU70" s="53">
        <f t="shared" si="18"/>
        <v>0</v>
      </c>
      <c r="AV70" s="54">
        <f t="shared" si="19"/>
        <v>0</v>
      </c>
      <c r="AW70" s="78">
        <f t="shared" si="20"/>
        <v>0</v>
      </c>
    </row>
    <row r="71" spans="1:49" x14ac:dyDescent="0.3">
      <c r="A71" s="48" t="s">
        <v>124</v>
      </c>
      <c r="B71" s="50"/>
      <c r="C71" s="50"/>
      <c r="D71" s="50"/>
      <c r="E71" s="50"/>
      <c r="F71" s="49"/>
      <c r="G71" s="50"/>
      <c r="H71" s="50"/>
      <c r="I71" s="50"/>
      <c r="J71" s="50"/>
      <c r="K71" s="50"/>
      <c r="L71" s="50"/>
      <c r="M71" s="50" t="s">
        <v>82</v>
      </c>
      <c r="N71" s="50" t="s">
        <v>82</v>
      </c>
      <c r="O71" s="50"/>
      <c r="P71" s="50"/>
      <c r="Q71" s="50"/>
      <c r="R71" s="50"/>
      <c r="S71" s="50"/>
      <c r="T71" s="50"/>
      <c r="U71" s="50"/>
      <c r="V71" s="50"/>
      <c r="W71" s="50"/>
      <c r="X71" s="50"/>
      <c r="Y71" s="50"/>
      <c r="Z71" s="50"/>
      <c r="AA71" s="50"/>
      <c r="AB71" s="50"/>
      <c r="AC71" s="50"/>
      <c r="AD71" s="50"/>
      <c r="AE71" s="50"/>
      <c r="AF71" s="50"/>
      <c r="AG71" s="18"/>
      <c r="AH71" s="48" t="s">
        <v>124</v>
      </c>
      <c r="AI71" s="51">
        <f>COUNTIF(Juin19[[#This Row],[1]:[30]],AI$6)</f>
        <v>0</v>
      </c>
      <c r="AJ71" s="51">
        <f>COUNTIF(Juin19[[#This Row],[1]:[30]],AJ$6)/2</f>
        <v>0</v>
      </c>
      <c r="AK71" s="51">
        <f t="shared" si="15"/>
        <v>0</v>
      </c>
      <c r="AL71" s="51">
        <f>COUNTIF(Juin19[[#This Row],[1]:[30]],AL$6)</f>
        <v>0</v>
      </c>
      <c r="AM71" s="51">
        <f>COUNTIF(Juin19[[#This Row],[1]:[30]],AM$6)/2</f>
        <v>0</v>
      </c>
      <c r="AN71" s="51">
        <f t="shared" si="16"/>
        <v>0</v>
      </c>
      <c r="AO71" s="51">
        <f>COUNTIF(Juin19[[#This Row],[1]:[30]],AO$6)</f>
        <v>0</v>
      </c>
      <c r="AP71" s="51">
        <f>COUNTIF(Juin19[[#This Row],[1]:[30]],AP$6)</f>
        <v>2</v>
      </c>
      <c r="AQ71" s="51">
        <f>COUNTIF(Juin19[[#This Row],[1]:[30]],AQ$6)/2</f>
        <v>0</v>
      </c>
      <c r="AR71" s="51">
        <f t="shared" si="17"/>
        <v>2</v>
      </c>
      <c r="AS71" s="51">
        <f>COUNTIF(Juin19[[#This Row],[1]:[30]],AS$6)</f>
        <v>0</v>
      </c>
      <c r="AT71" s="51">
        <f>COUNTIF(Juin19[[#This Row],[1]:[30]],AT$6)/2</f>
        <v>0</v>
      </c>
      <c r="AU71" s="51">
        <f t="shared" si="18"/>
        <v>0</v>
      </c>
      <c r="AV71" s="52">
        <f t="shared" si="19"/>
        <v>2</v>
      </c>
      <c r="AW71" s="77">
        <f t="shared" si="20"/>
        <v>2</v>
      </c>
    </row>
    <row r="72" spans="1:49" ht="17.25" thickBot="1" x14ac:dyDescent="0.35">
      <c r="A72" s="48" t="s">
        <v>125</v>
      </c>
      <c r="B72" s="50"/>
      <c r="C72" s="50"/>
      <c r="D72" s="50"/>
      <c r="E72" s="50"/>
      <c r="F72" s="49"/>
      <c r="G72" s="50" t="s">
        <v>71</v>
      </c>
      <c r="H72" s="50"/>
      <c r="I72" s="50"/>
      <c r="J72" s="50"/>
      <c r="K72" s="50"/>
      <c r="L72" s="50"/>
      <c r="M72" s="50"/>
      <c r="N72" s="50"/>
      <c r="O72" s="50"/>
      <c r="P72" s="50"/>
      <c r="Q72" s="50"/>
      <c r="R72" s="50"/>
      <c r="S72" s="50"/>
      <c r="T72" s="50"/>
      <c r="U72" s="50"/>
      <c r="V72" s="50"/>
      <c r="W72" s="50"/>
      <c r="X72" s="50"/>
      <c r="Y72" s="50"/>
      <c r="Z72" s="50"/>
      <c r="AA72" s="50" t="s">
        <v>71</v>
      </c>
      <c r="AB72" s="50" t="s">
        <v>71</v>
      </c>
      <c r="AC72" s="50" t="s">
        <v>71</v>
      </c>
      <c r="AD72" s="50" t="s">
        <v>71</v>
      </c>
      <c r="AE72" s="50" t="s">
        <v>71</v>
      </c>
      <c r="AF72" s="50"/>
      <c r="AG72" s="18"/>
      <c r="AH72" s="48" t="s">
        <v>125</v>
      </c>
      <c r="AI72" s="53">
        <f>COUNTIF(Juin19[[#This Row],[1]:[30]],AI$6)</f>
        <v>6</v>
      </c>
      <c r="AJ72" s="53">
        <f>COUNTIF(Juin19[[#This Row],[1]:[30]],AJ$6)/2</f>
        <v>0</v>
      </c>
      <c r="AK72" s="53">
        <f t="shared" si="15"/>
        <v>6</v>
      </c>
      <c r="AL72" s="53">
        <f>COUNTIF(Juin19[[#This Row],[1]:[30]],AL$6)</f>
        <v>0</v>
      </c>
      <c r="AM72" s="53">
        <f>COUNTIF(Juin19[[#This Row],[1]:[30]],AM$6)/2</f>
        <v>0</v>
      </c>
      <c r="AN72" s="53">
        <f t="shared" si="16"/>
        <v>0</v>
      </c>
      <c r="AO72" s="53">
        <f>COUNTIF(Juin19[[#This Row],[1]:[30]],AO$6)</f>
        <v>0</v>
      </c>
      <c r="AP72" s="53">
        <f>COUNTIF(Juin19[[#This Row],[1]:[30]],AP$6)</f>
        <v>0</v>
      </c>
      <c r="AQ72" s="53">
        <f>COUNTIF(Juin19[[#This Row],[1]:[30]],AQ$6)/2</f>
        <v>0</v>
      </c>
      <c r="AR72" s="53">
        <f t="shared" si="17"/>
        <v>0</v>
      </c>
      <c r="AS72" s="53">
        <f>COUNTIF(Juin19[[#This Row],[1]:[30]],AS$6)</f>
        <v>0</v>
      </c>
      <c r="AT72" s="53">
        <f>COUNTIF(Juin19[[#This Row],[1]:[30]],AT$6)/2</f>
        <v>0</v>
      </c>
      <c r="AU72" s="53">
        <f t="shared" si="18"/>
        <v>0</v>
      </c>
      <c r="AV72" s="55">
        <f t="shared" si="19"/>
        <v>6</v>
      </c>
      <c r="AW72" s="79">
        <f t="shared" si="20"/>
        <v>1</v>
      </c>
    </row>
    <row r="74" spans="1:49" s="18" customFormat="1" ht="14.25" thickBot="1" x14ac:dyDescent="0.3">
      <c r="A74" s="19" t="s">
        <v>79</v>
      </c>
      <c r="B74" s="20" t="s">
        <v>27</v>
      </c>
      <c r="C74" s="21" t="s">
        <v>76</v>
      </c>
      <c r="E74" s="22" t="s">
        <v>80</v>
      </c>
      <c r="F74" s="23" t="s">
        <v>77</v>
      </c>
      <c r="G74" s="23"/>
      <c r="H74" s="24" t="s">
        <v>70</v>
      </c>
      <c r="I74" s="25" t="s">
        <v>3</v>
      </c>
      <c r="J74" s="23"/>
      <c r="K74" s="26" t="s">
        <v>81</v>
      </c>
      <c r="L74" s="27" t="s">
        <v>78</v>
      </c>
      <c r="M74" s="23"/>
      <c r="N74" s="28" t="s">
        <v>25</v>
      </c>
      <c r="O74" s="25" t="s">
        <v>28</v>
      </c>
      <c r="P74" s="25"/>
      <c r="Q74" s="29" t="s">
        <v>67</v>
      </c>
      <c r="R74" s="30" t="s">
        <v>66</v>
      </c>
      <c r="S74" s="30"/>
      <c r="T74" s="31" t="s">
        <v>84</v>
      </c>
      <c r="U74" s="23" t="s">
        <v>85</v>
      </c>
      <c r="V74" s="23"/>
      <c r="W74" s="23"/>
      <c r="X74" s="32" t="s">
        <v>68</v>
      </c>
      <c r="Y74" s="33" t="s">
        <v>69</v>
      </c>
      <c r="Z74" s="33"/>
      <c r="AA74" s="34" t="s">
        <v>83</v>
      </c>
      <c r="AB74" s="33" t="s">
        <v>86</v>
      </c>
      <c r="AC74" s="33"/>
      <c r="AD74" s="33"/>
      <c r="AE74" s="33"/>
      <c r="AF74" s="33"/>
    </row>
    <row r="75" spans="1:49" s="61" customFormat="1" ht="32.25" customHeight="1" x14ac:dyDescent="0.3">
      <c r="A75" s="126" t="s">
        <v>111</v>
      </c>
      <c r="B75" s="125"/>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H75" s="125"/>
    </row>
    <row r="76" spans="1:49" ht="30" thickBot="1" x14ac:dyDescent="0.35">
      <c r="A76" s="17" t="s">
        <v>15</v>
      </c>
      <c r="B76" s="140" t="s">
        <v>29</v>
      </c>
      <c r="C76" s="140"/>
      <c r="D76" s="140"/>
      <c r="E76" s="140"/>
      <c r="F76" s="140"/>
      <c r="G76" s="140"/>
      <c r="H76" s="140"/>
      <c r="I76" s="140"/>
      <c r="J76" s="140"/>
      <c r="K76" s="140"/>
      <c r="L76" s="140"/>
      <c r="M76" s="140"/>
      <c r="N76" s="140"/>
      <c r="O76" s="140"/>
      <c r="P76" s="140"/>
      <c r="Q76" s="140"/>
      <c r="R76" s="140"/>
      <c r="S76" s="140"/>
      <c r="T76" s="140"/>
      <c r="U76" s="140"/>
      <c r="V76" s="140"/>
      <c r="W76" s="140"/>
      <c r="X76" s="140"/>
      <c r="Y76" s="140"/>
      <c r="Z76" s="140"/>
      <c r="AA76" s="140"/>
      <c r="AB76" s="140"/>
      <c r="AC76" s="140"/>
      <c r="AD76" s="140"/>
      <c r="AE76" s="140"/>
      <c r="AF76" s="140"/>
      <c r="AG76" s="17"/>
      <c r="AH76" s="140" t="s">
        <v>91</v>
      </c>
      <c r="AI76" s="140"/>
      <c r="AJ76" s="140"/>
      <c r="AK76" s="140"/>
      <c r="AL76" s="140"/>
      <c r="AM76" s="140"/>
      <c r="AN76" s="140"/>
      <c r="AO76" s="140"/>
      <c r="AP76" s="140"/>
      <c r="AQ76" s="140"/>
      <c r="AR76" s="140"/>
      <c r="AS76" s="140"/>
      <c r="AT76" s="140"/>
      <c r="AU76" s="140"/>
      <c r="AV76" s="140"/>
      <c r="AW76" s="140"/>
    </row>
    <row r="77" spans="1:49" ht="18" thickTop="1" thickBot="1" x14ac:dyDescent="0.35">
      <c r="A77" s="35">
        <v>7</v>
      </c>
      <c r="B77" s="36" t="str">
        <f t="shared" ref="B77:AF77" si="21">TEXT(WEEKDAY(DATE(AnnéeCalendrier,$A$53,B$54),13),"jjj")</f>
        <v>sam</v>
      </c>
      <c r="C77" s="36" t="str">
        <f t="shared" si="21"/>
        <v>dim</v>
      </c>
      <c r="D77" s="36" t="str">
        <f t="shared" si="21"/>
        <v>lun</v>
      </c>
      <c r="E77" s="36" t="str">
        <f t="shared" si="21"/>
        <v>mar</v>
      </c>
      <c r="F77" s="36" t="str">
        <f t="shared" si="21"/>
        <v>mer</v>
      </c>
      <c r="G77" s="36" t="str">
        <f t="shared" si="21"/>
        <v>jeu</v>
      </c>
      <c r="H77" s="36" t="str">
        <f t="shared" si="21"/>
        <v>ven</v>
      </c>
      <c r="I77" s="36" t="str">
        <f t="shared" si="21"/>
        <v>sam</v>
      </c>
      <c r="J77" s="36" t="str">
        <f t="shared" si="21"/>
        <v>dim</v>
      </c>
      <c r="K77" s="36" t="str">
        <f t="shared" si="21"/>
        <v>lun</v>
      </c>
      <c r="L77" s="36" t="str">
        <f t="shared" si="21"/>
        <v>mar</v>
      </c>
      <c r="M77" s="36" t="str">
        <f t="shared" si="21"/>
        <v>mer</v>
      </c>
      <c r="N77" s="36" t="str">
        <f t="shared" si="21"/>
        <v>jeu</v>
      </c>
      <c r="O77" s="36" t="str">
        <f t="shared" si="21"/>
        <v>ven</v>
      </c>
      <c r="P77" s="36" t="str">
        <f t="shared" si="21"/>
        <v>sam</v>
      </c>
      <c r="Q77" s="36" t="str">
        <f t="shared" si="21"/>
        <v>dim</v>
      </c>
      <c r="R77" s="36" t="str">
        <f t="shared" si="21"/>
        <v>lun</v>
      </c>
      <c r="S77" s="36" t="str">
        <f t="shared" si="21"/>
        <v>mar</v>
      </c>
      <c r="T77" s="36" t="str">
        <f t="shared" si="21"/>
        <v>mer</v>
      </c>
      <c r="U77" s="36" t="str">
        <f t="shared" si="21"/>
        <v>jeu</v>
      </c>
      <c r="V77" s="36" t="str">
        <f t="shared" si="21"/>
        <v>ven</v>
      </c>
      <c r="W77" s="36" t="str">
        <f t="shared" si="21"/>
        <v>sam</v>
      </c>
      <c r="X77" s="36" t="str">
        <f t="shared" si="21"/>
        <v>dim</v>
      </c>
      <c r="Y77" s="36" t="str">
        <f t="shared" si="21"/>
        <v>lun</v>
      </c>
      <c r="Z77" s="36" t="str">
        <f t="shared" si="21"/>
        <v>mar</v>
      </c>
      <c r="AA77" s="36" t="str">
        <f t="shared" si="21"/>
        <v>mer</v>
      </c>
      <c r="AB77" s="36" t="str">
        <f t="shared" si="21"/>
        <v>jeu</v>
      </c>
      <c r="AC77" s="36" t="str">
        <f t="shared" si="21"/>
        <v>ven</v>
      </c>
      <c r="AD77" s="36" t="str">
        <f t="shared" si="21"/>
        <v>sam</v>
      </c>
      <c r="AE77" s="36" t="str">
        <f t="shared" si="21"/>
        <v>dim</v>
      </c>
      <c r="AF77" s="36" t="str">
        <f t="shared" si="21"/>
        <v>lun</v>
      </c>
      <c r="AG77" s="18"/>
      <c r="AH77" s="35">
        <v>7</v>
      </c>
      <c r="AI77" s="18"/>
      <c r="AJ77" s="18"/>
      <c r="AK77" s="18"/>
      <c r="AL77" s="18"/>
      <c r="AM77" s="18"/>
      <c r="AN77" s="18"/>
      <c r="AO77" s="18"/>
      <c r="AP77" s="18"/>
      <c r="AQ77" s="18"/>
      <c r="AR77" s="18"/>
      <c r="AS77" s="18"/>
      <c r="AT77" s="18"/>
      <c r="AU77" s="18"/>
      <c r="AV77" s="18"/>
      <c r="AW77" s="18"/>
    </row>
    <row r="78" spans="1:49" x14ac:dyDescent="0.3">
      <c r="A78" s="59" t="s">
        <v>24</v>
      </c>
      <c r="B78" s="56" t="s">
        <v>30</v>
      </c>
      <c r="C78" s="56" t="s">
        <v>31</v>
      </c>
      <c r="D78" s="56" t="s">
        <v>32</v>
      </c>
      <c r="E78" s="56" t="s">
        <v>33</v>
      </c>
      <c r="F78" s="56" t="s">
        <v>34</v>
      </c>
      <c r="G78" s="56" t="s">
        <v>35</v>
      </c>
      <c r="H78" s="56" t="s">
        <v>36</v>
      </c>
      <c r="I78" s="56" t="s">
        <v>37</v>
      </c>
      <c r="J78" s="56" t="s">
        <v>38</v>
      </c>
      <c r="K78" s="56" t="s">
        <v>39</v>
      </c>
      <c r="L78" s="56" t="s">
        <v>40</v>
      </c>
      <c r="M78" s="56" t="s">
        <v>41</v>
      </c>
      <c r="N78" s="56" t="s">
        <v>42</v>
      </c>
      <c r="O78" s="56" t="s">
        <v>43</v>
      </c>
      <c r="P78" s="56" t="s">
        <v>44</v>
      </c>
      <c r="Q78" s="56" t="s">
        <v>45</v>
      </c>
      <c r="R78" s="56" t="s">
        <v>46</v>
      </c>
      <c r="S78" s="56" t="s">
        <v>47</v>
      </c>
      <c r="T78" s="56" t="s">
        <v>48</v>
      </c>
      <c r="U78" s="56" t="s">
        <v>49</v>
      </c>
      <c r="V78" s="56" t="s">
        <v>50</v>
      </c>
      <c r="W78" s="56" t="s">
        <v>51</v>
      </c>
      <c r="X78" s="56" t="s">
        <v>52</v>
      </c>
      <c r="Y78" s="56" t="s">
        <v>53</v>
      </c>
      <c r="Z78" s="56" t="s">
        <v>54</v>
      </c>
      <c r="AA78" s="56" t="s">
        <v>55</v>
      </c>
      <c r="AB78" s="56" t="s">
        <v>56</v>
      </c>
      <c r="AC78" s="56" t="s">
        <v>57</v>
      </c>
      <c r="AD78" s="60" t="s">
        <v>58</v>
      </c>
      <c r="AE78" s="60" t="s">
        <v>59</v>
      </c>
      <c r="AF78" s="60" t="s">
        <v>60</v>
      </c>
      <c r="AG78" s="18"/>
      <c r="AH78" s="59" t="s">
        <v>24</v>
      </c>
      <c r="AI78" s="40" t="s">
        <v>27</v>
      </c>
      <c r="AJ78" s="41" t="s">
        <v>80</v>
      </c>
      <c r="AK78" s="40" t="s">
        <v>76</v>
      </c>
      <c r="AL78" s="42" t="s">
        <v>70</v>
      </c>
      <c r="AM78" s="43" t="s">
        <v>81</v>
      </c>
      <c r="AN78" s="42" t="s">
        <v>3</v>
      </c>
      <c r="AO78" s="44" t="s">
        <v>25</v>
      </c>
      <c r="AP78" s="45" t="s">
        <v>67</v>
      </c>
      <c r="AQ78" s="31" t="s">
        <v>84</v>
      </c>
      <c r="AR78" s="45" t="s">
        <v>101</v>
      </c>
      <c r="AS78" s="46" t="s">
        <v>68</v>
      </c>
      <c r="AT78" s="34" t="s">
        <v>83</v>
      </c>
      <c r="AU78" s="46" t="s">
        <v>69</v>
      </c>
      <c r="AV78" s="58" t="s">
        <v>1</v>
      </c>
      <c r="AW78" s="76" t="s">
        <v>87</v>
      </c>
    </row>
    <row r="79" spans="1:49" x14ac:dyDescent="0.3">
      <c r="A79" s="48" t="s">
        <v>120</v>
      </c>
      <c r="B79" s="50"/>
      <c r="C79" s="50"/>
      <c r="D79" s="50"/>
      <c r="E79" s="50"/>
      <c r="F79" s="50"/>
      <c r="G79" s="50" t="s">
        <v>74</v>
      </c>
      <c r="H79" s="50" t="s">
        <v>75</v>
      </c>
      <c r="I79" s="50"/>
      <c r="J79" s="50"/>
      <c r="K79" s="50"/>
      <c r="L79" s="50"/>
      <c r="M79" s="50"/>
      <c r="N79" s="50"/>
      <c r="O79" s="49"/>
      <c r="P79" s="50"/>
      <c r="Q79" s="50"/>
      <c r="R79" s="50" t="s">
        <v>74</v>
      </c>
      <c r="S79" s="50" t="s">
        <v>71</v>
      </c>
      <c r="T79" s="50" t="s">
        <v>71</v>
      </c>
      <c r="U79" s="50" t="s">
        <v>71</v>
      </c>
      <c r="V79" s="50" t="s">
        <v>71</v>
      </c>
      <c r="W79" s="50"/>
      <c r="X79" s="50"/>
      <c r="Y79" s="50" t="s">
        <v>71</v>
      </c>
      <c r="Z79" s="50" t="s">
        <v>71</v>
      </c>
      <c r="AA79" s="50" t="s">
        <v>71</v>
      </c>
      <c r="AB79" s="50" t="s">
        <v>71</v>
      </c>
      <c r="AC79" s="50" t="s">
        <v>71</v>
      </c>
      <c r="AD79" s="50"/>
      <c r="AE79" s="50"/>
      <c r="AF79" s="50" t="s">
        <v>74</v>
      </c>
      <c r="AG79" s="18"/>
      <c r="AH79" s="48" t="s">
        <v>120</v>
      </c>
      <c r="AI79" s="51">
        <f>COUNTIF(Juillet20[[#This Row],[1]:[31]],AI$6)</f>
        <v>9</v>
      </c>
      <c r="AJ79" s="51">
        <f>COUNTIF(Juillet20[[#This Row],[1]:[31]],AJ$6)/2</f>
        <v>0</v>
      </c>
      <c r="AK79" s="51">
        <f>SUM(AI79:AJ79)</f>
        <v>9</v>
      </c>
      <c r="AL79" s="51">
        <f>COUNTIF(Juillet20[[#This Row],[1]:[31]],AL$6)</f>
        <v>3</v>
      </c>
      <c r="AM79" s="51">
        <f>COUNTIF(Juillet20[[#This Row],[1]:[31]],AM$6)/2</f>
        <v>0</v>
      </c>
      <c r="AN79" s="51">
        <f>SUM(AL79:AM79)</f>
        <v>3</v>
      </c>
      <c r="AO79" s="51">
        <f>COUNTIF(Juillet20[[#This Row],[1]:[31]],AO$6)</f>
        <v>0</v>
      </c>
      <c r="AP79" s="51">
        <f>COUNTIF(Juillet20[[#This Row],[1]:[31]],AP$6)</f>
        <v>0</v>
      </c>
      <c r="AQ79" s="51">
        <f>COUNTIF(Juillet20[[#This Row],[1]:[31]],AQ$6)/2</f>
        <v>0</v>
      </c>
      <c r="AR79" s="51">
        <f>SUM(AP79:AQ79)</f>
        <v>0</v>
      </c>
      <c r="AS79" s="51">
        <f>COUNTIF(Juillet20[[#This Row],[1]:[31]],AS$6)</f>
        <v>1</v>
      </c>
      <c r="AT79" s="51">
        <f>COUNTIF(Juillet20[[#This Row],[1]:[31]],AT$6)/2</f>
        <v>0</v>
      </c>
      <c r="AU79" s="51">
        <f>SUM(AS79:AT79)</f>
        <v>1</v>
      </c>
      <c r="AV79" s="52">
        <f>AK79+AN79+AO79+AR79+AU79</f>
        <v>13</v>
      </c>
      <c r="AW79" s="77">
        <f>COUNTA(V67,AF67,W67,X67,Y67,Z67,AA67,AB67,AC67,AD67,AE67,B79:U79)</f>
        <v>10</v>
      </c>
    </row>
    <row r="80" spans="1:49" x14ac:dyDescent="0.3">
      <c r="A80" s="48" t="s">
        <v>121</v>
      </c>
      <c r="B80" s="50"/>
      <c r="C80" s="50"/>
      <c r="D80" s="50"/>
      <c r="E80" s="50"/>
      <c r="F80" s="50"/>
      <c r="G80" s="50"/>
      <c r="H80" s="50" t="s">
        <v>89</v>
      </c>
      <c r="I80" s="50"/>
      <c r="J80" s="50"/>
      <c r="K80" s="50"/>
      <c r="L80" s="50"/>
      <c r="M80" s="50"/>
      <c r="N80" s="50"/>
      <c r="O80" s="49"/>
      <c r="P80" s="50"/>
      <c r="Q80" s="50"/>
      <c r="R80" s="50"/>
      <c r="S80" s="50"/>
      <c r="T80" s="50"/>
      <c r="U80" s="50"/>
      <c r="V80" s="50"/>
      <c r="W80" s="50"/>
      <c r="X80" s="50"/>
      <c r="Y80" s="50"/>
      <c r="Z80" s="50" t="s">
        <v>88</v>
      </c>
      <c r="AA80" s="50"/>
      <c r="AB80" s="50"/>
      <c r="AC80" s="50"/>
      <c r="AD80" s="50"/>
      <c r="AE80" s="50"/>
      <c r="AF80" s="50" t="s">
        <v>71</v>
      </c>
      <c r="AG80" s="18"/>
      <c r="AH80" s="48" t="s">
        <v>121</v>
      </c>
      <c r="AI80" s="51">
        <f>COUNTIF(Juillet20[[#This Row],[1]:[31]],AI$6)</f>
        <v>1</v>
      </c>
      <c r="AJ80" s="51">
        <f>COUNTIF(Juillet20[[#This Row],[1]:[31]],AJ$6)/2</f>
        <v>0</v>
      </c>
      <c r="AK80" s="53">
        <f t="shared" ref="AK80:AK84" si="22">SUM(AI80:AJ80)</f>
        <v>1</v>
      </c>
      <c r="AL80" s="53">
        <f>COUNTIF(Juillet20[[#This Row],[1]:[31]],AL$6)</f>
        <v>0</v>
      </c>
      <c r="AM80" s="53">
        <f>COUNTIF(Juillet20[[#This Row],[1]:[31]],AM$6)/2</f>
        <v>0.5</v>
      </c>
      <c r="AN80" s="53">
        <f>SUM(AL80:AM80)</f>
        <v>0.5</v>
      </c>
      <c r="AO80" s="53">
        <f>COUNTIF(Juillet20[[#This Row],[1]:[31]],AO$6)</f>
        <v>0</v>
      </c>
      <c r="AP80" s="53">
        <f>COUNTIF(Juillet20[[#This Row],[1]:[31]],AP$6)</f>
        <v>0</v>
      </c>
      <c r="AQ80" s="53">
        <f>COUNTIF(Juillet20[[#This Row],[1]:[31]],AQ$6)/2</f>
        <v>0</v>
      </c>
      <c r="AR80" s="53">
        <f t="shared" ref="AR80:AR84" si="23">SUM(AP80:AQ80)</f>
        <v>0</v>
      </c>
      <c r="AS80" s="53">
        <f>COUNTIF(Juillet20[[#This Row],[1]:[31]],AS$6)</f>
        <v>0</v>
      </c>
      <c r="AT80" s="53">
        <f>COUNTIF(Juillet20[[#This Row],[1]:[31]],AT$6)/2</f>
        <v>0.5</v>
      </c>
      <c r="AU80" s="53">
        <f t="shared" ref="AU80:AU84" si="24">SUM(AS80:AT80)</f>
        <v>0.5</v>
      </c>
      <c r="AV80" s="54">
        <f t="shared" ref="AV80:AV84" si="25">AK80+AN80+AO80+AR80+AU80</f>
        <v>2</v>
      </c>
      <c r="AW80" s="78">
        <f t="shared" ref="AW80:AW84" si="26">COUNTA(V68,AF68,W68,X68,Y68,Z68,AA68,AB68,AC68,AD68,AE68,B80:U80)</f>
        <v>2</v>
      </c>
    </row>
    <row r="81" spans="1:49" x14ac:dyDescent="0.3">
      <c r="A81" s="48" t="s">
        <v>122</v>
      </c>
      <c r="B81" s="50"/>
      <c r="C81" s="50"/>
      <c r="D81" s="50"/>
      <c r="E81" s="50"/>
      <c r="F81" s="50" t="s">
        <v>74</v>
      </c>
      <c r="G81" s="50"/>
      <c r="H81" s="50"/>
      <c r="I81" s="50"/>
      <c r="J81" s="50"/>
      <c r="K81" s="50"/>
      <c r="L81" s="50"/>
      <c r="M81" s="50"/>
      <c r="N81" s="50"/>
      <c r="O81" s="49"/>
      <c r="P81" s="50"/>
      <c r="Q81" s="50"/>
      <c r="R81" s="50" t="s">
        <v>71</v>
      </c>
      <c r="S81" s="50" t="s">
        <v>71</v>
      </c>
      <c r="T81" s="50" t="s">
        <v>71</v>
      </c>
      <c r="U81" s="50" t="s">
        <v>71</v>
      </c>
      <c r="V81" s="50" t="s">
        <v>71</v>
      </c>
      <c r="W81" s="50"/>
      <c r="X81" s="50"/>
      <c r="Y81" s="50"/>
      <c r="Z81" s="50"/>
      <c r="AA81" s="50"/>
      <c r="AB81" s="50"/>
      <c r="AC81" s="50"/>
      <c r="AD81" s="50"/>
      <c r="AE81" s="50"/>
      <c r="AF81" s="50"/>
      <c r="AG81" s="18"/>
      <c r="AH81" s="48" t="s">
        <v>122</v>
      </c>
      <c r="AI81" s="51">
        <f>COUNTIF(Juillet20[[#This Row],[1]:[31]],AI$6)</f>
        <v>5</v>
      </c>
      <c r="AJ81" s="51">
        <f>COUNTIF(Juillet20[[#This Row],[1]:[31]],AJ$6)/2</f>
        <v>0</v>
      </c>
      <c r="AK81" s="51">
        <f t="shared" si="22"/>
        <v>5</v>
      </c>
      <c r="AL81" s="51">
        <f>COUNTIF(Juillet20[[#This Row],[1]:[31]],AL$6)</f>
        <v>1</v>
      </c>
      <c r="AM81" s="51">
        <f>COUNTIF(Juillet20[[#This Row],[1]:[31]],AM$6)/2</f>
        <v>0</v>
      </c>
      <c r="AN81" s="51">
        <f t="shared" ref="AN81:AN84" si="27">SUM(AL81:AM81)</f>
        <v>1</v>
      </c>
      <c r="AO81" s="51">
        <f>COUNTIF(Juillet20[[#This Row],[1]:[31]],AO$6)</f>
        <v>0</v>
      </c>
      <c r="AP81" s="51">
        <f>COUNTIF(Juillet20[[#This Row],[1]:[31]],AP$6)</f>
        <v>0</v>
      </c>
      <c r="AQ81" s="51">
        <f>COUNTIF(Juillet20[[#This Row],[1]:[31]],AQ$6)/2</f>
        <v>0</v>
      </c>
      <c r="AR81" s="51">
        <f t="shared" si="23"/>
        <v>0</v>
      </c>
      <c r="AS81" s="51">
        <f>COUNTIF(Juillet20[[#This Row],[1]:[31]],AS$6)</f>
        <v>0</v>
      </c>
      <c r="AT81" s="51">
        <f>COUNTIF(Juillet20[[#This Row],[1]:[31]],AT$6)/2</f>
        <v>0</v>
      </c>
      <c r="AU81" s="51">
        <f t="shared" si="24"/>
        <v>0</v>
      </c>
      <c r="AV81" s="52">
        <f t="shared" si="25"/>
        <v>6</v>
      </c>
      <c r="AW81" s="77">
        <f t="shared" si="26"/>
        <v>5</v>
      </c>
    </row>
    <row r="82" spans="1:49" x14ac:dyDescent="0.3">
      <c r="A82" s="48" t="s">
        <v>123</v>
      </c>
      <c r="B82" s="50"/>
      <c r="C82" s="50"/>
      <c r="D82" s="50"/>
      <c r="E82" s="50"/>
      <c r="F82" s="50"/>
      <c r="G82" s="50"/>
      <c r="H82" s="50"/>
      <c r="I82" s="50"/>
      <c r="J82" s="50"/>
      <c r="K82" s="50"/>
      <c r="L82" s="50"/>
      <c r="M82" s="50"/>
      <c r="N82" s="50"/>
      <c r="O82" s="49"/>
      <c r="P82" s="50"/>
      <c r="Q82" s="50"/>
      <c r="R82" s="50"/>
      <c r="S82" s="50"/>
      <c r="T82" s="50"/>
      <c r="U82" s="50"/>
      <c r="V82" s="50"/>
      <c r="W82" s="50"/>
      <c r="X82" s="50"/>
      <c r="Y82" s="50"/>
      <c r="Z82" s="50"/>
      <c r="AA82" s="50"/>
      <c r="AB82" s="50"/>
      <c r="AC82" s="50"/>
      <c r="AD82" s="50"/>
      <c r="AE82" s="50"/>
      <c r="AF82" s="50"/>
      <c r="AG82" s="18"/>
      <c r="AH82" s="48" t="s">
        <v>123</v>
      </c>
      <c r="AI82" s="51">
        <f>COUNTIF(Juillet20[[#This Row],[1]:[31]],AI$6)</f>
        <v>0</v>
      </c>
      <c r="AJ82" s="51">
        <f>COUNTIF(Juillet20[[#This Row],[1]:[31]],AJ$6)/2</f>
        <v>0</v>
      </c>
      <c r="AK82" s="53">
        <f t="shared" si="22"/>
        <v>0</v>
      </c>
      <c r="AL82" s="53">
        <f>COUNTIF(Juillet20[[#This Row],[1]:[31]],AL$6)</f>
        <v>0</v>
      </c>
      <c r="AM82" s="53">
        <f>COUNTIF(Juillet20[[#This Row],[1]:[31]],AM$6)/2</f>
        <v>0</v>
      </c>
      <c r="AN82" s="53">
        <f t="shared" si="27"/>
        <v>0</v>
      </c>
      <c r="AO82" s="53">
        <f>COUNTIF(Juillet20[[#This Row],[1]:[31]],AO$6)</f>
        <v>0</v>
      </c>
      <c r="AP82" s="53">
        <f>COUNTIF(Juillet20[[#This Row],[1]:[31]],AP$6)</f>
        <v>0</v>
      </c>
      <c r="AQ82" s="53">
        <f>COUNTIF(Juillet20[[#This Row],[1]:[31]],AQ$6)/2</f>
        <v>0</v>
      </c>
      <c r="AR82" s="53">
        <f t="shared" si="23"/>
        <v>0</v>
      </c>
      <c r="AS82" s="53">
        <f>COUNTIF(Juillet20[[#This Row],[1]:[31]],AS$6)</f>
        <v>0</v>
      </c>
      <c r="AT82" s="53">
        <f>COUNTIF(Juillet20[[#This Row],[1]:[31]],AT$6)/2</f>
        <v>0</v>
      </c>
      <c r="AU82" s="53">
        <f t="shared" si="24"/>
        <v>0</v>
      </c>
      <c r="AV82" s="54">
        <f t="shared" si="25"/>
        <v>0</v>
      </c>
      <c r="AW82" s="78">
        <f t="shared" si="26"/>
        <v>0</v>
      </c>
    </row>
    <row r="83" spans="1:49" x14ac:dyDescent="0.3">
      <c r="A83" s="48" t="s">
        <v>124</v>
      </c>
      <c r="B83" s="50"/>
      <c r="C83" s="50"/>
      <c r="D83" s="50" t="s">
        <v>74</v>
      </c>
      <c r="E83" s="50" t="s">
        <v>71</v>
      </c>
      <c r="F83" s="50" t="s">
        <v>71</v>
      </c>
      <c r="G83" s="50" t="s">
        <v>71</v>
      </c>
      <c r="H83" s="50" t="s">
        <v>71</v>
      </c>
      <c r="I83" s="50"/>
      <c r="J83" s="50"/>
      <c r="K83" s="50" t="s">
        <v>82</v>
      </c>
      <c r="L83" s="50" t="s">
        <v>82</v>
      </c>
      <c r="M83" s="50" t="s">
        <v>82</v>
      </c>
      <c r="N83" s="50" t="s">
        <v>82</v>
      </c>
      <c r="O83" s="49"/>
      <c r="P83" s="50"/>
      <c r="Q83" s="50"/>
      <c r="R83" s="50"/>
      <c r="S83" s="50"/>
      <c r="T83" s="50"/>
      <c r="U83" s="50"/>
      <c r="V83" s="50"/>
      <c r="W83" s="50"/>
      <c r="X83" s="50"/>
      <c r="Y83" s="50"/>
      <c r="Z83" s="50"/>
      <c r="AA83" s="50"/>
      <c r="AB83" s="50"/>
      <c r="AC83" s="50"/>
      <c r="AD83" s="50"/>
      <c r="AE83" s="50"/>
      <c r="AF83" s="50"/>
      <c r="AG83" s="18"/>
      <c r="AH83" s="48" t="s">
        <v>124</v>
      </c>
      <c r="AI83" s="51">
        <f>COUNTIF(Juillet20[[#This Row],[1]:[31]],AI$6)</f>
        <v>4</v>
      </c>
      <c r="AJ83" s="51">
        <f>COUNTIF(Juillet20[[#This Row],[1]:[31]],AJ$6)/2</f>
        <v>0</v>
      </c>
      <c r="AK83" s="51">
        <f t="shared" si="22"/>
        <v>4</v>
      </c>
      <c r="AL83" s="51">
        <f>COUNTIF(Juillet20[[#This Row],[1]:[31]],AL$6)</f>
        <v>1</v>
      </c>
      <c r="AM83" s="51">
        <f>COUNTIF(Juillet20[[#This Row],[1]:[31]],AM$6)/2</f>
        <v>0</v>
      </c>
      <c r="AN83" s="51">
        <f t="shared" si="27"/>
        <v>1</v>
      </c>
      <c r="AO83" s="51">
        <f>COUNTIF(Juillet20[[#This Row],[1]:[31]],AO$6)</f>
        <v>0</v>
      </c>
      <c r="AP83" s="51">
        <f>COUNTIF(Juillet20[[#This Row],[1]:[31]],AP$6)</f>
        <v>4</v>
      </c>
      <c r="AQ83" s="51">
        <f>COUNTIF(Juillet20[[#This Row],[1]:[31]],AQ$6)/2</f>
        <v>0</v>
      </c>
      <c r="AR83" s="51">
        <f t="shared" si="23"/>
        <v>4</v>
      </c>
      <c r="AS83" s="51">
        <f>COUNTIF(Juillet20[[#This Row],[1]:[31]],AS$6)</f>
        <v>0</v>
      </c>
      <c r="AT83" s="51">
        <f>COUNTIF(Juillet20[[#This Row],[1]:[31]],AT$6)/2</f>
        <v>0</v>
      </c>
      <c r="AU83" s="51">
        <f t="shared" si="24"/>
        <v>0</v>
      </c>
      <c r="AV83" s="52">
        <f t="shared" si="25"/>
        <v>9</v>
      </c>
      <c r="AW83" s="77">
        <f t="shared" si="26"/>
        <v>9</v>
      </c>
    </row>
    <row r="84" spans="1:49" ht="17.25" thickBot="1" x14ac:dyDescent="0.35">
      <c r="A84" s="48" t="s">
        <v>125</v>
      </c>
      <c r="B84" s="50"/>
      <c r="C84" s="50"/>
      <c r="D84" s="50" t="s">
        <v>71</v>
      </c>
      <c r="E84" s="50" t="s">
        <v>71</v>
      </c>
      <c r="F84" s="50" t="s">
        <v>71</v>
      </c>
      <c r="G84" s="50" t="s">
        <v>71</v>
      </c>
      <c r="H84" s="50" t="s">
        <v>71</v>
      </c>
      <c r="I84" s="50"/>
      <c r="J84" s="50"/>
      <c r="K84" s="50"/>
      <c r="L84" s="50"/>
      <c r="M84" s="50"/>
      <c r="N84" s="50"/>
      <c r="O84" s="49"/>
      <c r="P84" s="50"/>
      <c r="Q84" s="50"/>
      <c r="R84" s="50"/>
      <c r="S84" s="50"/>
      <c r="T84" s="50"/>
      <c r="U84" s="50"/>
      <c r="V84" s="50"/>
      <c r="W84" s="50"/>
      <c r="X84" s="50"/>
      <c r="Y84" s="50"/>
      <c r="Z84" s="50"/>
      <c r="AA84" s="50"/>
      <c r="AB84" s="50"/>
      <c r="AC84" s="50"/>
      <c r="AD84" s="50"/>
      <c r="AE84" s="50"/>
      <c r="AF84" s="50"/>
      <c r="AG84" s="18"/>
      <c r="AH84" s="48" t="s">
        <v>125</v>
      </c>
      <c r="AI84" s="51">
        <f>COUNTIF(Juillet20[[#This Row],[1]:[31]],AI$6)</f>
        <v>5</v>
      </c>
      <c r="AJ84" s="51">
        <f>COUNTIF(Juillet20[[#This Row],[1]:[31]],AJ$6)/2</f>
        <v>0</v>
      </c>
      <c r="AK84" s="53">
        <f t="shared" si="22"/>
        <v>5</v>
      </c>
      <c r="AL84" s="53">
        <f>COUNTIF(Juillet20[[#This Row],[1]:[31]],AL$6)</f>
        <v>0</v>
      </c>
      <c r="AM84" s="53">
        <f>COUNTIF(Juillet20[[#This Row],[1]:[31]],AM$6)/2</f>
        <v>0</v>
      </c>
      <c r="AN84" s="53">
        <f t="shared" si="27"/>
        <v>0</v>
      </c>
      <c r="AO84" s="53">
        <f>COUNTIF(Juillet20[[#This Row],[1]:[31]],AO$6)</f>
        <v>0</v>
      </c>
      <c r="AP84" s="53">
        <f>COUNTIF(Juillet20[[#This Row],[1]:[31]],AP$6)</f>
        <v>0</v>
      </c>
      <c r="AQ84" s="53">
        <f>COUNTIF(Juillet20[[#This Row],[1]:[31]],AQ$6)/2</f>
        <v>0</v>
      </c>
      <c r="AR84" s="53">
        <f t="shared" si="23"/>
        <v>0</v>
      </c>
      <c r="AS84" s="53">
        <f>COUNTIF(Juillet20[[#This Row],[1]:[31]],AS$6)</f>
        <v>0</v>
      </c>
      <c r="AT84" s="53">
        <f>COUNTIF(Juillet20[[#This Row],[1]:[31]],AT$6)/2</f>
        <v>0</v>
      </c>
      <c r="AU84" s="53">
        <f t="shared" si="24"/>
        <v>0</v>
      </c>
      <c r="AV84" s="55">
        <f t="shared" si="25"/>
        <v>5</v>
      </c>
      <c r="AW84" s="79">
        <f t="shared" si="26"/>
        <v>10</v>
      </c>
    </row>
    <row r="86" spans="1:49" s="18" customFormat="1" ht="14.25" thickBot="1" x14ac:dyDescent="0.3">
      <c r="A86" s="19" t="s">
        <v>79</v>
      </c>
      <c r="B86" s="20" t="s">
        <v>27</v>
      </c>
      <c r="C86" s="21" t="s">
        <v>76</v>
      </c>
      <c r="E86" s="22" t="s">
        <v>80</v>
      </c>
      <c r="F86" s="23" t="s">
        <v>77</v>
      </c>
      <c r="G86" s="23"/>
      <c r="H86" s="24" t="s">
        <v>70</v>
      </c>
      <c r="I86" s="25" t="s">
        <v>3</v>
      </c>
      <c r="J86" s="23"/>
      <c r="K86" s="26" t="s">
        <v>81</v>
      </c>
      <c r="L86" s="27" t="s">
        <v>78</v>
      </c>
      <c r="M86" s="23"/>
      <c r="N86" s="28" t="s">
        <v>25</v>
      </c>
      <c r="O86" s="25" t="s">
        <v>28</v>
      </c>
      <c r="P86" s="25"/>
      <c r="Q86" s="29" t="s">
        <v>67</v>
      </c>
      <c r="R86" s="30" t="s">
        <v>66</v>
      </c>
      <c r="S86" s="30"/>
      <c r="T86" s="31" t="s">
        <v>84</v>
      </c>
      <c r="U86" s="23" t="s">
        <v>85</v>
      </c>
      <c r="V86" s="23"/>
      <c r="W86" s="23"/>
      <c r="X86" s="32" t="s">
        <v>68</v>
      </c>
      <c r="Y86" s="33" t="s">
        <v>69</v>
      </c>
      <c r="Z86" s="33"/>
      <c r="AA86" s="34" t="s">
        <v>83</v>
      </c>
      <c r="AB86" s="33" t="s">
        <v>86</v>
      </c>
      <c r="AC86" s="33"/>
      <c r="AD86" s="33"/>
      <c r="AE86" s="33"/>
      <c r="AF86" s="33"/>
    </row>
    <row r="87" spans="1:49" s="61" customFormat="1" ht="32.25" customHeight="1" x14ac:dyDescent="0.3">
      <c r="A87" s="126" t="s">
        <v>111</v>
      </c>
      <c r="B87" s="125"/>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H87" s="125"/>
    </row>
    <row r="88" spans="1:49" ht="30" thickBot="1" x14ac:dyDescent="0.35">
      <c r="A88" s="17" t="s">
        <v>73</v>
      </c>
      <c r="B88" s="140" t="s">
        <v>29</v>
      </c>
      <c r="C88" s="140"/>
      <c r="D88" s="140"/>
      <c r="E88" s="140"/>
      <c r="F88" s="140"/>
      <c r="G88" s="140"/>
      <c r="H88" s="140"/>
      <c r="I88" s="140"/>
      <c r="J88" s="140"/>
      <c r="K88" s="140"/>
      <c r="L88" s="140"/>
      <c r="M88" s="140"/>
      <c r="N88" s="140"/>
      <c r="O88" s="140"/>
      <c r="P88" s="140"/>
      <c r="Q88" s="140"/>
      <c r="R88" s="140"/>
      <c r="S88" s="140"/>
      <c r="T88" s="140"/>
      <c r="U88" s="140"/>
      <c r="V88" s="140"/>
      <c r="W88" s="140"/>
      <c r="X88" s="140"/>
      <c r="Y88" s="140"/>
      <c r="Z88" s="140"/>
      <c r="AA88" s="140"/>
      <c r="AB88" s="140"/>
      <c r="AC88" s="140"/>
      <c r="AD88" s="140"/>
      <c r="AE88" s="140"/>
      <c r="AF88" s="140"/>
      <c r="AG88" s="17"/>
      <c r="AH88" s="140" t="s">
        <v>91</v>
      </c>
      <c r="AI88" s="140"/>
      <c r="AJ88" s="140"/>
      <c r="AK88" s="140"/>
      <c r="AL88" s="140"/>
      <c r="AM88" s="140"/>
      <c r="AN88" s="140"/>
      <c r="AO88" s="140"/>
      <c r="AP88" s="140"/>
      <c r="AQ88" s="140"/>
      <c r="AR88" s="140"/>
      <c r="AS88" s="140"/>
      <c r="AT88" s="140"/>
      <c r="AU88" s="140"/>
      <c r="AV88" s="140"/>
      <c r="AW88" s="140"/>
    </row>
    <row r="89" spans="1:49" ht="18" thickTop="1" thickBot="1" x14ac:dyDescent="0.35">
      <c r="A89" s="35">
        <v>8</v>
      </c>
      <c r="B89" s="36" t="str">
        <f t="shared" ref="B89:AF89" si="28">TEXT(WEEKDAY(DATE(AnnéeCalendrier,$A$53,B$54),1),"jjj")</f>
        <v>mar</v>
      </c>
      <c r="C89" s="36" t="str">
        <f t="shared" si="28"/>
        <v>mer</v>
      </c>
      <c r="D89" s="36" t="str">
        <f t="shared" si="28"/>
        <v>jeu</v>
      </c>
      <c r="E89" s="36" t="str">
        <f t="shared" si="28"/>
        <v>ven</v>
      </c>
      <c r="F89" s="36" t="str">
        <f t="shared" si="28"/>
        <v>sam</v>
      </c>
      <c r="G89" s="36" t="str">
        <f t="shared" si="28"/>
        <v>dim</v>
      </c>
      <c r="H89" s="36" t="str">
        <f t="shared" si="28"/>
        <v>lun</v>
      </c>
      <c r="I89" s="36" t="str">
        <f t="shared" si="28"/>
        <v>mar</v>
      </c>
      <c r="J89" s="36" t="str">
        <f t="shared" si="28"/>
        <v>mer</v>
      </c>
      <c r="K89" s="36" t="str">
        <f t="shared" si="28"/>
        <v>jeu</v>
      </c>
      <c r="L89" s="36" t="str">
        <f t="shared" si="28"/>
        <v>ven</v>
      </c>
      <c r="M89" s="36" t="str">
        <f t="shared" si="28"/>
        <v>sam</v>
      </c>
      <c r="N89" s="36" t="str">
        <f t="shared" si="28"/>
        <v>dim</v>
      </c>
      <c r="O89" s="36" t="str">
        <f t="shared" si="28"/>
        <v>lun</v>
      </c>
      <c r="P89" s="36" t="str">
        <f t="shared" si="28"/>
        <v>mar</v>
      </c>
      <c r="Q89" s="36" t="str">
        <f t="shared" si="28"/>
        <v>mer</v>
      </c>
      <c r="R89" s="36" t="str">
        <f t="shared" si="28"/>
        <v>jeu</v>
      </c>
      <c r="S89" s="36" t="str">
        <f t="shared" si="28"/>
        <v>ven</v>
      </c>
      <c r="T89" s="36" t="str">
        <f t="shared" si="28"/>
        <v>sam</v>
      </c>
      <c r="U89" s="36" t="str">
        <f t="shared" si="28"/>
        <v>dim</v>
      </c>
      <c r="V89" s="36" t="str">
        <f t="shared" si="28"/>
        <v>lun</v>
      </c>
      <c r="W89" s="36" t="str">
        <f t="shared" si="28"/>
        <v>mar</v>
      </c>
      <c r="X89" s="36" t="str">
        <f t="shared" si="28"/>
        <v>mer</v>
      </c>
      <c r="Y89" s="36" t="str">
        <f t="shared" si="28"/>
        <v>jeu</v>
      </c>
      <c r="Z89" s="36" t="str">
        <f t="shared" si="28"/>
        <v>ven</v>
      </c>
      <c r="AA89" s="36" t="str">
        <f t="shared" si="28"/>
        <v>sam</v>
      </c>
      <c r="AB89" s="36" t="str">
        <f t="shared" si="28"/>
        <v>dim</v>
      </c>
      <c r="AC89" s="36" t="str">
        <f t="shared" si="28"/>
        <v>lun</v>
      </c>
      <c r="AD89" s="36" t="str">
        <f t="shared" si="28"/>
        <v>mar</v>
      </c>
      <c r="AE89" s="36" t="str">
        <f t="shared" si="28"/>
        <v>mer</v>
      </c>
      <c r="AF89" s="36" t="str">
        <f t="shared" si="28"/>
        <v>jeu</v>
      </c>
      <c r="AG89" s="18"/>
      <c r="AH89" s="35">
        <v>8</v>
      </c>
      <c r="AI89" s="18"/>
      <c r="AJ89" s="18"/>
      <c r="AK89" s="18"/>
      <c r="AL89" s="18"/>
      <c r="AM89" s="18"/>
      <c r="AN89" s="18"/>
      <c r="AO89" s="18"/>
      <c r="AP89" s="18"/>
      <c r="AQ89" s="18"/>
      <c r="AR89" s="18"/>
      <c r="AS89" s="18"/>
      <c r="AT89" s="18"/>
      <c r="AU89" s="18"/>
      <c r="AV89" s="18"/>
      <c r="AW89" s="18"/>
    </row>
    <row r="90" spans="1:49" x14ac:dyDescent="0.3">
      <c r="A90" s="59" t="s">
        <v>24</v>
      </c>
      <c r="B90" s="56" t="s">
        <v>30</v>
      </c>
      <c r="C90" s="56" t="s">
        <v>31</v>
      </c>
      <c r="D90" s="56" t="s">
        <v>32</v>
      </c>
      <c r="E90" s="56" t="s">
        <v>33</v>
      </c>
      <c r="F90" s="56" t="s">
        <v>34</v>
      </c>
      <c r="G90" s="56" t="s">
        <v>35</v>
      </c>
      <c r="H90" s="56" t="s">
        <v>36</v>
      </c>
      <c r="I90" s="56" t="s">
        <v>37</v>
      </c>
      <c r="J90" s="56" t="s">
        <v>38</v>
      </c>
      <c r="K90" s="56" t="s">
        <v>39</v>
      </c>
      <c r="L90" s="56" t="s">
        <v>40</v>
      </c>
      <c r="M90" s="56" t="s">
        <v>41</v>
      </c>
      <c r="N90" s="56" t="s">
        <v>42</v>
      </c>
      <c r="O90" s="56" t="s">
        <v>43</v>
      </c>
      <c r="P90" s="56" t="s">
        <v>44</v>
      </c>
      <c r="Q90" s="56" t="s">
        <v>45</v>
      </c>
      <c r="R90" s="56" t="s">
        <v>46</v>
      </c>
      <c r="S90" s="56" t="s">
        <v>47</v>
      </c>
      <c r="T90" s="56" t="s">
        <v>48</v>
      </c>
      <c r="U90" s="56" t="s">
        <v>49</v>
      </c>
      <c r="V90" s="56" t="s">
        <v>50</v>
      </c>
      <c r="W90" s="56" t="s">
        <v>51</v>
      </c>
      <c r="X90" s="56" t="s">
        <v>52</v>
      </c>
      <c r="Y90" s="56" t="s">
        <v>53</v>
      </c>
      <c r="Z90" s="56" t="s">
        <v>54</v>
      </c>
      <c r="AA90" s="56" t="s">
        <v>55</v>
      </c>
      <c r="AB90" s="56" t="s">
        <v>56</v>
      </c>
      <c r="AC90" s="56" t="s">
        <v>57</v>
      </c>
      <c r="AD90" s="60" t="s">
        <v>58</v>
      </c>
      <c r="AE90" s="60" t="s">
        <v>59</v>
      </c>
      <c r="AF90" s="60" t="s">
        <v>60</v>
      </c>
      <c r="AG90" s="18"/>
      <c r="AH90" s="59" t="s">
        <v>24</v>
      </c>
      <c r="AI90" s="40" t="s">
        <v>27</v>
      </c>
      <c r="AJ90" s="41" t="s">
        <v>80</v>
      </c>
      <c r="AK90" s="40" t="s">
        <v>76</v>
      </c>
      <c r="AL90" s="42" t="s">
        <v>70</v>
      </c>
      <c r="AM90" s="43" t="s">
        <v>81</v>
      </c>
      <c r="AN90" s="42" t="s">
        <v>3</v>
      </c>
      <c r="AO90" s="44" t="s">
        <v>25</v>
      </c>
      <c r="AP90" s="45" t="s">
        <v>67</v>
      </c>
      <c r="AQ90" s="31" t="s">
        <v>84</v>
      </c>
      <c r="AR90" s="45" t="s">
        <v>101</v>
      </c>
      <c r="AS90" s="46" t="s">
        <v>68</v>
      </c>
      <c r="AT90" s="34" t="s">
        <v>83</v>
      </c>
      <c r="AU90" s="46" t="s">
        <v>69</v>
      </c>
      <c r="AV90" s="58" t="s">
        <v>1</v>
      </c>
      <c r="AW90" s="76" t="s">
        <v>87</v>
      </c>
    </row>
    <row r="91" spans="1:49" x14ac:dyDescent="0.3">
      <c r="A91" s="48" t="s">
        <v>120</v>
      </c>
      <c r="B91" s="50"/>
      <c r="C91" s="50" t="s">
        <v>72</v>
      </c>
      <c r="D91" s="50"/>
      <c r="E91" s="50"/>
      <c r="F91" s="50"/>
      <c r="G91" s="50"/>
      <c r="H91" s="50"/>
      <c r="I91" s="50"/>
      <c r="J91" s="50"/>
      <c r="K91" s="50"/>
      <c r="L91" s="50"/>
      <c r="M91" s="50"/>
      <c r="N91" s="50"/>
      <c r="O91" s="50" t="s">
        <v>74</v>
      </c>
      <c r="P91" s="49"/>
      <c r="Q91" s="50"/>
      <c r="R91" s="50"/>
      <c r="S91" s="50"/>
      <c r="T91" s="50"/>
      <c r="U91" s="50"/>
      <c r="V91" s="50"/>
      <c r="W91" s="50"/>
      <c r="X91" s="50"/>
      <c r="Y91" s="50"/>
      <c r="Z91" s="50"/>
      <c r="AA91" s="50"/>
      <c r="AB91" s="50"/>
      <c r="AC91" s="50"/>
      <c r="AD91" s="50"/>
      <c r="AE91" s="50"/>
      <c r="AF91" s="50"/>
      <c r="AG91" s="18"/>
      <c r="AH91" s="48" t="s">
        <v>120</v>
      </c>
      <c r="AI91" s="51">
        <f>COUNTIF(Aout21[[#This Row],[1]:[31]],AI$6)</f>
        <v>0</v>
      </c>
      <c r="AJ91" s="51">
        <f>COUNTIF(Aout21[[#This Row],[1]:[31]],AJ$6)/2</f>
        <v>0</v>
      </c>
      <c r="AK91" s="51">
        <f>SUM(AI91:AJ91)</f>
        <v>0</v>
      </c>
      <c r="AL91" s="51">
        <f>COUNTIF(Aout21[[#This Row],[1]:[31]],AL$6)</f>
        <v>1</v>
      </c>
      <c r="AM91" s="51">
        <f>COUNTIF(Aout21[[#This Row],[1]:[31]],AM$6)/2</f>
        <v>0</v>
      </c>
      <c r="AN91" s="51">
        <f>SUM(AL91:AM91)</f>
        <v>1</v>
      </c>
      <c r="AO91" s="51">
        <f>COUNTIF(Aout21[[#This Row],[1]:[31]],AO$6)</f>
        <v>1</v>
      </c>
      <c r="AP91" s="51">
        <f>COUNTIF(Aout21[[#This Row],[1]:[31]],AP$6)</f>
        <v>0</v>
      </c>
      <c r="AQ91" s="51">
        <f>COUNTIF(Aout21[[#This Row],[1]:[31]],AQ$6)/2</f>
        <v>0</v>
      </c>
      <c r="AR91" s="51">
        <f>SUM(AP91:AQ91)</f>
        <v>0</v>
      </c>
      <c r="AS91" s="51">
        <f>COUNTIF(Aout21[[#This Row],[1]:[31]],AS$6)</f>
        <v>0</v>
      </c>
      <c r="AT91" s="51">
        <f>COUNTIF(Aout21[[#This Row],[1]:[31]],AT$6)/2</f>
        <v>0</v>
      </c>
      <c r="AU91" s="51">
        <f>SUM(AS91:AT91)</f>
        <v>0</v>
      </c>
      <c r="AV91" s="52">
        <f>AK91+AN91+AO91+AR91+AU91</f>
        <v>2</v>
      </c>
      <c r="AW91" s="77">
        <f>COUNTA(V79,AF79,W79,X79,Y79,Z79,AA79,AB79,AC79,AD79,AE79,B91:U91)</f>
        <v>9</v>
      </c>
    </row>
    <row r="92" spans="1:49" x14ac:dyDescent="0.3">
      <c r="A92" s="48" t="s">
        <v>121</v>
      </c>
      <c r="B92" s="50" t="s">
        <v>71</v>
      </c>
      <c r="C92" s="50" t="s">
        <v>71</v>
      </c>
      <c r="D92" s="50" t="s">
        <v>71</v>
      </c>
      <c r="E92" s="50" t="s">
        <v>71</v>
      </c>
      <c r="F92" s="50"/>
      <c r="G92" s="50"/>
      <c r="H92" s="50" t="s">
        <v>71</v>
      </c>
      <c r="I92" s="50" t="s">
        <v>71</v>
      </c>
      <c r="J92" s="50" t="s">
        <v>71</v>
      </c>
      <c r="K92" s="50" t="s">
        <v>71</v>
      </c>
      <c r="L92" s="50" t="s">
        <v>71</v>
      </c>
      <c r="M92" s="50"/>
      <c r="N92" s="50"/>
      <c r="O92" s="50" t="s">
        <v>74</v>
      </c>
      <c r="P92" s="49"/>
      <c r="Q92" s="50" t="s">
        <v>74</v>
      </c>
      <c r="R92" s="50" t="s">
        <v>74</v>
      </c>
      <c r="S92" s="50" t="s">
        <v>74</v>
      </c>
      <c r="T92" s="50"/>
      <c r="U92" s="50"/>
      <c r="V92" s="50"/>
      <c r="W92" s="50" t="s">
        <v>88</v>
      </c>
      <c r="X92" s="50"/>
      <c r="Y92" s="50"/>
      <c r="Z92" s="50"/>
      <c r="AA92" s="50"/>
      <c r="AB92" s="50"/>
      <c r="AC92" s="50"/>
      <c r="AD92" s="50"/>
      <c r="AE92" s="50"/>
      <c r="AF92" s="50"/>
      <c r="AG92" s="18"/>
      <c r="AH92" s="48" t="s">
        <v>121</v>
      </c>
      <c r="AI92" s="51">
        <f>COUNTIF(Aout21[[#This Row],[1]:[31]],AI$6)</f>
        <v>9</v>
      </c>
      <c r="AJ92" s="51">
        <f>COUNTIF(Aout21[[#This Row],[1]:[31]],AJ$6)/2</f>
        <v>0</v>
      </c>
      <c r="AK92" s="53">
        <f t="shared" ref="AK92:AK96" si="29">SUM(AI92:AJ92)</f>
        <v>9</v>
      </c>
      <c r="AL92" s="53">
        <f>COUNTIF(Aout21[[#This Row],[1]:[31]],AL$6)</f>
        <v>4</v>
      </c>
      <c r="AM92" s="53">
        <f>COUNTIF(Aout21[[#This Row],[1]:[31]],AM$6)/2</f>
        <v>0.5</v>
      </c>
      <c r="AN92" s="53">
        <f t="shared" ref="AN92:AN96" si="30">SUM(AL92:AM92)</f>
        <v>4.5</v>
      </c>
      <c r="AO92" s="53">
        <f>COUNTIF(Aout21[[#This Row],[1]:[31]],AO$6)</f>
        <v>0</v>
      </c>
      <c r="AP92" s="53">
        <f>COUNTIF(Aout21[[#This Row],[1]:[31]],AP$6)</f>
        <v>0</v>
      </c>
      <c r="AQ92" s="53">
        <f>COUNTIF(Aout21[[#This Row],[1]:[31]],AQ$6)/2</f>
        <v>0</v>
      </c>
      <c r="AR92" s="53">
        <f t="shared" ref="AR92:AR96" si="31">SUM(AP92:AQ92)</f>
        <v>0</v>
      </c>
      <c r="AS92" s="53">
        <f>COUNTIF(Aout21[[#This Row],[1]:[31]],AS$6)</f>
        <v>0</v>
      </c>
      <c r="AT92" s="53">
        <f>COUNTIF(Aout21[[#This Row],[1]:[31]],AT$6)/2</f>
        <v>0</v>
      </c>
      <c r="AU92" s="53">
        <f t="shared" ref="AU92:AU96" si="32">SUM(AS92:AT92)</f>
        <v>0</v>
      </c>
      <c r="AV92" s="54">
        <f t="shared" ref="AV92:AV96" si="33">AK92+AN92+AO92+AR92+AU92</f>
        <v>13.5</v>
      </c>
      <c r="AW92" s="78">
        <f t="shared" ref="AW92:AW96" si="34">COUNTA(V80,AF80,W80,X80,Y80,Z80,AA80,AB80,AC80,AD80,AE80,B92:U92)</f>
        <v>15</v>
      </c>
    </row>
    <row r="93" spans="1:49" x14ac:dyDescent="0.3">
      <c r="A93" s="48" t="s">
        <v>122</v>
      </c>
      <c r="B93" s="50"/>
      <c r="C93" s="50"/>
      <c r="D93" s="50"/>
      <c r="E93" s="50"/>
      <c r="F93" s="50"/>
      <c r="G93" s="50"/>
      <c r="H93" s="50" t="s">
        <v>71</v>
      </c>
      <c r="I93" s="50" t="s">
        <v>71</v>
      </c>
      <c r="J93" s="50" t="s">
        <v>71</v>
      </c>
      <c r="K93" s="50" t="s">
        <v>71</v>
      </c>
      <c r="L93" s="50" t="s">
        <v>71</v>
      </c>
      <c r="M93" s="50"/>
      <c r="N93" s="50"/>
      <c r="O93" s="50" t="s">
        <v>74</v>
      </c>
      <c r="P93" s="49"/>
      <c r="Q93" s="50" t="s">
        <v>71</v>
      </c>
      <c r="R93" s="50" t="s">
        <v>71</v>
      </c>
      <c r="S93" s="50" t="s">
        <v>71</v>
      </c>
      <c r="T93" s="50"/>
      <c r="U93" s="50"/>
      <c r="V93" s="50"/>
      <c r="W93" s="50"/>
      <c r="X93" s="50"/>
      <c r="Y93" s="50"/>
      <c r="Z93" s="50"/>
      <c r="AA93" s="50"/>
      <c r="AB93" s="50"/>
      <c r="AC93" s="50"/>
      <c r="AD93" s="50"/>
      <c r="AE93" s="50"/>
      <c r="AF93" s="50"/>
      <c r="AG93" s="18"/>
      <c r="AH93" s="48" t="s">
        <v>122</v>
      </c>
      <c r="AI93" s="51">
        <f>COUNTIF(Aout21[[#This Row],[1]:[31]],AI$6)</f>
        <v>8</v>
      </c>
      <c r="AJ93" s="51">
        <f>COUNTIF(Aout21[[#This Row],[1]:[31]],AJ$6)/2</f>
        <v>0</v>
      </c>
      <c r="AK93" s="51">
        <f t="shared" si="29"/>
        <v>8</v>
      </c>
      <c r="AL93" s="51">
        <f>COUNTIF(Aout21[[#This Row],[1]:[31]],AL$6)</f>
        <v>1</v>
      </c>
      <c r="AM93" s="51">
        <f>COUNTIF(Aout21[[#This Row],[1]:[31]],AM$6)/2</f>
        <v>0</v>
      </c>
      <c r="AN93" s="51">
        <f t="shared" si="30"/>
        <v>1</v>
      </c>
      <c r="AO93" s="51">
        <f>COUNTIF(Aout21[[#This Row],[1]:[31]],AO$6)</f>
        <v>0</v>
      </c>
      <c r="AP93" s="51">
        <f>COUNTIF(Aout21[[#This Row],[1]:[31]],AP$6)</f>
        <v>0</v>
      </c>
      <c r="AQ93" s="51">
        <f>COUNTIF(Aout21[[#This Row],[1]:[31]],AQ$6)/2</f>
        <v>0</v>
      </c>
      <c r="AR93" s="51">
        <f t="shared" si="31"/>
        <v>0</v>
      </c>
      <c r="AS93" s="51">
        <f>COUNTIF(Aout21[[#This Row],[1]:[31]],AS$6)</f>
        <v>0</v>
      </c>
      <c r="AT93" s="51">
        <f>COUNTIF(Aout21[[#This Row],[1]:[31]],AT$6)/2</f>
        <v>0</v>
      </c>
      <c r="AU93" s="51">
        <f t="shared" si="32"/>
        <v>0</v>
      </c>
      <c r="AV93" s="52">
        <f t="shared" si="33"/>
        <v>9</v>
      </c>
      <c r="AW93" s="77">
        <f t="shared" si="34"/>
        <v>10</v>
      </c>
    </row>
    <row r="94" spans="1:49" x14ac:dyDescent="0.3">
      <c r="A94" s="48" t="s">
        <v>123</v>
      </c>
      <c r="B94" s="50"/>
      <c r="C94" s="50"/>
      <c r="D94" s="50"/>
      <c r="E94" s="50"/>
      <c r="F94" s="50"/>
      <c r="G94" s="50"/>
      <c r="H94" s="50"/>
      <c r="I94" s="50"/>
      <c r="J94" s="50"/>
      <c r="K94" s="50"/>
      <c r="L94" s="50"/>
      <c r="M94" s="50"/>
      <c r="N94" s="50"/>
      <c r="O94" s="50" t="s">
        <v>71</v>
      </c>
      <c r="P94" s="49"/>
      <c r="Q94" s="50"/>
      <c r="R94" s="50"/>
      <c r="S94" s="50"/>
      <c r="T94" s="50"/>
      <c r="U94" s="50"/>
      <c r="V94" s="50"/>
      <c r="W94" s="50" t="s">
        <v>74</v>
      </c>
      <c r="X94" s="50" t="s">
        <v>74</v>
      </c>
      <c r="Y94" s="50" t="s">
        <v>71</v>
      </c>
      <c r="Z94" s="50" t="s">
        <v>71</v>
      </c>
      <c r="AA94" s="50"/>
      <c r="AB94" s="50"/>
      <c r="AC94" s="50" t="s">
        <v>71</v>
      </c>
      <c r="AD94" s="50" t="s">
        <v>71</v>
      </c>
      <c r="AE94" s="50" t="s">
        <v>71</v>
      </c>
      <c r="AF94" s="50" t="s">
        <v>71</v>
      </c>
      <c r="AG94" s="18"/>
      <c r="AH94" s="48" t="s">
        <v>123</v>
      </c>
      <c r="AI94" s="51">
        <f>COUNTIF(Aout21[[#This Row],[1]:[31]],AI$6)</f>
        <v>7</v>
      </c>
      <c r="AJ94" s="51">
        <f>COUNTIF(Aout21[[#This Row],[1]:[31]],AJ$6)/2</f>
        <v>0</v>
      </c>
      <c r="AK94" s="53">
        <f t="shared" si="29"/>
        <v>7</v>
      </c>
      <c r="AL94" s="53">
        <f>COUNTIF(Aout21[[#This Row],[1]:[31]],AL$6)</f>
        <v>2</v>
      </c>
      <c r="AM94" s="53">
        <f>COUNTIF(Aout21[[#This Row],[1]:[31]],AM$6)/2</f>
        <v>0</v>
      </c>
      <c r="AN94" s="53">
        <f t="shared" si="30"/>
        <v>2</v>
      </c>
      <c r="AO94" s="53">
        <f>COUNTIF(Aout21[[#This Row],[1]:[31]],AO$6)</f>
        <v>0</v>
      </c>
      <c r="AP94" s="53">
        <f>COUNTIF(Aout21[[#This Row],[1]:[31]],AP$6)</f>
        <v>0</v>
      </c>
      <c r="AQ94" s="53">
        <f>COUNTIF(Aout21[[#This Row],[1]:[31]],AQ$6)/2</f>
        <v>0</v>
      </c>
      <c r="AR94" s="53">
        <f t="shared" si="31"/>
        <v>0</v>
      </c>
      <c r="AS94" s="53">
        <f>COUNTIF(Aout21[[#This Row],[1]:[31]],AS$6)</f>
        <v>0</v>
      </c>
      <c r="AT94" s="53">
        <f>COUNTIF(Aout21[[#This Row],[1]:[31]],AT$6)/2</f>
        <v>0</v>
      </c>
      <c r="AU94" s="53">
        <f t="shared" si="32"/>
        <v>0</v>
      </c>
      <c r="AV94" s="54">
        <f t="shared" si="33"/>
        <v>9</v>
      </c>
      <c r="AW94" s="78">
        <f t="shared" si="34"/>
        <v>1</v>
      </c>
    </row>
    <row r="95" spans="1:49" x14ac:dyDescent="0.3">
      <c r="A95" s="48" t="s">
        <v>124</v>
      </c>
      <c r="B95" s="50"/>
      <c r="C95" s="50"/>
      <c r="D95" s="50"/>
      <c r="E95" s="50"/>
      <c r="F95" s="50"/>
      <c r="G95" s="50"/>
      <c r="H95" s="50"/>
      <c r="I95" s="50"/>
      <c r="J95" s="50"/>
      <c r="K95" s="50"/>
      <c r="L95" s="50"/>
      <c r="M95" s="50"/>
      <c r="N95" s="50"/>
      <c r="O95" s="50"/>
      <c r="P95" s="49"/>
      <c r="Q95" s="50"/>
      <c r="R95" s="50"/>
      <c r="S95" s="50"/>
      <c r="T95" s="50"/>
      <c r="U95" s="50"/>
      <c r="V95" s="50"/>
      <c r="W95" s="50"/>
      <c r="X95" s="50"/>
      <c r="Y95" s="50"/>
      <c r="Z95" s="50" t="s">
        <v>88</v>
      </c>
      <c r="AA95" s="50"/>
      <c r="AB95" s="50"/>
      <c r="AC95" s="50" t="s">
        <v>74</v>
      </c>
      <c r="AD95" s="50" t="s">
        <v>82</v>
      </c>
      <c r="AE95" s="50" t="s">
        <v>82</v>
      </c>
      <c r="AF95" s="50" t="s">
        <v>82</v>
      </c>
      <c r="AG95" s="18"/>
      <c r="AH95" s="48" t="s">
        <v>124</v>
      </c>
      <c r="AI95" s="51">
        <f>COUNTIF(Aout21[[#This Row],[1]:[31]],AI$6)</f>
        <v>0</v>
      </c>
      <c r="AJ95" s="51">
        <f>COUNTIF(Aout21[[#This Row],[1]:[31]],AJ$6)/2</f>
        <v>0</v>
      </c>
      <c r="AK95" s="51">
        <f t="shared" si="29"/>
        <v>0</v>
      </c>
      <c r="AL95" s="51">
        <f>COUNTIF(Aout21[[#This Row],[1]:[31]],AL$6)</f>
        <v>1</v>
      </c>
      <c r="AM95" s="51">
        <f>COUNTIF(Aout21[[#This Row],[1]:[31]],AM$6)/2</f>
        <v>0.5</v>
      </c>
      <c r="AN95" s="51">
        <f t="shared" si="30"/>
        <v>1.5</v>
      </c>
      <c r="AO95" s="51">
        <f>COUNTIF(Aout21[[#This Row],[1]:[31]],AO$6)</f>
        <v>0</v>
      </c>
      <c r="AP95" s="51">
        <f>COUNTIF(Aout21[[#This Row],[1]:[31]],AP$6)</f>
        <v>3</v>
      </c>
      <c r="AQ95" s="51">
        <f>COUNTIF(Aout21[[#This Row],[1]:[31]],AQ$6)/2</f>
        <v>0</v>
      </c>
      <c r="AR95" s="51">
        <f t="shared" si="31"/>
        <v>3</v>
      </c>
      <c r="AS95" s="51">
        <f>COUNTIF(Aout21[[#This Row],[1]:[31]],AS$6)</f>
        <v>0</v>
      </c>
      <c r="AT95" s="51">
        <f>COUNTIF(Aout21[[#This Row],[1]:[31]],AT$6)/2</f>
        <v>0</v>
      </c>
      <c r="AU95" s="51">
        <f t="shared" si="32"/>
        <v>0</v>
      </c>
      <c r="AV95" s="52">
        <f t="shared" si="33"/>
        <v>4.5</v>
      </c>
      <c r="AW95" s="77">
        <f t="shared" si="34"/>
        <v>0</v>
      </c>
    </row>
    <row r="96" spans="1:49" ht="17.25" thickBot="1" x14ac:dyDescent="0.35">
      <c r="A96" s="48" t="s">
        <v>125</v>
      </c>
      <c r="B96" s="50"/>
      <c r="C96" s="50"/>
      <c r="D96" s="50"/>
      <c r="E96" s="50"/>
      <c r="F96" s="50"/>
      <c r="G96" s="50"/>
      <c r="H96" s="50"/>
      <c r="I96" s="50"/>
      <c r="J96" s="50"/>
      <c r="K96" s="50"/>
      <c r="L96" s="50"/>
      <c r="M96" s="50"/>
      <c r="N96" s="50"/>
      <c r="O96" s="50" t="s">
        <v>71</v>
      </c>
      <c r="P96" s="49"/>
      <c r="Q96" s="50"/>
      <c r="R96" s="50"/>
      <c r="S96" s="50"/>
      <c r="T96" s="50"/>
      <c r="U96" s="50"/>
      <c r="V96" s="50"/>
      <c r="W96" s="50"/>
      <c r="X96" s="50"/>
      <c r="Y96" s="50"/>
      <c r="Z96" s="65"/>
      <c r="AA96" s="65"/>
      <c r="AB96" s="65"/>
      <c r="AC96" s="65"/>
      <c r="AD96" s="65"/>
      <c r="AE96" s="65"/>
      <c r="AF96" s="65"/>
      <c r="AG96" s="18"/>
      <c r="AH96" s="48" t="s">
        <v>125</v>
      </c>
      <c r="AI96" s="51">
        <f>COUNTIF(Aout21[[#This Row],[1]:[31]],AI$6)</f>
        <v>1</v>
      </c>
      <c r="AJ96" s="51">
        <f>COUNTIF(Aout21[[#This Row],[1]:[31]],AJ$6)/2</f>
        <v>0</v>
      </c>
      <c r="AK96" s="53">
        <f t="shared" si="29"/>
        <v>1</v>
      </c>
      <c r="AL96" s="53">
        <f>COUNTIF(Aout21[[#This Row],[1]:[31]],AL$6)</f>
        <v>0</v>
      </c>
      <c r="AM96" s="53">
        <f>COUNTIF(Aout21[[#This Row],[1]:[31]],AM$6)/2</f>
        <v>0</v>
      </c>
      <c r="AN96" s="53">
        <f t="shared" si="30"/>
        <v>0</v>
      </c>
      <c r="AO96" s="53">
        <f>COUNTIF(Aout21[[#This Row],[1]:[31]],AO$6)</f>
        <v>0</v>
      </c>
      <c r="AP96" s="53">
        <f>COUNTIF(Aout21[[#This Row],[1]:[31]],AP$6)</f>
        <v>0</v>
      </c>
      <c r="AQ96" s="53">
        <f>COUNTIF(Aout21[[#This Row],[1]:[31]],AQ$6)/2</f>
        <v>0</v>
      </c>
      <c r="AR96" s="53">
        <f t="shared" si="31"/>
        <v>0</v>
      </c>
      <c r="AS96" s="53">
        <f>COUNTIF(Aout21[[#This Row],[1]:[31]],AS$6)</f>
        <v>0</v>
      </c>
      <c r="AT96" s="53">
        <f>COUNTIF(Aout21[[#This Row],[1]:[31]],AT$6)/2</f>
        <v>0</v>
      </c>
      <c r="AU96" s="53">
        <f t="shared" si="32"/>
        <v>0</v>
      </c>
      <c r="AV96" s="55">
        <f t="shared" si="33"/>
        <v>1</v>
      </c>
      <c r="AW96" s="79">
        <f t="shared" si="34"/>
        <v>1</v>
      </c>
    </row>
    <row r="98" spans="1:49" s="18" customFormat="1" ht="14.25" thickBot="1" x14ac:dyDescent="0.3">
      <c r="A98" s="19" t="s">
        <v>79</v>
      </c>
      <c r="B98" s="20" t="s">
        <v>27</v>
      </c>
      <c r="C98" s="21" t="s">
        <v>76</v>
      </c>
      <c r="E98" s="22" t="s">
        <v>80</v>
      </c>
      <c r="F98" s="23" t="s">
        <v>77</v>
      </c>
      <c r="G98" s="23"/>
      <c r="H98" s="24" t="s">
        <v>70</v>
      </c>
      <c r="I98" s="25" t="s">
        <v>3</v>
      </c>
      <c r="J98" s="23"/>
      <c r="K98" s="26" t="s">
        <v>81</v>
      </c>
      <c r="L98" s="27" t="s">
        <v>78</v>
      </c>
      <c r="M98" s="23"/>
      <c r="N98" s="28" t="s">
        <v>25</v>
      </c>
      <c r="O98" s="25" t="s">
        <v>28</v>
      </c>
      <c r="P98" s="25"/>
      <c r="Q98" s="29" t="s">
        <v>67</v>
      </c>
      <c r="R98" s="30" t="s">
        <v>66</v>
      </c>
      <c r="S98" s="30"/>
      <c r="T98" s="31" t="s">
        <v>84</v>
      </c>
      <c r="U98" s="23" t="s">
        <v>85</v>
      </c>
      <c r="V98" s="23"/>
      <c r="W98" s="23"/>
      <c r="X98" s="32" t="s">
        <v>68</v>
      </c>
      <c r="Y98" s="33" t="s">
        <v>69</v>
      </c>
      <c r="Z98" s="33"/>
      <c r="AA98" s="34" t="s">
        <v>83</v>
      </c>
      <c r="AB98" s="33" t="s">
        <v>86</v>
      </c>
      <c r="AC98" s="33"/>
      <c r="AD98" s="33"/>
      <c r="AE98" s="33"/>
      <c r="AF98" s="33"/>
    </row>
    <row r="99" spans="1:49" s="61" customFormat="1" ht="32.25" customHeight="1" x14ac:dyDescent="0.3">
      <c r="A99" s="126" t="s">
        <v>111</v>
      </c>
      <c r="B99" s="125"/>
      <c r="C99" s="125"/>
      <c r="D99" s="125"/>
      <c r="E99" s="125"/>
      <c r="F99" s="125"/>
      <c r="G99" s="125"/>
      <c r="H99" s="125"/>
      <c r="I99" s="125"/>
      <c r="J99" s="125"/>
      <c r="K99" s="125"/>
      <c r="L99" s="125"/>
      <c r="M99" s="125"/>
      <c r="N99" s="125"/>
      <c r="O99" s="125"/>
      <c r="P99" s="125"/>
      <c r="Q99" s="125"/>
      <c r="R99" s="125"/>
      <c r="S99" s="125"/>
      <c r="T99" s="125"/>
      <c r="U99" s="125"/>
      <c r="V99" s="125"/>
      <c r="W99" s="125"/>
      <c r="X99" s="125"/>
      <c r="Y99" s="125"/>
      <c r="Z99" s="125"/>
      <c r="AA99" s="125"/>
      <c r="AB99" s="125"/>
      <c r="AC99" s="125"/>
      <c r="AD99" s="125"/>
      <c r="AE99" s="125"/>
      <c r="AF99" s="125"/>
      <c r="AH99" s="125"/>
    </row>
    <row r="100" spans="1:49" ht="30" thickBot="1" x14ac:dyDescent="0.35">
      <c r="A100" s="17" t="s">
        <v>17</v>
      </c>
      <c r="B100" s="140" t="s">
        <v>29</v>
      </c>
      <c r="C100" s="140"/>
      <c r="D100" s="140"/>
      <c r="E100" s="140"/>
      <c r="F100" s="140"/>
      <c r="G100" s="140"/>
      <c r="H100" s="140"/>
      <c r="I100" s="140"/>
      <c r="J100" s="140"/>
      <c r="K100" s="140"/>
      <c r="L100" s="140"/>
      <c r="M100" s="140"/>
      <c r="N100" s="140"/>
      <c r="O100" s="140"/>
      <c r="P100" s="140"/>
      <c r="Q100" s="140"/>
      <c r="R100" s="140"/>
      <c r="S100" s="140"/>
      <c r="T100" s="140"/>
      <c r="U100" s="140"/>
      <c r="V100" s="140"/>
      <c r="W100" s="140"/>
      <c r="X100" s="140"/>
      <c r="Y100" s="140"/>
      <c r="Z100" s="140"/>
      <c r="AA100" s="140"/>
      <c r="AB100" s="140"/>
      <c r="AC100" s="140"/>
      <c r="AD100" s="140"/>
      <c r="AE100" s="140"/>
      <c r="AF100" s="140"/>
      <c r="AG100" s="17"/>
      <c r="AH100" s="140" t="s">
        <v>91</v>
      </c>
      <c r="AI100" s="140"/>
      <c r="AJ100" s="140"/>
      <c r="AK100" s="140"/>
      <c r="AL100" s="140"/>
      <c r="AM100" s="140"/>
      <c r="AN100" s="140"/>
      <c r="AO100" s="140"/>
      <c r="AP100" s="140"/>
      <c r="AQ100" s="140"/>
      <c r="AR100" s="140"/>
      <c r="AS100" s="140"/>
      <c r="AT100" s="140"/>
      <c r="AU100" s="140"/>
      <c r="AV100" s="140"/>
      <c r="AW100" s="140"/>
    </row>
    <row r="101" spans="1:49" ht="18" thickTop="1" thickBot="1" x14ac:dyDescent="0.35">
      <c r="A101" s="12">
        <v>9</v>
      </c>
      <c r="B101" s="13" t="str">
        <f t="shared" ref="B101:AE101" si="35">TEXT(WEEKDAY(DATE(AnnéeCalendrier,$A$53,B$54),14),"jjj")</f>
        <v>ven</v>
      </c>
      <c r="C101" s="13" t="str">
        <f t="shared" si="35"/>
        <v>sam</v>
      </c>
      <c r="D101" s="13" t="str">
        <f t="shared" si="35"/>
        <v>dim</v>
      </c>
      <c r="E101" s="13" t="str">
        <f t="shared" si="35"/>
        <v>lun</v>
      </c>
      <c r="F101" s="13" t="str">
        <f t="shared" si="35"/>
        <v>mar</v>
      </c>
      <c r="G101" s="13" t="str">
        <f t="shared" si="35"/>
        <v>mer</v>
      </c>
      <c r="H101" s="13" t="str">
        <f t="shared" si="35"/>
        <v>jeu</v>
      </c>
      <c r="I101" s="13" t="str">
        <f t="shared" si="35"/>
        <v>ven</v>
      </c>
      <c r="J101" s="13" t="str">
        <f t="shared" si="35"/>
        <v>sam</v>
      </c>
      <c r="K101" s="13" t="str">
        <f t="shared" si="35"/>
        <v>dim</v>
      </c>
      <c r="L101" s="13" t="str">
        <f t="shared" si="35"/>
        <v>lun</v>
      </c>
      <c r="M101" s="13" t="str">
        <f t="shared" si="35"/>
        <v>mar</v>
      </c>
      <c r="N101" s="13" t="str">
        <f t="shared" si="35"/>
        <v>mer</v>
      </c>
      <c r="O101" s="13" t="str">
        <f t="shared" si="35"/>
        <v>jeu</v>
      </c>
      <c r="P101" s="13" t="str">
        <f t="shared" si="35"/>
        <v>ven</v>
      </c>
      <c r="Q101" s="13" t="str">
        <f t="shared" si="35"/>
        <v>sam</v>
      </c>
      <c r="R101" s="13" t="str">
        <f t="shared" si="35"/>
        <v>dim</v>
      </c>
      <c r="S101" s="13" t="str">
        <f t="shared" si="35"/>
        <v>lun</v>
      </c>
      <c r="T101" s="13" t="str">
        <f t="shared" si="35"/>
        <v>mar</v>
      </c>
      <c r="U101" s="13" t="str">
        <f t="shared" si="35"/>
        <v>mer</v>
      </c>
      <c r="V101" s="13" t="str">
        <f t="shared" si="35"/>
        <v>jeu</v>
      </c>
      <c r="W101" s="13" t="str">
        <f t="shared" si="35"/>
        <v>ven</v>
      </c>
      <c r="X101" s="13" t="str">
        <f t="shared" si="35"/>
        <v>sam</v>
      </c>
      <c r="Y101" s="13" t="str">
        <f t="shared" si="35"/>
        <v>dim</v>
      </c>
      <c r="Z101" s="13" t="str">
        <f t="shared" si="35"/>
        <v>lun</v>
      </c>
      <c r="AA101" s="13" t="str">
        <f t="shared" si="35"/>
        <v>mar</v>
      </c>
      <c r="AB101" s="13" t="str">
        <f t="shared" si="35"/>
        <v>mer</v>
      </c>
      <c r="AC101" s="13" t="str">
        <f t="shared" si="35"/>
        <v>jeu</v>
      </c>
      <c r="AD101" s="13" t="str">
        <f t="shared" si="35"/>
        <v>ven</v>
      </c>
      <c r="AE101" s="13" t="str">
        <f t="shared" si="35"/>
        <v>sam</v>
      </c>
      <c r="AF101" s="13"/>
      <c r="AH101" s="12">
        <v>9</v>
      </c>
    </row>
    <row r="102" spans="1:49" x14ac:dyDescent="0.3">
      <c r="A102" s="59" t="s">
        <v>24</v>
      </c>
      <c r="B102" s="56" t="s">
        <v>30</v>
      </c>
      <c r="C102" s="56" t="s">
        <v>31</v>
      </c>
      <c r="D102" s="56" t="s">
        <v>32</v>
      </c>
      <c r="E102" s="56" t="s">
        <v>33</v>
      </c>
      <c r="F102" s="56" t="s">
        <v>34</v>
      </c>
      <c r="G102" s="56" t="s">
        <v>35</v>
      </c>
      <c r="H102" s="56" t="s">
        <v>36</v>
      </c>
      <c r="I102" s="56" t="s">
        <v>37</v>
      </c>
      <c r="J102" s="56" t="s">
        <v>38</v>
      </c>
      <c r="K102" s="56" t="s">
        <v>39</v>
      </c>
      <c r="L102" s="56" t="s">
        <v>40</v>
      </c>
      <c r="M102" s="56" t="s">
        <v>41</v>
      </c>
      <c r="N102" s="56" t="s">
        <v>42</v>
      </c>
      <c r="O102" s="56" t="s">
        <v>43</v>
      </c>
      <c r="P102" s="56" t="s">
        <v>44</v>
      </c>
      <c r="Q102" s="56" t="s">
        <v>45</v>
      </c>
      <c r="R102" s="56" t="s">
        <v>46</v>
      </c>
      <c r="S102" s="56" t="s">
        <v>47</v>
      </c>
      <c r="T102" s="56" t="s">
        <v>48</v>
      </c>
      <c r="U102" s="56" t="s">
        <v>49</v>
      </c>
      <c r="V102" s="56" t="s">
        <v>50</v>
      </c>
      <c r="W102" s="56" t="s">
        <v>51</v>
      </c>
      <c r="X102" s="56" t="s">
        <v>52</v>
      </c>
      <c r="Y102" s="56" t="s">
        <v>53</v>
      </c>
      <c r="Z102" s="56" t="s">
        <v>54</v>
      </c>
      <c r="AA102" s="56" t="s">
        <v>55</v>
      </c>
      <c r="AB102" s="56" t="s">
        <v>56</v>
      </c>
      <c r="AC102" s="56" t="s">
        <v>57</v>
      </c>
      <c r="AD102" s="60" t="s">
        <v>58</v>
      </c>
      <c r="AE102" s="60" t="s">
        <v>59</v>
      </c>
      <c r="AF102" s="57" t="s">
        <v>60</v>
      </c>
      <c r="AG102" s="18"/>
      <c r="AH102" s="59" t="s">
        <v>24</v>
      </c>
      <c r="AI102" s="40" t="s">
        <v>27</v>
      </c>
      <c r="AJ102" s="41" t="s">
        <v>80</v>
      </c>
      <c r="AK102" s="40" t="s">
        <v>76</v>
      </c>
      <c r="AL102" s="42" t="s">
        <v>70</v>
      </c>
      <c r="AM102" s="43" t="s">
        <v>81</v>
      </c>
      <c r="AN102" s="42" t="s">
        <v>3</v>
      </c>
      <c r="AO102" s="44" t="s">
        <v>25</v>
      </c>
      <c r="AP102" s="45" t="s">
        <v>67</v>
      </c>
      <c r="AQ102" s="31" t="s">
        <v>84</v>
      </c>
      <c r="AR102" s="45" t="s">
        <v>101</v>
      </c>
      <c r="AS102" s="46" t="s">
        <v>68</v>
      </c>
      <c r="AT102" s="34" t="s">
        <v>83</v>
      </c>
      <c r="AU102" s="46" t="s">
        <v>69</v>
      </c>
      <c r="AV102" s="58" t="s">
        <v>1</v>
      </c>
      <c r="AW102" s="76" t="s">
        <v>87</v>
      </c>
    </row>
    <row r="103" spans="1:49" x14ac:dyDescent="0.3">
      <c r="A103" s="48" t="s">
        <v>120</v>
      </c>
      <c r="B103" s="50"/>
      <c r="C103" s="50"/>
      <c r="D103" s="50"/>
      <c r="E103" s="50"/>
      <c r="F103" s="50"/>
      <c r="G103" s="50"/>
      <c r="H103" s="50"/>
      <c r="I103" s="50"/>
      <c r="J103" s="50"/>
      <c r="K103" s="50"/>
      <c r="L103" s="50"/>
      <c r="M103" s="50"/>
      <c r="N103" s="50"/>
      <c r="O103" s="50"/>
      <c r="P103" s="50" t="s">
        <v>71</v>
      </c>
      <c r="Q103" s="50"/>
      <c r="R103" s="50"/>
      <c r="S103" s="50"/>
      <c r="T103" s="50"/>
      <c r="U103" s="50"/>
      <c r="V103" s="50"/>
      <c r="W103" s="50"/>
      <c r="X103" s="50"/>
      <c r="Y103" s="50"/>
      <c r="Z103" s="50"/>
      <c r="AA103" s="50"/>
      <c r="AB103" s="50"/>
      <c r="AC103" s="50"/>
      <c r="AD103" s="50" t="s">
        <v>71</v>
      </c>
      <c r="AE103" s="50"/>
      <c r="AF103" s="50"/>
      <c r="AG103" s="18"/>
      <c r="AH103" s="48" t="s">
        <v>120</v>
      </c>
      <c r="AI103" s="51">
        <f>COUNTIF(Septembre22[[#This Row],[1]:[31]],AI$6)</f>
        <v>2</v>
      </c>
      <c r="AJ103" s="51">
        <f>COUNTIF(Septembre22[[#This Row],[1]:[31]],AJ$6)/2</f>
        <v>0</v>
      </c>
      <c r="AK103" s="51">
        <f>SUM(AI103:AJ103)</f>
        <v>2</v>
      </c>
      <c r="AL103" s="51">
        <f>COUNTIF(Septembre22[[#This Row],[1]:[31]],AL$6)</f>
        <v>0</v>
      </c>
      <c r="AM103" s="51">
        <f>COUNTIF(Septembre22[[#This Row],[1]:[31]],AM$6)/2</f>
        <v>0</v>
      </c>
      <c r="AN103" s="51">
        <f>SUM(AL103:AM103)</f>
        <v>0</v>
      </c>
      <c r="AO103" s="51">
        <f>COUNTIF(Septembre22[[#This Row],[1]:[31]],AO$6)</f>
        <v>0</v>
      </c>
      <c r="AP103" s="51">
        <f>COUNTIF(Septembre22[[#This Row],[1]:[31]],AP$6)</f>
        <v>0</v>
      </c>
      <c r="AQ103" s="51">
        <f>COUNTIF(Septembre22[[#This Row],[1]:[31]],AQ$6)/2</f>
        <v>0</v>
      </c>
      <c r="AR103" s="51">
        <f>SUM(AP103:AQ103)</f>
        <v>0</v>
      </c>
      <c r="AS103" s="51">
        <f>COUNTIF(Septembre22[[#This Row],[1]:[31]],AS$6)</f>
        <v>0</v>
      </c>
      <c r="AT103" s="51">
        <f>COUNTIF(Septembre22[[#This Row],[1]:[31]],AT$6)/2</f>
        <v>0</v>
      </c>
      <c r="AU103" s="51">
        <f>SUM(AS103:AT103)</f>
        <v>0</v>
      </c>
      <c r="AV103" s="52">
        <f>AK103+AN103+AO103+AR103+AU103</f>
        <v>2</v>
      </c>
      <c r="AW103" s="77">
        <f>COUNTA(V91,AF91,W91,X91,Y91,Z91,AA91,AB91,AC91,AD91,AE91,B103:U103)</f>
        <v>1</v>
      </c>
    </row>
    <row r="104" spans="1:49" x14ac:dyDescent="0.3">
      <c r="A104" s="48" t="s">
        <v>121</v>
      </c>
      <c r="B104" s="50" t="s">
        <v>88</v>
      </c>
      <c r="C104" s="50"/>
      <c r="D104" s="50"/>
      <c r="E104" s="50"/>
      <c r="F104" s="50"/>
      <c r="G104" s="50"/>
      <c r="H104" s="50"/>
      <c r="I104" s="50"/>
      <c r="J104" s="50"/>
      <c r="K104" s="50"/>
      <c r="L104" s="50"/>
      <c r="M104" s="50"/>
      <c r="N104" s="50"/>
      <c r="O104" s="50"/>
      <c r="P104" s="50"/>
      <c r="Q104" s="50"/>
      <c r="R104" s="50"/>
      <c r="S104" s="50"/>
      <c r="T104" s="50" t="s">
        <v>88</v>
      </c>
      <c r="U104" s="50" t="s">
        <v>90</v>
      </c>
      <c r="V104" s="50"/>
      <c r="W104" s="50"/>
      <c r="X104" s="50"/>
      <c r="Y104" s="50"/>
      <c r="Z104" s="50"/>
      <c r="AA104" s="50"/>
      <c r="AB104" s="50"/>
      <c r="AC104" s="50"/>
      <c r="AD104" s="50"/>
      <c r="AE104" s="50"/>
      <c r="AF104" s="50"/>
      <c r="AG104" s="18"/>
      <c r="AH104" s="48" t="s">
        <v>121</v>
      </c>
      <c r="AI104" s="51">
        <f>COUNTIF(Septembre22[[#This Row],[1]:[31]],AI$6)</f>
        <v>0</v>
      </c>
      <c r="AJ104" s="51">
        <f>COUNTIF(Septembre22[[#This Row],[1]:[31]],AJ$6)/2</f>
        <v>0</v>
      </c>
      <c r="AK104" s="53">
        <f t="shared" ref="AK104:AK108" si="36">SUM(AI104:AJ104)</f>
        <v>0</v>
      </c>
      <c r="AL104" s="53">
        <f>COUNTIF(Septembre22[[#This Row],[1]:[31]],AL$6)</f>
        <v>0</v>
      </c>
      <c r="AM104" s="53">
        <f>COUNTIF(Septembre22[[#This Row],[1]:[31]],AM$6)/2</f>
        <v>1</v>
      </c>
      <c r="AN104" s="53">
        <f t="shared" ref="AN104:AN108" si="37">SUM(AL104:AM104)</f>
        <v>1</v>
      </c>
      <c r="AO104" s="53">
        <f>COUNTIF(Septembre22[[#This Row],[1]:[31]],AO$6)</f>
        <v>0</v>
      </c>
      <c r="AP104" s="53">
        <f>COUNTIF(Septembre22[[#This Row],[1]:[31]],AP$6)</f>
        <v>0</v>
      </c>
      <c r="AQ104" s="53">
        <f>COUNTIF(Septembre22[[#This Row],[1]:[31]],AQ$6)/2</f>
        <v>0.5</v>
      </c>
      <c r="AR104" s="53">
        <f t="shared" ref="AR104:AR108" si="38">SUM(AP104:AQ104)</f>
        <v>0.5</v>
      </c>
      <c r="AS104" s="53">
        <f>COUNTIF(Septembre22[[#This Row],[1]:[31]],AS$6)</f>
        <v>0</v>
      </c>
      <c r="AT104" s="53">
        <f>COUNTIF(Septembre22[[#This Row],[1]:[31]],AT$6)/2</f>
        <v>0</v>
      </c>
      <c r="AU104" s="53">
        <f t="shared" ref="AU104:AU108" si="39">SUM(AS104:AT104)</f>
        <v>0</v>
      </c>
      <c r="AV104" s="54">
        <f t="shared" ref="AV104:AV108" si="40">AK104+AN104+AO104+AR104+AU104</f>
        <v>1.5</v>
      </c>
      <c r="AW104" s="78">
        <f t="shared" ref="AW104:AW106" si="41">COUNTA(V92,AF92,W92,X92,Y92,Z92,AA92,AB92,AC92,AD92,AE92,B104:U104)</f>
        <v>4</v>
      </c>
    </row>
    <row r="105" spans="1:49" x14ac:dyDescent="0.3">
      <c r="A105" s="48" t="s">
        <v>122</v>
      </c>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c r="AA105" s="50"/>
      <c r="AB105" s="50"/>
      <c r="AC105" s="50"/>
      <c r="AD105" s="50"/>
      <c r="AE105" s="50"/>
      <c r="AF105" s="50"/>
      <c r="AG105" s="18"/>
      <c r="AH105" s="48" t="s">
        <v>122</v>
      </c>
      <c r="AI105" s="51">
        <f>COUNTIF(Septembre22[[#This Row],[1]:[31]],AI$6)</f>
        <v>0</v>
      </c>
      <c r="AJ105" s="51">
        <f>COUNTIF(Septembre22[[#This Row],[1]:[31]],AJ$6)/2</f>
        <v>0</v>
      </c>
      <c r="AK105" s="51">
        <f t="shared" si="36"/>
        <v>0</v>
      </c>
      <c r="AL105" s="51">
        <f>COUNTIF(Septembre22[[#This Row],[1]:[31]],AL$6)</f>
        <v>0</v>
      </c>
      <c r="AM105" s="51">
        <f>COUNTIF(Septembre22[[#This Row],[1]:[31]],AM$6)/2</f>
        <v>0</v>
      </c>
      <c r="AN105" s="51">
        <f t="shared" si="37"/>
        <v>0</v>
      </c>
      <c r="AO105" s="51">
        <f>COUNTIF(Septembre22[[#This Row],[1]:[31]],AO$6)</f>
        <v>0</v>
      </c>
      <c r="AP105" s="51">
        <f>COUNTIF(Septembre22[[#This Row],[1]:[31]],AP$6)</f>
        <v>0</v>
      </c>
      <c r="AQ105" s="51">
        <f>COUNTIF(Septembre22[[#This Row],[1]:[31]],AQ$6)/2</f>
        <v>0</v>
      </c>
      <c r="AR105" s="51">
        <f t="shared" si="38"/>
        <v>0</v>
      </c>
      <c r="AS105" s="51">
        <f>COUNTIF(Septembre22[[#This Row],[1]:[31]],AS$6)</f>
        <v>0</v>
      </c>
      <c r="AT105" s="51">
        <f>COUNTIF(Septembre22[[#This Row],[1]:[31]],AT$6)/2</f>
        <v>0</v>
      </c>
      <c r="AU105" s="51">
        <f t="shared" si="39"/>
        <v>0</v>
      </c>
      <c r="AV105" s="52">
        <f t="shared" si="40"/>
        <v>0</v>
      </c>
      <c r="AW105" s="77">
        <f t="shared" si="41"/>
        <v>0</v>
      </c>
    </row>
    <row r="106" spans="1:49" x14ac:dyDescent="0.3">
      <c r="A106" s="48" t="s">
        <v>123</v>
      </c>
      <c r="B106" s="50" t="s">
        <v>74</v>
      </c>
      <c r="C106" s="50"/>
      <c r="D106" s="50"/>
      <c r="E106" s="50"/>
      <c r="F106" s="50"/>
      <c r="G106" s="50"/>
      <c r="H106" s="50"/>
      <c r="I106" s="50"/>
      <c r="J106" s="50"/>
      <c r="K106" s="50"/>
      <c r="L106" s="50" t="s">
        <v>74</v>
      </c>
      <c r="M106" s="50"/>
      <c r="N106" s="50"/>
      <c r="O106" s="50"/>
      <c r="P106" s="50"/>
      <c r="Q106" s="50"/>
      <c r="R106" s="50"/>
      <c r="S106" s="50"/>
      <c r="T106" s="50"/>
      <c r="U106" s="50"/>
      <c r="V106" s="50"/>
      <c r="W106" s="50"/>
      <c r="X106" s="50"/>
      <c r="Y106" s="50"/>
      <c r="Z106" s="50"/>
      <c r="AA106" s="50"/>
      <c r="AB106" s="50"/>
      <c r="AC106" s="50"/>
      <c r="AD106" s="50"/>
      <c r="AE106" s="50"/>
      <c r="AF106" s="50"/>
      <c r="AG106" s="18"/>
      <c r="AH106" s="48" t="s">
        <v>123</v>
      </c>
      <c r="AI106" s="51">
        <f>COUNTIF(Septembre22[[#This Row],[1]:[31]],AI$6)</f>
        <v>0</v>
      </c>
      <c r="AJ106" s="51">
        <f>COUNTIF(Septembre22[[#This Row],[1]:[31]],AJ$6)/2</f>
        <v>0</v>
      </c>
      <c r="AK106" s="53">
        <f t="shared" si="36"/>
        <v>0</v>
      </c>
      <c r="AL106" s="53">
        <f>COUNTIF(Septembre22[[#This Row],[1]:[31]],AL$6)</f>
        <v>2</v>
      </c>
      <c r="AM106" s="53">
        <f>COUNTIF(Septembre22[[#This Row],[1]:[31]],AM$6)/2</f>
        <v>0</v>
      </c>
      <c r="AN106" s="53">
        <f t="shared" si="37"/>
        <v>2</v>
      </c>
      <c r="AO106" s="53">
        <f>COUNTIF(Septembre22[[#This Row],[1]:[31]],AO$6)</f>
        <v>0</v>
      </c>
      <c r="AP106" s="53">
        <f>COUNTIF(Septembre22[[#This Row],[1]:[31]],AP$6)</f>
        <v>0</v>
      </c>
      <c r="AQ106" s="53">
        <f>COUNTIF(Septembre22[[#This Row],[1]:[31]],AQ$6)/2</f>
        <v>0</v>
      </c>
      <c r="AR106" s="53">
        <f t="shared" si="38"/>
        <v>0</v>
      </c>
      <c r="AS106" s="53">
        <f>COUNTIF(Septembre22[[#This Row],[1]:[31]],AS$6)</f>
        <v>0</v>
      </c>
      <c r="AT106" s="53">
        <f>COUNTIF(Septembre22[[#This Row],[1]:[31]],AT$6)/2</f>
        <v>0</v>
      </c>
      <c r="AU106" s="53">
        <f t="shared" si="39"/>
        <v>0</v>
      </c>
      <c r="AV106" s="54">
        <f t="shared" si="40"/>
        <v>2</v>
      </c>
      <c r="AW106" s="78">
        <f t="shared" si="41"/>
        <v>10</v>
      </c>
    </row>
    <row r="107" spans="1:49" x14ac:dyDescent="0.3">
      <c r="A107" s="48" t="s">
        <v>124</v>
      </c>
      <c r="B107" s="50" t="s">
        <v>74</v>
      </c>
      <c r="C107" s="50"/>
      <c r="D107" s="50"/>
      <c r="E107" s="50"/>
      <c r="F107" s="50"/>
      <c r="G107" s="50"/>
      <c r="H107" s="50"/>
      <c r="I107" s="50"/>
      <c r="J107" s="50"/>
      <c r="K107" s="50"/>
      <c r="L107" s="50"/>
      <c r="M107" s="50"/>
      <c r="N107" s="50"/>
      <c r="O107" s="50"/>
      <c r="P107" s="50"/>
      <c r="Q107" s="50"/>
      <c r="R107" s="50"/>
      <c r="S107" s="50"/>
      <c r="T107" s="50"/>
      <c r="U107" s="50"/>
      <c r="V107" s="50"/>
      <c r="W107" s="50" t="s">
        <v>88</v>
      </c>
      <c r="X107" s="50"/>
      <c r="Y107" s="50"/>
      <c r="Z107" s="50"/>
      <c r="AA107" s="50"/>
      <c r="AB107" s="50"/>
      <c r="AC107" s="50"/>
      <c r="AD107" s="50"/>
      <c r="AE107" s="50"/>
      <c r="AF107" s="50"/>
      <c r="AG107" s="18"/>
      <c r="AH107" s="48" t="s">
        <v>124</v>
      </c>
      <c r="AI107" s="51">
        <f>COUNTIF(Septembre22[[#This Row],[1]:[31]],AI$6)</f>
        <v>0</v>
      </c>
      <c r="AJ107" s="51">
        <f>COUNTIF(Septembre22[[#This Row],[1]:[31]],AJ$6)/2</f>
        <v>0</v>
      </c>
      <c r="AK107" s="51">
        <f t="shared" si="36"/>
        <v>0</v>
      </c>
      <c r="AL107" s="51">
        <f>COUNTIF(Septembre22[[#This Row],[1]:[31]],AL$6)</f>
        <v>1</v>
      </c>
      <c r="AM107" s="51">
        <f>COUNTIF(Septembre22[[#This Row],[1]:[31]],AM$6)/2</f>
        <v>0.5</v>
      </c>
      <c r="AN107" s="51">
        <f t="shared" si="37"/>
        <v>1.5</v>
      </c>
      <c r="AO107" s="51">
        <f>COUNTIF(Septembre22[[#This Row],[1]:[31]],AO$6)</f>
        <v>0</v>
      </c>
      <c r="AP107" s="51">
        <f>COUNTIF(Septembre22[[#This Row],[1]:[31]],AP$6)</f>
        <v>0</v>
      </c>
      <c r="AQ107" s="51">
        <f>COUNTIF(Septembre22[[#This Row],[1]:[31]],AQ$6)/2</f>
        <v>0</v>
      </c>
      <c r="AR107" s="51">
        <f t="shared" si="38"/>
        <v>0</v>
      </c>
      <c r="AS107" s="51">
        <f>COUNTIF(Septembre22[[#This Row],[1]:[31]],AS$6)</f>
        <v>0</v>
      </c>
      <c r="AT107" s="51">
        <f>COUNTIF(Septembre22[[#This Row],[1]:[31]],AT$6)/2</f>
        <v>0</v>
      </c>
      <c r="AU107" s="51">
        <f t="shared" si="39"/>
        <v>0</v>
      </c>
      <c r="AV107" s="52">
        <f t="shared" si="40"/>
        <v>1.5</v>
      </c>
      <c r="AW107" s="77">
        <f>COUNTA(V95,#REF!,W95,X95,Y95,#REF!,#REF!,#REF!,#REF!,#REF!,#REF!,B107:U107)</f>
        <v>8</v>
      </c>
    </row>
    <row r="108" spans="1:49" ht="17.25" thickBot="1" x14ac:dyDescent="0.35">
      <c r="A108" s="48" t="s">
        <v>125</v>
      </c>
      <c r="B108" s="50"/>
      <c r="C108" s="50"/>
      <c r="D108" s="50"/>
      <c r="E108" s="50"/>
      <c r="F108" s="50"/>
      <c r="G108" s="50"/>
      <c r="H108" s="50"/>
      <c r="I108" s="50"/>
      <c r="J108" s="50"/>
      <c r="K108" s="50"/>
      <c r="L108" s="50"/>
      <c r="M108" s="50" t="s">
        <v>71</v>
      </c>
      <c r="N108" s="50"/>
      <c r="O108" s="50"/>
      <c r="P108" s="50"/>
      <c r="Q108" s="50"/>
      <c r="R108" s="50"/>
      <c r="S108" s="50"/>
      <c r="T108" s="50"/>
      <c r="U108" s="50"/>
      <c r="V108" s="50"/>
      <c r="W108" s="50"/>
      <c r="X108" s="50"/>
      <c r="Y108" s="50"/>
      <c r="Z108" s="50"/>
      <c r="AA108" s="50"/>
      <c r="AB108" s="50"/>
      <c r="AC108" s="50"/>
      <c r="AD108" s="50"/>
      <c r="AE108" s="50"/>
      <c r="AF108" s="50"/>
      <c r="AG108" s="18"/>
      <c r="AH108" s="48" t="s">
        <v>125</v>
      </c>
      <c r="AI108" s="51">
        <f>COUNTIF(Septembre22[[#This Row],[1]:[31]],AI$6)</f>
        <v>1</v>
      </c>
      <c r="AJ108" s="51">
        <f>COUNTIF(Septembre22[[#This Row],[1]:[31]],AJ$6)/2</f>
        <v>0</v>
      </c>
      <c r="AK108" s="53">
        <f t="shared" si="36"/>
        <v>1</v>
      </c>
      <c r="AL108" s="53">
        <f>COUNTIF(Septembre22[[#This Row],[1]:[31]],AL$6)</f>
        <v>0</v>
      </c>
      <c r="AM108" s="53">
        <f>COUNTIF(Septembre22[[#This Row],[1]:[31]],AM$6)/2</f>
        <v>0</v>
      </c>
      <c r="AN108" s="53">
        <f t="shared" si="37"/>
        <v>0</v>
      </c>
      <c r="AO108" s="53">
        <f>COUNTIF(Septembre22[[#This Row],[1]:[31]],AO$6)</f>
        <v>0</v>
      </c>
      <c r="AP108" s="53">
        <f>COUNTIF(Septembre22[[#This Row],[1]:[31]],AP$6)</f>
        <v>0</v>
      </c>
      <c r="AQ108" s="53">
        <f>COUNTIF(Septembre22[[#This Row],[1]:[31]],AQ$6)/2</f>
        <v>0</v>
      </c>
      <c r="AR108" s="53">
        <f t="shared" si="38"/>
        <v>0</v>
      </c>
      <c r="AS108" s="53">
        <f>COUNTIF(Septembre22[[#This Row],[1]:[31]],AS$6)</f>
        <v>0</v>
      </c>
      <c r="AT108" s="53">
        <f>COUNTIF(Septembre22[[#This Row],[1]:[31]],AT$6)/2</f>
        <v>0</v>
      </c>
      <c r="AU108" s="53">
        <f t="shared" si="39"/>
        <v>0</v>
      </c>
      <c r="AV108" s="55">
        <f t="shared" si="40"/>
        <v>1</v>
      </c>
      <c r="AW108" s="79">
        <f>COUNTA(V96,AF95,W96,X96,Y96,Z95,AA95,AB95,AC95,AD95,AE95,B108:U108)</f>
        <v>6</v>
      </c>
    </row>
    <row r="110" spans="1:49" s="18" customFormat="1" ht="14.25" thickBot="1" x14ac:dyDescent="0.3">
      <c r="A110" s="19" t="s">
        <v>79</v>
      </c>
      <c r="B110" s="20" t="s">
        <v>27</v>
      </c>
      <c r="C110" s="21" t="s">
        <v>76</v>
      </c>
      <c r="E110" s="22" t="s">
        <v>80</v>
      </c>
      <c r="F110" s="23" t="s">
        <v>77</v>
      </c>
      <c r="G110" s="23"/>
      <c r="H110" s="24" t="s">
        <v>70</v>
      </c>
      <c r="I110" s="25" t="s">
        <v>3</v>
      </c>
      <c r="J110" s="23"/>
      <c r="K110" s="26" t="s">
        <v>81</v>
      </c>
      <c r="L110" s="27" t="s">
        <v>78</v>
      </c>
      <c r="M110" s="23"/>
      <c r="N110" s="28" t="s">
        <v>25</v>
      </c>
      <c r="O110" s="25" t="s">
        <v>28</v>
      </c>
      <c r="P110" s="25"/>
      <c r="Q110" s="29" t="s">
        <v>67</v>
      </c>
      <c r="R110" s="30" t="s">
        <v>66</v>
      </c>
      <c r="S110" s="30"/>
      <c r="T110" s="31" t="s">
        <v>84</v>
      </c>
      <c r="U110" s="23" t="s">
        <v>85</v>
      </c>
      <c r="V110" s="23"/>
      <c r="W110" s="23"/>
      <c r="X110" s="32" t="s">
        <v>68</v>
      </c>
      <c r="Y110" s="33" t="s">
        <v>69</v>
      </c>
      <c r="Z110" s="33"/>
      <c r="AA110" s="34" t="s">
        <v>83</v>
      </c>
      <c r="AB110" s="33" t="s">
        <v>86</v>
      </c>
      <c r="AC110" s="33"/>
      <c r="AD110" s="33"/>
      <c r="AE110" s="33"/>
      <c r="AF110" s="33"/>
    </row>
    <row r="111" spans="1:49" s="61" customFormat="1" ht="32.25" customHeight="1" x14ac:dyDescent="0.3">
      <c r="A111" s="126" t="s">
        <v>111</v>
      </c>
      <c r="B111" s="125"/>
      <c r="C111" s="125"/>
      <c r="D111" s="125"/>
      <c r="E111" s="125"/>
      <c r="F111" s="125"/>
      <c r="G111" s="125"/>
      <c r="H111" s="125"/>
      <c r="I111" s="125"/>
      <c r="J111" s="125"/>
      <c r="K111" s="125"/>
      <c r="L111" s="125"/>
      <c r="M111" s="125"/>
      <c r="N111" s="125"/>
      <c r="O111" s="125"/>
      <c r="P111" s="125"/>
      <c r="Q111" s="125"/>
      <c r="R111" s="125"/>
      <c r="S111" s="125"/>
      <c r="T111" s="125"/>
      <c r="U111" s="125"/>
      <c r="V111" s="125"/>
      <c r="W111" s="125"/>
      <c r="X111" s="125"/>
      <c r="Y111" s="125"/>
      <c r="Z111" s="125"/>
      <c r="AA111" s="125"/>
      <c r="AB111" s="125"/>
      <c r="AC111" s="125"/>
      <c r="AD111" s="125"/>
      <c r="AE111" s="125"/>
      <c r="AF111" s="125"/>
      <c r="AH111" s="125"/>
    </row>
    <row r="112" spans="1:49" ht="30" thickBot="1" x14ac:dyDescent="0.35">
      <c r="A112" s="17" t="s">
        <v>18</v>
      </c>
      <c r="B112" s="140" t="s">
        <v>29</v>
      </c>
      <c r="C112" s="140"/>
      <c r="D112" s="140"/>
      <c r="E112" s="140"/>
      <c r="F112" s="140"/>
      <c r="G112" s="140"/>
      <c r="H112" s="140"/>
      <c r="I112" s="140"/>
      <c r="J112" s="140"/>
      <c r="K112" s="140"/>
      <c r="L112" s="140"/>
      <c r="M112" s="140"/>
      <c r="N112" s="140"/>
      <c r="O112" s="140"/>
      <c r="P112" s="140"/>
      <c r="Q112" s="140"/>
      <c r="R112" s="140"/>
      <c r="S112" s="140"/>
      <c r="T112" s="140"/>
      <c r="U112" s="140"/>
      <c r="V112" s="140"/>
      <c r="W112" s="140"/>
      <c r="X112" s="140"/>
      <c r="Y112" s="140"/>
      <c r="Z112" s="140"/>
      <c r="AA112" s="140"/>
      <c r="AB112" s="140"/>
      <c r="AC112" s="140"/>
      <c r="AD112" s="140"/>
      <c r="AE112" s="140"/>
      <c r="AF112" s="140"/>
      <c r="AG112" s="17"/>
      <c r="AH112" s="140" t="s">
        <v>91</v>
      </c>
      <c r="AI112" s="140"/>
      <c r="AJ112" s="140"/>
      <c r="AK112" s="140"/>
      <c r="AL112" s="140"/>
      <c r="AM112" s="140"/>
      <c r="AN112" s="140"/>
      <c r="AO112" s="140"/>
      <c r="AP112" s="140"/>
      <c r="AQ112" s="140"/>
      <c r="AR112" s="140"/>
      <c r="AS112" s="140"/>
      <c r="AT112" s="140"/>
      <c r="AU112" s="140"/>
      <c r="AV112" s="140"/>
      <c r="AW112" s="140"/>
    </row>
    <row r="113" spans="1:49" ht="18" thickTop="1" thickBot="1" x14ac:dyDescent="0.35">
      <c r="A113" s="35">
        <v>10</v>
      </c>
      <c r="B113" s="36" t="str">
        <f t="shared" ref="B113:AF113" si="42">TEXT(WEEKDAY(DATE(AnnéeCalendrier,$A$53,B$54),12),"jjj")</f>
        <v>dim</v>
      </c>
      <c r="C113" s="36" t="str">
        <f t="shared" si="42"/>
        <v>lun</v>
      </c>
      <c r="D113" s="36" t="str">
        <f t="shared" si="42"/>
        <v>mar</v>
      </c>
      <c r="E113" s="36" t="str">
        <f t="shared" si="42"/>
        <v>mer</v>
      </c>
      <c r="F113" s="36" t="str">
        <f t="shared" si="42"/>
        <v>jeu</v>
      </c>
      <c r="G113" s="36" t="str">
        <f t="shared" si="42"/>
        <v>ven</v>
      </c>
      <c r="H113" s="36" t="str">
        <f t="shared" si="42"/>
        <v>sam</v>
      </c>
      <c r="I113" s="36" t="str">
        <f t="shared" si="42"/>
        <v>dim</v>
      </c>
      <c r="J113" s="36" t="str">
        <f t="shared" si="42"/>
        <v>lun</v>
      </c>
      <c r="K113" s="36" t="str">
        <f t="shared" si="42"/>
        <v>mar</v>
      </c>
      <c r="L113" s="36" t="str">
        <f t="shared" si="42"/>
        <v>mer</v>
      </c>
      <c r="M113" s="36" t="str">
        <f t="shared" si="42"/>
        <v>jeu</v>
      </c>
      <c r="N113" s="36" t="str">
        <f t="shared" si="42"/>
        <v>ven</v>
      </c>
      <c r="O113" s="36" t="str">
        <f t="shared" si="42"/>
        <v>sam</v>
      </c>
      <c r="P113" s="36" t="str">
        <f t="shared" si="42"/>
        <v>dim</v>
      </c>
      <c r="Q113" s="36" t="str">
        <f t="shared" si="42"/>
        <v>lun</v>
      </c>
      <c r="R113" s="36" t="str">
        <f t="shared" si="42"/>
        <v>mar</v>
      </c>
      <c r="S113" s="36" t="str">
        <f t="shared" si="42"/>
        <v>mer</v>
      </c>
      <c r="T113" s="36" t="str">
        <f t="shared" si="42"/>
        <v>jeu</v>
      </c>
      <c r="U113" s="36" t="str">
        <f t="shared" si="42"/>
        <v>ven</v>
      </c>
      <c r="V113" s="36" t="str">
        <f t="shared" si="42"/>
        <v>sam</v>
      </c>
      <c r="W113" s="36" t="str">
        <f t="shared" si="42"/>
        <v>dim</v>
      </c>
      <c r="X113" s="36" t="str">
        <f t="shared" si="42"/>
        <v>lun</v>
      </c>
      <c r="Y113" s="36" t="str">
        <f t="shared" si="42"/>
        <v>mar</v>
      </c>
      <c r="Z113" s="36" t="str">
        <f t="shared" si="42"/>
        <v>mer</v>
      </c>
      <c r="AA113" s="36" t="str">
        <f t="shared" si="42"/>
        <v>jeu</v>
      </c>
      <c r="AB113" s="36" t="str">
        <f t="shared" si="42"/>
        <v>ven</v>
      </c>
      <c r="AC113" s="36" t="str">
        <f t="shared" si="42"/>
        <v>sam</v>
      </c>
      <c r="AD113" s="36" t="str">
        <f t="shared" si="42"/>
        <v>dim</v>
      </c>
      <c r="AE113" s="36" t="str">
        <f t="shared" si="42"/>
        <v>lun</v>
      </c>
      <c r="AF113" s="36" t="str">
        <f t="shared" si="42"/>
        <v>mar</v>
      </c>
      <c r="AG113" s="36"/>
      <c r="AH113" s="35">
        <v>10</v>
      </c>
      <c r="AI113" s="18"/>
      <c r="AJ113" s="18"/>
      <c r="AK113" s="18"/>
      <c r="AL113" s="18"/>
      <c r="AM113" s="18"/>
      <c r="AN113" s="18"/>
      <c r="AO113" s="18"/>
      <c r="AP113" s="18"/>
      <c r="AQ113" s="18"/>
      <c r="AR113" s="18"/>
      <c r="AS113" s="18"/>
      <c r="AT113" s="18"/>
      <c r="AU113" s="18"/>
      <c r="AV113" s="18"/>
      <c r="AW113" s="18"/>
    </row>
    <row r="114" spans="1:49" x14ac:dyDescent="0.3">
      <c r="A114" s="59" t="s">
        <v>24</v>
      </c>
      <c r="B114" s="56" t="s">
        <v>30</v>
      </c>
      <c r="C114" s="56" t="s">
        <v>31</v>
      </c>
      <c r="D114" s="56" t="s">
        <v>32</v>
      </c>
      <c r="E114" s="56" t="s">
        <v>33</v>
      </c>
      <c r="F114" s="56" t="s">
        <v>34</v>
      </c>
      <c r="G114" s="56" t="s">
        <v>35</v>
      </c>
      <c r="H114" s="56" t="s">
        <v>36</v>
      </c>
      <c r="I114" s="56" t="s">
        <v>37</v>
      </c>
      <c r="J114" s="56" t="s">
        <v>38</v>
      </c>
      <c r="K114" s="56" t="s">
        <v>39</v>
      </c>
      <c r="L114" s="56" t="s">
        <v>40</v>
      </c>
      <c r="M114" s="56" t="s">
        <v>41</v>
      </c>
      <c r="N114" s="56" t="s">
        <v>42</v>
      </c>
      <c r="O114" s="56" t="s">
        <v>43</v>
      </c>
      <c r="P114" s="56" t="s">
        <v>44</v>
      </c>
      <c r="Q114" s="56" t="s">
        <v>45</v>
      </c>
      <c r="R114" s="56" t="s">
        <v>46</v>
      </c>
      <c r="S114" s="56" t="s">
        <v>47</v>
      </c>
      <c r="T114" s="56" t="s">
        <v>48</v>
      </c>
      <c r="U114" s="56" t="s">
        <v>49</v>
      </c>
      <c r="V114" s="56" t="s">
        <v>50</v>
      </c>
      <c r="W114" s="56" t="s">
        <v>51</v>
      </c>
      <c r="X114" s="56" t="s">
        <v>52</v>
      </c>
      <c r="Y114" s="56" t="s">
        <v>53</v>
      </c>
      <c r="Z114" s="56" t="s">
        <v>54</v>
      </c>
      <c r="AA114" s="56" t="s">
        <v>55</v>
      </c>
      <c r="AB114" s="56" t="s">
        <v>56</v>
      </c>
      <c r="AC114" s="56" t="s">
        <v>57</v>
      </c>
      <c r="AD114" s="60" t="s">
        <v>58</v>
      </c>
      <c r="AE114" s="60" t="s">
        <v>59</v>
      </c>
      <c r="AF114" s="60" t="s">
        <v>60</v>
      </c>
      <c r="AG114" s="18"/>
      <c r="AH114" s="59" t="s">
        <v>24</v>
      </c>
      <c r="AI114" s="40" t="s">
        <v>27</v>
      </c>
      <c r="AJ114" s="41" t="s">
        <v>80</v>
      </c>
      <c r="AK114" s="40" t="s">
        <v>76</v>
      </c>
      <c r="AL114" s="42" t="s">
        <v>70</v>
      </c>
      <c r="AM114" s="43" t="s">
        <v>81</v>
      </c>
      <c r="AN114" s="42" t="s">
        <v>3</v>
      </c>
      <c r="AO114" s="44" t="s">
        <v>25</v>
      </c>
      <c r="AP114" s="45" t="s">
        <v>67</v>
      </c>
      <c r="AQ114" s="31" t="s">
        <v>84</v>
      </c>
      <c r="AR114" s="45" t="s">
        <v>101</v>
      </c>
      <c r="AS114" s="46" t="s">
        <v>68</v>
      </c>
      <c r="AT114" s="34" t="s">
        <v>83</v>
      </c>
      <c r="AU114" s="46" t="s">
        <v>69</v>
      </c>
      <c r="AV114" s="58" t="s">
        <v>1</v>
      </c>
      <c r="AW114" s="76" t="s">
        <v>87</v>
      </c>
    </row>
    <row r="115" spans="1:49" x14ac:dyDescent="0.3">
      <c r="A115" s="48" t="s">
        <v>120</v>
      </c>
      <c r="B115" s="50"/>
      <c r="C115" s="50"/>
      <c r="D115" s="50"/>
      <c r="E115" s="50"/>
      <c r="F115" s="50"/>
      <c r="G115" s="50"/>
      <c r="H115" s="50"/>
      <c r="I115" s="50"/>
      <c r="J115" s="50"/>
      <c r="K115" s="50"/>
      <c r="L115" s="50"/>
      <c r="M115" s="50"/>
      <c r="N115" s="50"/>
      <c r="O115" s="50"/>
      <c r="P115" s="50"/>
      <c r="Q115" s="50"/>
      <c r="R115" s="50" t="s">
        <v>88</v>
      </c>
      <c r="S115" s="50"/>
      <c r="T115" s="50"/>
      <c r="U115" s="50"/>
      <c r="V115" s="50"/>
      <c r="W115" s="50"/>
      <c r="X115" s="50"/>
      <c r="Y115" s="50"/>
      <c r="Z115" s="50"/>
      <c r="AA115" s="50"/>
      <c r="AB115" s="50"/>
      <c r="AC115" s="50"/>
      <c r="AD115" s="50"/>
      <c r="AE115" s="50" t="s">
        <v>71</v>
      </c>
      <c r="AF115" s="50" t="s">
        <v>74</v>
      </c>
      <c r="AG115" s="18"/>
      <c r="AH115" s="48" t="s">
        <v>120</v>
      </c>
      <c r="AI115" s="51">
        <f>COUNTIF(Octobre23[[#This Row],[1]:[31]],AI$6)</f>
        <v>1</v>
      </c>
      <c r="AJ115" s="51">
        <f>COUNTIF(Octobre23[[#This Row],[1]:[31]],AJ$6)/2</f>
        <v>0</v>
      </c>
      <c r="AK115" s="51">
        <f>SUM(AI115:AJ115)</f>
        <v>1</v>
      </c>
      <c r="AL115" s="51">
        <f>COUNTIF(Octobre23[[#This Row],[1]:[31]],AL$6)</f>
        <v>1</v>
      </c>
      <c r="AM115" s="51">
        <f>COUNTIF(Octobre23[[#This Row],[1]:[31]],AM$6)/2</f>
        <v>0.5</v>
      </c>
      <c r="AN115" s="51">
        <f>SUM(AL115:AM115)</f>
        <v>1.5</v>
      </c>
      <c r="AO115" s="51">
        <f>COUNTIF(Octobre23[[#This Row],[1]:[31]],AO$6)</f>
        <v>0</v>
      </c>
      <c r="AP115" s="51">
        <f>COUNTIF(Octobre23[[#This Row],[1]:[31]],AP$6)</f>
        <v>0</v>
      </c>
      <c r="AQ115" s="51">
        <f>COUNTIF(Octobre23[[#This Row],[1]:[31]],AQ$6)/2</f>
        <v>0</v>
      </c>
      <c r="AR115" s="51">
        <f>SUM(AP115:AQ115)</f>
        <v>0</v>
      </c>
      <c r="AS115" s="51">
        <f>COUNTIF(Octobre23[[#This Row],[1]:[31]],AS$6)</f>
        <v>0</v>
      </c>
      <c r="AT115" s="51">
        <f>COUNTIF(Octobre23[[#This Row],[1]:[31]],AT$6)/2</f>
        <v>0</v>
      </c>
      <c r="AU115" s="51">
        <f>SUM(AS115:AT115)</f>
        <v>0</v>
      </c>
      <c r="AV115" s="52">
        <f>AK115+AN115+AO115+AR115+AU115</f>
        <v>2.5</v>
      </c>
      <c r="AW115" s="77">
        <f>COUNTA(V103,AF103,W103,X103,Y103,Z103,AA103,AB103,AC103,AD103,AE103,B115:U115)</f>
        <v>2</v>
      </c>
    </row>
    <row r="116" spans="1:49" x14ac:dyDescent="0.3">
      <c r="A116" s="48" t="s">
        <v>121</v>
      </c>
      <c r="B116" s="50"/>
      <c r="C116" s="50"/>
      <c r="D116" s="50"/>
      <c r="E116" s="50"/>
      <c r="F116" s="50"/>
      <c r="G116" s="50"/>
      <c r="H116" s="50"/>
      <c r="I116" s="50"/>
      <c r="J116" s="50"/>
      <c r="K116" s="50" t="s">
        <v>88</v>
      </c>
      <c r="L116" s="50"/>
      <c r="M116" s="50"/>
      <c r="N116" s="50"/>
      <c r="O116" s="50"/>
      <c r="P116" s="50"/>
      <c r="Q116" s="50" t="s">
        <v>88</v>
      </c>
      <c r="R116" s="50"/>
      <c r="S116" s="50"/>
      <c r="T116" s="50"/>
      <c r="U116" s="50"/>
      <c r="V116" s="50"/>
      <c r="W116" s="50"/>
      <c r="X116" s="50"/>
      <c r="Y116" s="50"/>
      <c r="Z116" s="50"/>
      <c r="AA116" s="50" t="s">
        <v>72</v>
      </c>
      <c r="AB116" s="50" t="s">
        <v>72</v>
      </c>
      <c r="AC116" s="50"/>
      <c r="AD116" s="50"/>
      <c r="AE116" s="50" t="s">
        <v>72</v>
      </c>
      <c r="AF116" s="50" t="s">
        <v>72</v>
      </c>
      <c r="AG116" s="18"/>
      <c r="AH116" s="48" t="s">
        <v>121</v>
      </c>
      <c r="AI116" s="51">
        <f>COUNTIF(Octobre23[[#This Row],[1]:[31]],AI$6)</f>
        <v>0</v>
      </c>
      <c r="AJ116" s="51">
        <f>COUNTIF(Octobre23[[#This Row],[1]:[31]],AJ$6)/2</f>
        <v>0</v>
      </c>
      <c r="AK116" s="53">
        <f t="shared" ref="AK116:AK120" si="43">SUM(AI116:AJ116)</f>
        <v>0</v>
      </c>
      <c r="AL116" s="53">
        <f>COUNTIF(Octobre23[[#This Row],[1]:[31]],AL$6)</f>
        <v>0</v>
      </c>
      <c r="AM116" s="53">
        <f>COUNTIF(Octobre23[[#This Row],[1]:[31]],AM$6)/2</f>
        <v>1</v>
      </c>
      <c r="AN116" s="53">
        <f t="shared" ref="AN116:AN120" si="44">SUM(AL116:AM116)</f>
        <v>1</v>
      </c>
      <c r="AO116" s="53">
        <f>COUNTIF(Octobre23[[#This Row],[1]:[31]],AO$6)</f>
        <v>4</v>
      </c>
      <c r="AP116" s="53">
        <f>COUNTIF(Octobre23[[#This Row],[1]:[31]],AP$6)</f>
        <v>0</v>
      </c>
      <c r="AQ116" s="53">
        <f>COUNTIF(Octobre23[[#This Row],[1]:[31]],AQ$6)/2</f>
        <v>0</v>
      </c>
      <c r="AR116" s="53">
        <f t="shared" ref="AR116:AR120" si="45">SUM(AP116:AQ116)</f>
        <v>0</v>
      </c>
      <c r="AS116" s="53">
        <f>COUNTIF(Octobre23[[#This Row],[1]:[31]],AS$6)</f>
        <v>0</v>
      </c>
      <c r="AT116" s="53">
        <f>COUNTIF(Octobre23[[#This Row],[1]:[31]],AT$6)/2</f>
        <v>0</v>
      </c>
      <c r="AU116" s="53">
        <f t="shared" ref="AU116:AU120" si="46">SUM(AS116:AT116)</f>
        <v>0</v>
      </c>
      <c r="AV116" s="54">
        <f t="shared" ref="AV116:AV120" si="47">AK116+AN116+AO116+AR116+AU116</f>
        <v>5</v>
      </c>
      <c r="AW116" s="78">
        <f t="shared" ref="AW116:AW120" si="48">COUNTA(V104,AF104,W104,X104,Y104,Z104,AA104,AB104,AC104,AD104,AE104,B116:U116)</f>
        <v>2</v>
      </c>
    </row>
    <row r="117" spans="1:49" x14ac:dyDescent="0.3">
      <c r="A117" s="48" t="s">
        <v>122</v>
      </c>
      <c r="B117" s="50"/>
      <c r="C117" s="50"/>
      <c r="D117" s="50"/>
      <c r="E117" s="50"/>
      <c r="F117" s="50"/>
      <c r="G117" s="50" t="s">
        <v>88</v>
      </c>
      <c r="H117" s="50"/>
      <c r="I117" s="50"/>
      <c r="J117" s="50"/>
      <c r="K117" s="50"/>
      <c r="L117" s="50"/>
      <c r="M117" s="50" t="s">
        <v>88</v>
      </c>
      <c r="N117" s="50"/>
      <c r="O117" s="50"/>
      <c r="P117" s="50"/>
      <c r="Q117" s="50"/>
      <c r="R117" s="50"/>
      <c r="S117" s="50"/>
      <c r="T117" s="50"/>
      <c r="U117" s="50"/>
      <c r="V117" s="50"/>
      <c r="W117" s="50"/>
      <c r="X117" s="50"/>
      <c r="Y117" s="50"/>
      <c r="Z117" s="50"/>
      <c r="AA117" s="50" t="s">
        <v>74</v>
      </c>
      <c r="AB117" s="50" t="s">
        <v>74</v>
      </c>
      <c r="AC117" s="50"/>
      <c r="AD117" s="50"/>
      <c r="AE117" s="50"/>
      <c r="AF117" s="50"/>
      <c r="AG117" s="18"/>
      <c r="AH117" s="48" t="s">
        <v>122</v>
      </c>
      <c r="AI117" s="51">
        <f>COUNTIF(Octobre23[[#This Row],[1]:[31]],AI$6)</f>
        <v>0</v>
      </c>
      <c r="AJ117" s="51">
        <f>COUNTIF(Octobre23[[#This Row],[1]:[31]],AJ$6)/2</f>
        <v>0</v>
      </c>
      <c r="AK117" s="51">
        <f t="shared" si="43"/>
        <v>0</v>
      </c>
      <c r="AL117" s="51">
        <f>COUNTIF(Octobre23[[#This Row],[1]:[31]],AL$6)</f>
        <v>2</v>
      </c>
      <c r="AM117" s="51">
        <f>COUNTIF(Octobre23[[#This Row],[1]:[31]],AM$6)/2</f>
        <v>1</v>
      </c>
      <c r="AN117" s="51">
        <f t="shared" si="44"/>
        <v>3</v>
      </c>
      <c r="AO117" s="51">
        <f>COUNTIF(Octobre23[[#This Row],[1]:[31]],AO$6)</f>
        <v>0</v>
      </c>
      <c r="AP117" s="51">
        <f>COUNTIF(Octobre23[[#This Row],[1]:[31]],AP$6)</f>
        <v>0</v>
      </c>
      <c r="AQ117" s="51">
        <f>COUNTIF(Octobre23[[#This Row],[1]:[31]],AQ$6)/2</f>
        <v>0</v>
      </c>
      <c r="AR117" s="51">
        <f t="shared" si="45"/>
        <v>0</v>
      </c>
      <c r="AS117" s="51">
        <f>COUNTIF(Octobre23[[#This Row],[1]:[31]],AS$6)</f>
        <v>0</v>
      </c>
      <c r="AT117" s="51">
        <f>COUNTIF(Octobre23[[#This Row],[1]:[31]],AT$6)/2</f>
        <v>0</v>
      </c>
      <c r="AU117" s="51">
        <f t="shared" si="46"/>
        <v>0</v>
      </c>
      <c r="AV117" s="52">
        <f t="shared" si="47"/>
        <v>3</v>
      </c>
      <c r="AW117" s="77">
        <f t="shared" si="48"/>
        <v>2</v>
      </c>
    </row>
    <row r="118" spans="1:49" x14ac:dyDescent="0.3">
      <c r="A118" s="48" t="s">
        <v>123</v>
      </c>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c r="AA118" s="50"/>
      <c r="AB118" s="50"/>
      <c r="AC118" s="50"/>
      <c r="AD118" s="50"/>
      <c r="AE118" s="50"/>
      <c r="AF118" s="50"/>
      <c r="AG118" s="18"/>
      <c r="AH118" s="48" t="s">
        <v>123</v>
      </c>
      <c r="AI118" s="51">
        <f>COUNTIF(Octobre23[[#This Row],[1]:[31]],AI$6)</f>
        <v>0</v>
      </c>
      <c r="AJ118" s="51">
        <f>COUNTIF(Octobre23[[#This Row],[1]:[31]],AJ$6)/2</f>
        <v>0</v>
      </c>
      <c r="AK118" s="53">
        <f t="shared" si="43"/>
        <v>0</v>
      </c>
      <c r="AL118" s="53">
        <f>COUNTIF(Octobre23[[#This Row],[1]:[31]],AL$6)</f>
        <v>0</v>
      </c>
      <c r="AM118" s="53">
        <f>COUNTIF(Octobre23[[#This Row],[1]:[31]],AM$6)/2</f>
        <v>0</v>
      </c>
      <c r="AN118" s="53">
        <f t="shared" si="44"/>
        <v>0</v>
      </c>
      <c r="AO118" s="53">
        <f>COUNTIF(Octobre23[[#This Row],[1]:[31]],AO$6)</f>
        <v>0</v>
      </c>
      <c r="AP118" s="53">
        <f>COUNTIF(Octobre23[[#This Row],[1]:[31]],AP$6)</f>
        <v>0</v>
      </c>
      <c r="AQ118" s="53">
        <f>COUNTIF(Octobre23[[#This Row],[1]:[31]],AQ$6)/2</f>
        <v>0</v>
      </c>
      <c r="AR118" s="53">
        <f t="shared" si="45"/>
        <v>0</v>
      </c>
      <c r="AS118" s="53">
        <f>COUNTIF(Octobre23[[#This Row],[1]:[31]],AS$6)</f>
        <v>0</v>
      </c>
      <c r="AT118" s="53">
        <f>COUNTIF(Octobre23[[#This Row],[1]:[31]],AT$6)/2</f>
        <v>0</v>
      </c>
      <c r="AU118" s="53">
        <f t="shared" si="46"/>
        <v>0</v>
      </c>
      <c r="AV118" s="54">
        <f t="shared" si="47"/>
        <v>0</v>
      </c>
      <c r="AW118" s="78">
        <f t="shared" si="48"/>
        <v>0</v>
      </c>
    </row>
    <row r="119" spans="1:49" x14ac:dyDescent="0.3">
      <c r="A119" s="48" t="s">
        <v>124</v>
      </c>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c r="AA119" s="50"/>
      <c r="AB119" s="50"/>
      <c r="AC119" s="50"/>
      <c r="AD119" s="50"/>
      <c r="AE119" s="50" t="s">
        <v>74</v>
      </c>
      <c r="AF119" s="50" t="s">
        <v>74</v>
      </c>
      <c r="AG119" s="18"/>
      <c r="AH119" s="48" t="s">
        <v>124</v>
      </c>
      <c r="AI119" s="51">
        <f>COUNTIF(Octobre23[[#This Row],[1]:[31]],AI$6)</f>
        <v>0</v>
      </c>
      <c r="AJ119" s="51">
        <f>COUNTIF(Octobre23[[#This Row],[1]:[31]],AJ$6)/2</f>
        <v>0</v>
      </c>
      <c r="AK119" s="51">
        <f t="shared" si="43"/>
        <v>0</v>
      </c>
      <c r="AL119" s="51">
        <f>COUNTIF(Octobre23[[#This Row],[1]:[31]],AL$6)</f>
        <v>2</v>
      </c>
      <c r="AM119" s="51">
        <f>COUNTIF(Octobre23[[#This Row],[1]:[31]],AM$6)/2</f>
        <v>0</v>
      </c>
      <c r="AN119" s="51">
        <f t="shared" si="44"/>
        <v>2</v>
      </c>
      <c r="AO119" s="51">
        <f>COUNTIF(Octobre23[[#This Row],[1]:[31]],AO$6)</f>
        <v>0</v>
      </c>
      <c r="AP119" s="51">
        <f>COUNTIF(Octobre23[[#This Row],[1]:[31]],AP$6)</f>
        <v>0</v>
      </c>
      <c r="AQ119" s="51">
        <f>COUNTIF(Octobre23[[#This Row],[1]:[31]],AQ$6)/2</f>
        <v>0</v>
      </c>
      <c r="AR119" s="51">
        <f t="shared" si="45"/>
        <v>0</v>
      </c>
      <c r="AS119" s="51">
        <f>COUNTIF(Octobre23[[#This Row],[1]:[31]],AS$6)</f>
        <v>0</v>
      </c>
      <c r="AT119" s="51">
        <f>COUNTIF(Octobre23[[#This Row],[1]:[31]],AT$6)/2</f>
        <v>0</v>
      </c>
      <c r="AU119" s="51">
        <f t="shared" si="46"/>
        <v>0</v>
      </c>
      <c r="AV119" s="52">
        <f t="shared" si="47"/>
        <v>2</v>
      </c>
      <c r="AW119" s="77">
        <f t="shared" si="48"/>
        <v>1</v>
      </c>
    </row>
    <row r="120" spans="1:49" ht="17.25" thickBot="1" x14ac:dyDescent="0.35">
      <c r="A120" s="48" t="s">
        <v>125</v>
      </c>
      <c r="B120" s="50"/>
      <c r="C120" s="50"/>
      <c r="D120" s="50"/>
      <c r="E120" s="50"/>
      <c r="F120" s="50"/>
      <c r="G120" s="50"/>
      <c r="H120" s="50"/>
      <c r="I120" s="50"/>
      <c r="J120" s="50" t="s">
        <v>71</v>
      </c>
      <c r="K120" s="50" t="s">
        <v>71</v>
      </c>
      <c r="L120" s="50"/>
      <c r="M120" s="50" t="s">
        <v>71</v>
      </c>
      <c r="N120" s="50"/>
      <c r="O120" s="50"/>
      <c r="P120" s="50"/>
      <c r="Q120" s="50"/>
      <c r="R120" s="50"/>
      <c r="S120" s="50"/>
      <c r="T120" s="50"/>
      <c r="U120" s="50"/>
      <c r="V120" s="50"/>
      <c r="W120" s="50"/>
      <c r="X120" s="50"/>
      <c r="Y120" s="50"/>
      <c r="Z120" s="50"/>
      <c r="AA120" s="50"/>
      <c r="AB120" s="50"/>
      <c r="AC120" s="50"/>
      <c r="AD120" s="50"/>
      <c r="AE120" s="50"/>
      <c r="AF120" s="50"/>
      <c r="AG120" s="18"/>
      <c r="AH120" s="48" t="s">
        <v>125</v>
      </c>
      <c r="AI120" s="51">
        <f>COUNTIF(Octobre23[[#This Row],[1]:[31]],AI$6)</f>
        <v>3</v>
      </c>
      <c r="AJ120" s="51">
        <f>COUNTIF(Octobre23[[#This Row],[1]:[31]],AJ$6)/2</f>
        <v>0</v>
      </c>
      <c r="AK120" s="53">
        <f t="shared" si="43"/>
        <v>3</v>
      </c>
      <c r="AL120" s="53">
        <f>COUNTIF(Octobre23[[#This Row],[1]:[31]],AL$6)</f>
        <v>0</v>
      </c>
      <c r="AM120" s="53">
        <f>COUNTIF(Octobre23[[#This Row],[1]:[31]],AM$6)/2</f>
        <v>0</v>
      </c>
      <c r="AN120" s="53">
        <f t="shared" si="44"/>
        <v>0</v>
      </c>
      <c r="AO120" s="53">
        <f>COUNTIF(Octobre23[[#This Row],[1]:[31]],AO$6)</f>
        <v>0</v>
      </c>
      <c r="AP120" s="53">
        <f>COUNTIF(Octobre23[[#This Row],[1]:[31]],AP$6)</f>
        <v>0</v>
      </c>
      <c r="AQ120" s="53">
        <f>COUNTIF(Octobre23[[#This Row],[1]:[31]],AQ$6)/2</f>
        <v>0</v>
      </c>
      <c r="AR120" s="53">
        <f t="shared" si="45"/>
        <v>0</v>
      </c>
      <c r="AS120" s="53">
        <f>COUNTIF(Octobre23[[#This Row],[1]:[31]],AS$6)</f>
        <v>0</v>
      </c>
      <c r="AT120" s="53">
        <f>COUNTIF(Octobre23[[#This Row],[1]:[31]],AT$6)/2</f>
        <v>0</v>
      </c>
      <c r="AU120" s="53">
        <f t="shared" si="46"/>
        <v>0</v>
      </c>
      <c r="AV120" s="55">
        <f t="shared" si="47"/>
        <v>3</v>
      </c>
      <c r="AW120" s="79">
        <f t="shared" si="48"/>
        <v>3</v>
      </c>
    </row>
    <row r="122" spans="1:49" s="18" customFormat="1" ht="14.25" thickBot="1" x14ac:dyDescent="0.3">
      <c r="A122" s="19" t="s">
        <v>79</v>
      </c>
      <c r="B122" s="20" t="s">
        <v>27</v>
      </c>
      <c r="C122" s="21" t="s">
        <v>76</v>
      </c>
      <c r="E122" s="22" t="s">
        <v>80</v>
      </c>
      <c r="F122" s="23" t="s">
        <v>77</v>
      </c>
      <c r="G122" s="23"/>
      <c r="H122" s="24" t="s">
        <v>70</v>
      </c>
      <c r="I122" s="25" t="s">
        <v>3</v>
      </c>
      <c r="J122" s="23"/>
      <c r="K122" s="26" t="s">
        <v>81</v>
      </c>
      <c r="L122" s="27" t="s">
        <v>78</v>
      </c>
      <c r="M122" s="23"/>
      <c r="N122" s="28" t="s">
        <v>25</v>
      </c>
      <c r="O122" s="25" t="s">
        <v>28</v>
      </c>
      <c r="P122" s="25"/>
      <c r="Q122" s="29" t="s">
        <v>67</v>
      </c>
      <c r="R122" s="30" t="s">
        <v>66</v>
      </c>
      <c r="S122" s="30"/>
      <c r="T122" s="31" t="s">
        <v>84</v>
      </c>
      <c r="U122" s="23" t="s">
        <v>85</v>
      </c>
      <c r="V122" s="23"/>
      <c r="W122" s="23"/>
      <c r="X122" s="32" t="s">
        <v>68</v>
      </c>
      <c r="Y122" s="33" t="s">
        <v>69</v>
      </c>
      <c r="Z122" s="33"/>
      <c r="AA122" s="34" t="s">
        <v>83</v>
      </c>
      <c r="AB122" s="33" t="s">
        <v>86</v>
      </c>
      <c r="AC122" s="33"/>
      <c r="AD122" s="33"/>
      <c r="AE122" s="33"/>
      <c r="AF122" s="33"/>
    </row>
    <row r="123" spans="1:49" s="61" customFormat="1" ht="32.25" customHeight="1" x14ac:dyDescent="0.3">
      <c r="A123" s="126" t="s">
        <v>111</v>
      </c>
      <c r="B123" s="125"/>
      <c r="C123" s="125"/>
      <c r="D123" s="125"/>
      <c r="E123" s="125"/>
      <c r="F123" s="125"/>
      <c r="G123" s="125"/>
      <c r="H123" s="125"/>
      <c r="I123" s="125"/>
      <c r="J123" s="125"/>
      <c r="K123" s="125"/>
      <c r="L123" s="125"/>
      <c r="M123" s="125"/>
      <c r="N123" s="125"/>
      <c r="O123" s="125"/>
      <c r="P123" s="125"/>
      <c r="Q123" s="125"/>
      <c r="R123" s="125"/>
      <c r="S123" s="125"/>
      <c r="T123" s="125"/>
      <c r="U123" s="125"/>
      <c r="V123" s="125"/>
      <c r="W123" s="125"/>
      <c r="X123" s="125"/>
      <c r="Y123" s="125"/>
      <c r="Z123" s="125"/>
      <c r="AA123" s="125"/>
      <c r="AB123" s="125"/>
      <c r="AC123" s="125"/>
      <c r="AD123" s="125"/>
      <c r="AE123" s="125"/>
      <c r="AF123" s="125"/>
      <c r="AH123" s="125"/>
    </row>
    <row r="124" spans="1:49" ht="30" thickBot="1" x14ac:dyDescent="0.35">
      <c r="A124" s="17" t="s">
        <v>19</v>
      </c>
      <c r="B124" s="140" t="s">
        <v>29</v>
      </c>
      <c r="C124" s="140"/>
      <c r="D124" s="140"/>
      <c r="E124" s="140"/>
      <c r="F124" s="140"/>
      <c r="G124" s="140"/>
      <c r="H124" s="140"/>
      <c r="I124" s="140"/>
      <c r="J124" s="140"/>
      <c r="K124" s="140"/>
      <c r="L124" s="140"/>
      <c r="M124" s="140"/>
      <c r="N124" s="140"/>
      <c r="O124" s="140"/>
      <c r="P124" s="140"/>
      <c r="Q124" s="140"/>
      <c r="R124" s="140"/>
      <c r="S124" s="140"/>
      <c r="T124" s="140"/>
      <c r="U124" s="140"/>
      <c r="V124" s="140"/>
      <c r="W124" s="140"/>
      <c r="X124" s="140"/>
      <c r="Y124" s="140"/>
      <c r="Z124" s="140"/>
      <c r="AA124" s="140"/>
      <c r="AB124" s="140"/>
      <c r="AC124" s="140"/>
      <c r="AD124" s="140"/>
      <c r="AE124" s="140"/>
      <c r="AF124" s="140"/>
      <c r="AG124" s="17"/>
      <c r="AH124" s="140" t="s">
        <v>91</v>
      </c>
      <c r="AI124" s="140"/>
      <c r="AJ124" s="140"/>
      <c r="AK124" s="140"/>
      <c r="AL124" s="140"/>
      <c r="AM124" s="140"/>
      <c r="AN124" s="140"/>
      <c r="AO124" s="140"/>
      <c r="AP124" s="140"/>
      <c r="AQ124" s="140"/>
      <c r="AR124" s="140"/>
      <c r="AS124" s="140"/>
      <c r="AT124" s="140"/>
      <c r="AU124" s="140"/>
      <c r="AV124" s="140"/>
      <c r="AW124" s="140"/>
    </row>
    <row r="125" spans="1:49" ht="18" thickTop="1" thickBot="1" x14ac:dyDescent="0.35">
      <c r="A125" s="35">
        <v>11</v>
      </c>
      <c r="B125" s="36" t="str">
        <f t="shared" ref="B125:AE125" si="49">TEXT(WEEKDAY(DATE(AnnéeCalendrier,$A$53,B$54),16),"jjj")</f>
        <v>mer</v>
      </c>
      <c r="C125" s="36" t="str">
        <f t="shared" si="49"/>
        <v>jeu</v>
      </c>
      <c r="D125" s="36" t="str">
        <f t="shared" si="49"/>
        <v>ven</v>
      </c>
      <c r="E125" s="36" t="str">
        <f t="shared" si="49"/>
        <v>sam</v>
      </c>
      <c r="F125" s="36" t="str">
        <f t="shared" si="49"/>
        <v>dim</v>
      </c>
      <c r="G125" s="36" t="str">
        <f t="shared" si="49"/>
        <v>lun</v>
      </c>
      <c r="H125" s="36" t="str">
        <f t="shared" si="49"/>
        <v>mar</v>
      </c>
      <c r="I125" s="36" t="str">
        <f t="shared" si="49"/>
        <v>mer</v>
      </c>
      <c r="J125" s="36" t="str">
        <f t="shared" si="49"/>
        <v>jeu</v>
      </c>
      <c r="K125" s="36" t="str">
        <f t="shared" si="49"/>
        <v>ven</v>
      </c>
      <c r="L125" s="36" t="str">
        <f t="shared" si="49"/>
        <v>sam</v>
      </c>
      <c r="M125" s="36" t="str">
        <f t="shared" si="49"/>
        <v>dim</v>
      </c>
      <c r="N125" s="36" t="str">
        <f t="shared" si="49"/>
        <v>lun</v>
      </c>
      <c r="O125" s="36" t="str">
        <f t="shared" si="49"/>
        <v>mar</v>
      </c>
      <c r="P125" s="36" t="str">
        <f t="shared" si="49"/>
        <v>mer</v>
      </c>
      <c r="Q125" s="36" t="str">
        <f t="shared" si="49"/>
        <v>jeu</v>
      </c>
      <c r="R125" s="36" t="str">
        <f t="shared" si="49"/>
        <v>ven</v>
      </c>
      <c r="S125" s="36" t="str">
        <f t="shared" si="49"/>
        <v>sam</v>
      </c>
      <c r="T125" s="36" t="str">
        <f t="shared" si="49"/>
        <v>dim</v>
      </c>
      <c r="U125" s="36" t="str">
        <f t="shared" si="49"/>
        <v>lun</v>
      </c>
      <c r="V125" s="36" t="str">
        <f t="shared" si="49"/>
        <v>mar</v>
      </c>
      <c r="W125" s="36" t="str">
        <f t="shared" si="49"/>
        <v>mer</v>
      </c>
      <c r="X125" s="36" t="str">
        <f t="shared" si="49"/>
        <v>jeu</v>
      </c>
      <c r="Y125" s="36" t="str">
        <f t="shared" si="49"/>
        <v>ven</v>
      </c>
      <c r="Z125" s="36" t="str">
        <f t="shared" si="49"/>
        <v>sam</v>
      </c>
      <c r="AA125" s="36" t="str">
        <f t="shared" si="49"/>
        <v>dim</v>
      </c>
      <c r="AB125" s="36" t="str">
        <f t="shared" si="49"/>
        <v>lun</v>
      </c>
      <c r="AC125" s="36" t="str">
        <f t="shared" si="49"/>
        <v>mar</v>
      </c>
      <c r="AD125" s="36" t="str">
        <f t="shared" si="49"/>
        <v>mer</v>
      </c>
      <c r="AE125" s="36" t="str">
        <f t="shared" si="49"/>
        <v>jeu</v>
      </c>
      <c r="AF125" s="36"/>
      <c r="AG125" s="18"/>
      <c r="AH125" s="35">
        <v>11</v>
      </c>
      <c r="AI125" s="18"/>
      <c r="AJ125" s="18"/>
      <c r="AK125" s="18"/>
      <c r="AL125" s="18"/>
      <c r="AM125" s="18"/>
      <c r="AN125" s="18"/>
      <c r="AO125" s="18"/>
      <c r="AP125" s="18"/>
      <c r="AQ125" s="18"/>
      <c r="AR125" s="18"/>
      <c r="AS125" s="18"/>
      <c r="AT125" s="18"/>
      <c r="AU125" s="18"/>
      <c r="AV125" s="18"/>
      <c r="AW125" s="18"/>
    </row>
    <row r="126" spans="1:49" x14ac:dyDescent="0.3">
      <c r="A126" s="59" t="s">
        <v>24</v>
      </c>
      <c r="B126" s="56" t="s">
        <v>30</v>
      </c>
      <c r="C126" s="56" t="s">
        <v>31</v>
      </c>
      <c r="D126" s="56" t="s">
        <v>32</v>
      </c>
      <c r="E126" s="56" t="s">
        <v>33</v>
      </c>
      <c r="F126" s="56" t="s">
        <v>34</v>
      </c>
      <c r="G126" s="56" t="s">
        <v>35</v>
      </c>
      <c r="H126" s="56" t="s">
        <v>36</v>
      </c>
      <c r="I126" s="56" t="s">
        <v>37</v>
      </c>
      <c r="J126" s="56" t="s">
        <v>38</v>
      </c>
      <c r="K126" s="56" t="s">
        <v>39</v>
      </c>
      <c r="L126" s="56" t="s">
        <v>40</v>
      </c>
      <c r="M126" s="56" t="s">
        <v>41</v>
      </c>
      <c r="N126" s="56" t="s">
        <v>42</v>
      </c>
      <c r="O126" s="56" t="s">
        <v>43</v>
      </c>
      <c r="P126" s="56" t="s">
        <v>44</v>
      </c>
      <c r="Q126" s="56" t="s">
        <v>45</v>
      </c>
      <c r="R126" s="56" t="s">
        <v>46</v>
      </c>
      <c r="S126" s="56" t="s">
        <v>47</v>
      </c>
      <c r="T126" s="56" t="s">
        <v>48</v>
      </c>
      <c r="U126" s="56" t="s">
        <v>49</v>
      </c>
      <c r="V126" s="56" t="s">
        <v>50</v>
      </c>
      <c r="W126" s="56" t="s">
        <v>51</v>
      </c>
      <c r="X126" s="56" t="s">
        <v>52</v>
      </c>
      <c r="Y126" s="56" t="s">
        <v>53</v>
      </c>
      <c r="Z126" s="56" t="s">
        <v>54</v>
      </c>
      <c r="AA126" s="56" t="s">
        <v>55</v>
      </c>
      <c r="AB126" s="56" t="s">
        <v>56</v>
      </c>
      <c r="AC126" s="56" t="s">
        <v>57</v>
      </c>
      <c r="AD126" s="60" t="s">
        <v>58</v>
      </c>
      <c r="AE126" s="60" t="s">
        <v>59</v>
      </c>
      <c r="AF126" s="57" t="s">
        <v>60</v>
      </c>
      <c r="AG126" s="18"/>
      <c r="AH126" s="59" t="s">
        <v>24</v>
      </c>
      <c r="AI126" s="40" t="s">
        <v>27</v>
      </c>
      <c r="AJ126" s="41" t="s">
        <v>80</v>
      </c>
      <c r="AK126" s="40" t="s">
        <v>76</v>
      </c>
      <c r="AL126" s="42" t="s">
        <v>70</v>
      </c>
      <c r="AM126" s="43" t="s">
        <v>81</v>
      </c>
      <c r="AN126" s="42" t="s">
        <v>3</v>
      </c>
      <c r="AO126" s="44" t="s">
        <v>25</v>
      </c>
      <c r="AP126" s="45" t="s">
        <v>67</v>
      </c>
      <c r="AQ126" s="31" t="s">
        <v>84</v>
      </c>
      <c r="AR126" s="45" t="s">
        <v>101</v>
      </c>
      <c r="AS126" s="46" t="s">
        <v>68</v>
      </c>
      <c r="AT126" s="34" t="s">
        <v>83</v>
      </c>
      <c r="AU126" s="46" t="s">
        <v>69</v>
      </c>
      <c r="AV126" s="58" t="s">
        <v>1</v>
      </c>
      <c r="AW126" s="76" t="s">
        <v>87</v>
      </c>
    </row>
    <row r="127" spans="1:49" x14ac:dyDescent="0.3">
      <c r="A127" s="48" t="s">
        <v>120</v>
      </c>
      <c r="B127" s="49"/>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c r="AA127" s="50"/>
      <c r="AB127" s="50"/>
      <c r="AC127" s="50"/>
      <c r="AD127" s="50" t="s">
        <v>74</v>
      </c>
      <c r="AE127" s="50"/>
      <c r="AF127" s="50"/>
      <c r="AG127" s="18"/>
      <c r="AH127" s="48" t="s">
        <v>120</v>
      </c>
      <c r="AI127" s="51">
        <f>COUNTIF(Novembre24[[#This Row],[1]:[30]],AI$6)</f>
        <v>0</v>
      </c>
      <c r="AJ127" s="51">
        <f>COUNTIF(Novembre24[[#This Row],[1]:[30]],AJ$6)/2</f>
        <v>0</v>
      </c>
      <c r="AK127" s="51">
        <f>SUM(AI127:AJ127)</f>
        <v>0</v>
      </c>
      <c r="AL127" s="51">
        <f>COUNTIF(Novembre24[[#This Row],[1]:[30]],AL$6)</f>
        <v>1</v>
      </c>
      <c r="AM127" s="51">
        <f>COUNTIF(Novembre24[[#This Row],[1]:[30]],AM$6)/2</f>
        <v>0</v>
      </c>
      <c r="AN127" s="51">
        <f>SUM(AL127:AM127)</f>
        <v>1</v>
      </c>
      <c r="AO127" s="51">
        <f>COUNTIF(Novembre24[[#This Row],[1]:[30]],AO$6)</f>
        <v>0</v>
      </c>
      <c r="AP127" s="51">
        <f>COUNTIF(Novembre24[[#This Row],[1]:[30]],AP$6)</f>
        <v>0</v>
      </c>
      <c r="AQ127" s="51">
        <f>COUNTIF(Novembre24[[#This Row],[1]:[30]],AQ$6)/2</f>
        <v>0</v>
      </c>
      <c r="AR127" s="51">
        <f>SUM(AP127:AQ127)</f>
        <v>0</v>
      </c>
      <c r="AS127" s="51">
        <f>COUNTIF(Novembre24[[#This Row],[1]:[30]],AS$6)</f>
        <v>0</v>
      </c>
      <c r="AT127" s="51">
        <f>COUNTIF(Novembre24[[#This Row],[1]:[30]],AT$6)/2</f>
        <v>0</v>
      </c>
      <c r="AU127" s="51">
        <f>SUM(AS127:AT127)</f>
        <v>0</v>
      </c>
      <c r="AV127" s="52">
        <f>AK127+AN127+AO127+AR127+AU127</f>
        <v>1</v>
      </c>
      <c r="AW127" s="77">
        <f>COUNTA(V115,AF115,W115,X115,Y115,Z115,AA115,AB115,AC115,AD115,AE115,B127:U127)</f>
        <v>2</v>
      </c>
    </row>
    <row r="128" spans="1:49" x14ac:dyDescent="0.3">
      <c r="A128" s="48" t="s">
        <v>121</v>
      </c>
      <c r="B128" s="49"/>
      <c r="C128" s="50" t="s">
        <v>72</v>
      </c>
      <c r="D128" s="50" t="s">
        <v>72</v>
      </c>
      <c r="E128" s="50"/>
      <c r="F128" s="50"/>
      <c r="G128" s="50" t="s">
        <v>72</v>
      </c>
      <c r="H128" s="50" t="s">
        <v>72</v>
      </c>
      <c r="I128" s="50" t="s">
        <v>72</v>
      </c>
      <c r="J128" s="50" t="s">
        <v>72</v>
      </c>
      <c r="K128" s="50" t="s">
        <v>72</v>
      </c>
      <c r="L128" s="50"/>
      <c r="M128" s="50"/>
      <c r="N128" s="50"/>
      <c r="O128" s="50"/>
      <c r="P128" s="50"/>
      <c r="Q128" s="50"/>
      <c r="R128" s="50"/>
      <c r="S128" s="50"/>
      <c r="T128" s="50"/>
      <c r="U128" s="50"/>
      <c r="V128" s="50"/>
      <c r="W128" s="50"/>
      <c r="X128" s="50"/>
      <c r="Y128" s="50"/>
      <c r="Z128" s="50"/>
      <c r="AA128" s="50"/>
      <c r="AB128" s="50"/>
      <c r="AC128" s="50"/>
      <c r="AD128" s="50"/>
      <c r="AE128" s="50"/>
      <c r="AF128" s="50"/>
      <c r="AG128" s="18"/>
      <c r="AH128" s="48" t="s">
        <v>121</v>
      </c>
      <c r="AI128" s="51">
        <f>COUNTIF(Novembre24[[#This Row],[1]:[30]],AI$6)</f>
        <v>0</v>
      </c>
      <c r="AJ128" s="51">
        <f>COUNTIF(Novembre24[[#This Row],[1]:[30]],AJ$6)/2</f>
        <v>0</v>
      </c>
      <c r="AK128" s="53">
        <f t="shared" ref="AK128:AK132" si="50">SUM(AI128:AJ128)</f>
        <v>0</v>
      </c>
      <c r="AL128" s="53">
        <f>COUNTIF(Novembre24[[#This Row],[1]:[30]],AL$6)</f>
        <v>0</v>
      </c>
      <c r="AM128" s="53">
        <f>COUNTIF(Novembre24[[#This Row],[1]:[30]],AM$6)/2</f>
        <v>0</v>
      </c>
      <c r="AN128" s="53">
        <f t="shared" ref="AN128:AN132" si="51">SUM(AL128:AM128)</f>
        <v>0</v>
      </c>
      <c r="AO128" s="53">
        <f>COUNTIF(Novembre24[[#This Row],[1]:[30]],AO$6)</f>
        <v>7</v>
      </c>
      <c r="AP128" s="53">
        <f>COUNTIF(Novembre24[[#This Row],[1]:[30]],AP$6)</f>
        <v>0</v>
      </c>
      <c r="AQ128" s="53">
        <f>COUNTIF(Novembre24[[#This Row],[1]:[30]],AQ$6)/2</f>
        <v>0</v>
      </c>
      <c r="AR128" s="53">
        <f t="shared" ref="AR128:AR132" si="52">SUM(AP128:AQ128)</f>
        <v>0</v>
      </c>
      <c r="AS128" s="53">
        <f>COUNTIF(Novembre24[[#This Row],[1]:[30]],AS$6)</f>
        <v>0</v>
      </c>
      <c r="AT128" s="53">
        <f>COUNTIF(Novembre24[[#This Row],[1]:[30]],AT$6)/2</f>
        <v>0</v>
      </c>
      <c r="AU128" s="53">
        <f t="shared" ref="AU128:AU132" si="53">SUM(AS128:AT128)</f>
        <v>0</v>
      </c>
      <c r="AV128" s="54">
        <f t="shared" ref="AV128:AV132" si="54">AK128+AN128+AO128+AR128+AU128</f>
        <v>7</v>
      </c>
      <c r="AW128" s="78">
        <f t="shared" ref="AW128:AW132" si="55">COUNTA(V116,AF116,W116,X116,Y116,Z116,AA116,AB116,AC116,AD116,AE116,B128:U128)</f>
        <v>11</v>
      </c>
    </row>
    <row r="129" spans="1:49" x14ac:dyDescent="0.3">
      <c r="A129" s="48" t="s">
        <v>122</v>
      </c>
      <c r="B129" s="49"/>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c r="AA129" s="50"/>
      <c r="AB129" s="50"/>
      <c r="AC129" s="50"/>
      <c r="AD129" s="50"/>
      <c r="AE129" s="50"/>
      <c r="AF129" s="50"/>
      <c r="AG129" s="18"/>
      <c r="AH129" s="48" t="s">
        <v>122</v>
      </c>
      <c r="AI129" s="51">
        <f>COUNTIF(Novembre24[[#This Row],[1]:[30]],AI$6)</f>
        <v>0</v>
      </c>
      <c r="AJ129" s="51">
        <f>COUNTIF(Novembre24[[#This Row],[1]:[30]],AJ$6)/2</f>
        <v>0</v>
      </c>
      <c r="AK129" s="51">
        <f t="shared" si="50"/>
        <v>0</v>
      </c>
      <c r="AL129" s="51">
        <f>COUNTIF(Novembre24[[#This Row],[1]:[30]],AL$6)</f>
        <v>0</v>
      </c>
      <c r="AM129" s="51">
        <f>COUNTIF(Novembre24[[#This Row],[1]:[30]],AM$6)/2</f>
        <v>0</v>
      </c>
      <c r="AN129" s="51">
        <f t="shared" si="51"/>
        <v>0</v>
      </c>
      <c r="AO129" s="51">
        <f>COUNTIF(Novembre24[[#This Row],[1]:[30]],AO$6)</f>
        <v>0</v>
      </c>
      <c r="AP129" s="51">
        <f>COUNTIF(Novembre24[[#This Row],[1]:[30]],AP$6)</f>
        <v>0</v>
      </c>
      <c r="AQ129" s="51">
        <f>COUNTIF(Novembre24[[#This Row],[1]:[30]],AQ$6)/2</f>
        <v>0</v>
      </c>
      <c r="AR129" s="51">
        <f t="shared" si="52"/>
        <v>0</v>
      </c>
      <c r="AS129" s="51">
        <f>COUNTIF(Novembre24[[#This Row],[1]:[30]],AS$6)</f>
        <v>0</v>
      </c>
      <c r="AT129" s="51">
        <f>COUNTIF(Novembre24[[#This Row],[1]:[30]],AT$6)/2</f>
        <v>0</v>
      </c>
      <c r="AU129" s="51">
        <f t="shared" si="53"/>
        <v>0</v>
      </c>
      <c r="AV129" s="52">
        <f t="shared" si="54"/>
        <v>0</v>
      </c>
      <c r="AW129" s="77">
        <f t="shared" si="55"/>
        <v>2</v>
      </c>
    </row>
    <row r="130" spans="1:49" x14ac:dyDescent="0.3">
      <c r="A130" s="48" t="s">
        <v>123</v>
      </c>
      <c r="B130" s="49"/>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c r="AA130" s="50"/>
      <c r="AB130" s="50"/>
      <c r="AC130" s="50"/>
      <c r="AD130" s="50"/>
      <c r="AE130" s="50"/>
      <c r="AF130" s="50"/>
      <c r="AG130" s="18"/>
      <c r="AH130" s="48" t="s">
        <v>123</v>
      </c>
      <c r="AI130" s="51">
        <f>COUNTIF(Novembre24[[#This Row],[1]:[30]],AI$6)</f>
        <v>0</v>
      </c>
      <c r="AJ130" s="51">
        <f>COUNTIF(Novembre24[[#This Row],[1]:[30]],AJ$6)/2</f>
        <v>0</v>
      </c>
      <c r="AK130" s="53">
        <f t="shared" si="50"/>
        <v>0</v>
      </c>
      <c r="AL130" s="53">
        <f>COUNTIF(Novembre24[[#This Row],[1]:[30]],AL$6)</f>
        <v>0</v>
      </c>
      <c r="AM130" s="53">
        <f>COUNTIF(Novembre24[[#This Row],[1]:[30]],AM$6)/2</f>
        <v>0</v>
      </c>
      <c r="AN130" s="53">
        <f t="shared" si="51"/>
        <v>0</v>
      </c>
      <c r="AO130" s="53">
        <f>COUNTIF(Novembre24[[#This Row],[1]:[30]],AO$6)</f>
        <v>0</v>
      </c>
      <c r="AP130" s="53">
        <f>COUNTIF(Novembre24[[#This Row],[1]:[30]],AP$6)</f>
        <v>0</v>
      </c>
      <c r="AQ130" s="53">
        <f>COUNTIF(Novembre24[[#This Row],[1]:[30]],AQ$6)/2</f>
        <v>0</v>
      </c>
      <c r="AR130" s="53">
        <f t="shared" si="52"/>
        <v>0</v>
      </c>
      <c r="AS130" s="53">
        <f>COUNTIF(Novembre24[[#This Row],[1]:[30]],AS$6)</f>
        <v>0</v>
      </c>
      <c r="AT130" s="53">
        <f>COUNTIF(Novembre24[[#This Row],[1]:[30]],AT$6)/2</f>
        <v>0</v>
      </c>
      <c r="AU130" s="53">
        <f t="shared" si="53"/>
        <v>0</v>
      </c>
      <c r="AV130" s="54">
        <f t="shared" si="54"/>
        <v>0</v>
      </c>
      <c r="AW130" s="78">
        <f t="shared" si="55"/>
        <v>0</v>
      </c>
    </row>
    <row r="131" spans="1:49" x14ac:dyDescent="0.3">
      <c r="A131" s="48" t="s">
        <v>124</v>
      </c>
      <c r="B131" s="49"/>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c r="AA131" s="50"/>
      <c r="AB131" s="50"/>
      <c r="AC131" s="50"/>
      <c r="AD131" s="50"/>
      <c r="AE131" s="50"/>
      <c r="AF131" s="50"/>
      <c r="AG131" s="18"/>
      <c r="AH131" s="48" t="s">
        <v>124</v>
      </c>
      <c r="AI131" s="51">
        <f>COUNTIF(Novembre24[[#This Row],[1]:[30]],AI$6)</f>
        <v>0</v>
      </c>
      <c r="AJ131" s="51">
        <f>COUNTIF(Novembre24[[#This Row],[1]:[30]],AJ$6)/2</f>
        <v>0</v>
      </c>
      <c r="AK131" s="51">
        <f t="shared" si="50"/>
        <v>0</v>
      </c>
      <c r="AL131" s="51">
        <f>COUNTIF(Novembre24[[#This Row],[1]:[30]],AL$6)</f>
        <v>0</v>
      </c>
      <c r="AM131" s="51">
        <f>COUNTIF(Novembre24[[#This Row],[1]:[30]],AM$6)/2</f>
        <v>0</v>
      </c>
      <c r="AN131" s="51">
        <f t="shared" si="51"/>
        <v>0</v>
      </c>
      <c r="AO131" s="51">
        <f>COUNTIF(Novembre24[[#This Row],[1]:[30]],AO$6)</f>
        <v>0</v>
      </c>
      <c r="AP131" s="51">
        <f>COUNTIF(Novembre24[[#This Row],[1]:[30]],AP$6)</f>
        <v>0</v>
      </c>
      <c r="AQ131" s="51">
        <f>COUNTIF(Novembre24[[#This Row],[1]:[30]],AQ$6)/2</f>
        <v>0</v>
      </c>
      <c r="AR131" s="51">
        <f t="shared" si="52"/>
        <v>0</v>
      </c>
      <c r="AS131" s="51">
        <f>COUNTIF(Novembre24[[#This Row],[1]:[30]],AS$6)</f>
        <v>0</v>
      </c>
      <c r="AT131" s="51">
        <f>COUNTIF(Novembre24[[#This Row],[1]:[30]],AT$6)/2</f>
        <v>0</v>
      </c>
      <c r="AU131" s="51">
        <f t="shared" si="53"/>
        <v>0</v>
      </c>
      <c r="AV131" s="52">
        <f t="shared" si="54"/>
        <v>0</v>
      </c>
      <c r="AW131" s="77">
        <f t="shared" si="55"/>
        <v>2</v>
      </c>
    </row>
    <row r="132" spans="1:49" ht="17.25" thickBot="1" x14ac:dyDescent="0.35">
      <c r="A132" s="48" t="s">
        <v>125</v>
      </c>
      <c r="B132" s="49"/>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c r="AA132" s="50"/>
      <c r="AB132" s="50" t="s">
        <v>71</v>
      </c>
      <c r="AC132" s="50" t="s">
        <v>71</v>
      </c>
      <c r="AD132" s="50"/>
      <c r="AE132" s="50" t="s">
        <v>71</v>
      </c>
      <c r="AF132" s="50"/>
      <c r="AG132" s="18"/>
      <c r="AH132" s="48" t="s">
        <v>125</v>
      </c>
      <c r="AI132" s="51">
        <f>COUNTIF(Novembre24[[#This Row],[1]:[30]],AI$6)</f>
        <v>3</v>
      </c>
      <c r="AJ132" s="51">
        <f>COUNTIF(Novembre24[[#This Row],[1]:[30]],AJ$6)/2</f>
        <v>0</v>
      </c>
      <c r="AK132" s="53">
        <f t="shared" si="50"/>
        <v>3</v>
      </c>
      <c r="AL132" s="53">
        <f>COUNTIF(Novembre24[[#This Row],[1]:[30]],AL$6)</f>
        <v>0</v>
      </c>
      <c r="AM132" s="53">
        <f>COUNTIF(Novembre24[[#This Row],[1]:[30]],AM$6)/2</f>
        <v>0</v>
      </c>
      <c r="AN132" s="53">
        <f t="shared" si="51"/>
        <v>0</v>
      </c>
      <c r="AO132" s="53">
        <f>COUNTIF(Novembre24[[#This Row],[1]:[30]],AO$6)</f>
        <v>0</v>
      </c>
      <c r="AP132" s="53">
        <f>COUNTIF(Novembre24[[#This Row],[1]:[30]],AP$6)</f>
        <v>0</v>
      </c>
      <c r="AQ132" s="53">
        <f>COUNTIF(Novembre24[[#This Row],[1]:[30]],AQ$6)/2</f>
        <v>0</v>
      </c>
      <c r="AR132" s="53">
        <f t="shared" si="52"/>
        <v>0</v>
      </c>
      <c r="AS132" s="53">
        <f>COUNTIF(Novembre24[[#This Row],[1]:[30]],AS$6)</f>
        <v>0</v>
      </c>
      <c r="AT132" s="53">
        <f>COUNTIF(Novembre24[[#This Row],[1]:[30]],AT$6)/2</f>
        <v>0</v>
      </c>
      <c r="AU132" s="53">
        <f t="shared" si="53"/>
        <v>0</v>
      </c>
      <c r="AV132" s="55">
        <f t="shared" si="54"/>
        <v>3</v>
      </c>
      <c r="AW132" s="79">
        <f t="shared" si="55"/>
        <v>0</v>
      </c>
    </row>
    <row r="134" spans="1:49" s="18" customFormat="1" ht="14.25" thickBot="1" x14ac:dyDescent="0.3">
      <c r="A134" s="19" t="s">
        <v>79</v>
      </c>
      <c r="B134" s="20" t="s">
        <v>27</v>
      </c>
      <c r="C134" s="21" t="s">
        <v>76</v>
      </c>
      <c r="E134" s="22" t="s">
        <v>80</v>
      </c>
      <c r="F134" s="23" t="s">
        <v>77</v>
      </c>
      <c r="G134" s="23"/>
      <c r="H134" s="24" t="s">
        <v>70</v>
      </c>
      <c r="I134" s="25" t="s">
        <v>3</v>
      </c>
      <c r="J134" s="23"/>
      <c r="K134" s="26" t="s">
        <v>81</v>
      </c>
      <c r="L134" s="27" t="s">
        <v>78</v>
      </c>
      <c r="M134" s="23"/>
      <c r="N134" s="28" t="s">
        <v>25</v>
      </c>
      <c r="O134" s="25" t="s">
        <v>28</v>
      </c>
      <c r="P134" s="25"/>
      <c r="Q134" s="29" t="s">
        <v>67</v>
      </c>
      <c r="R134" s="30" t="s">
        <v>66</v>
      </c>
      <c r="S134" s="30"/>
      <c r="T134" s="31" t="s">
        <v>84</v>
      </c>
      <c r="U134" s="23" t="s">
        <v>85</v>
      </c>
      <c r="V134" s="23"/>
      <c r="W134" s="23"/>
      <c r="X134" s="32" t="s">
        <v>68</v>
      </c>
      <c r="Y134" s="33" t="s">
        <v>69</v>
      </c>
      <c r="Z134" s="33"/>
      <c r="AA134" s="34" t="s">
        <v>83</v>
      </c>
      <c r="AB134" s="33" t="s">
        <v>86</v>
      </c>
      <c r="AC134" s="33"/>
      <c r="AD134" s="33"/>
      <c r="AE134" s="33"/>
      <c r="AF134" s="33"/>
    </row>
    <row r="135" spans="1:49" s="61" customFormat="1" ht="32.25" customHeight="1" x14ac:dyDescent="0.3">
      <c r="A135" s="126" t="s">
        <v>111</v>
      </c>
      <c r="B135" s="125"/>
      <c r="C135" s="125"/>
      <c r="D135" s="125"/>
      <c r="E135" s="125"/>
      <c r="F135" s="125"/>
      <c r="G135" s="125"/>
      <c r="H135" s="125"/>
      <c r="I135" s="125"/>
      <c r="J135" s="125"/>
      <c r="K135" s="125"/>
      <c r="L135" s="125"/>
      <c r="M135" s="125"/>
      <c r="N135" s="125"/>
      <c r="O135" s="125"/>
      <c r="P135" s="125"/>
      <c r="Q135" s="125"/>
      <c r="R135" s="125"/>
      <c r="S135" s="125"/>
      <c r="T135" s="125"/>
      <c r="U135" s="125"/>
      <c r="V135" s="125"/>
      <c r="W135" s="125"/>
      <c r="X135" s="125"/>
      <c r="Y135" s="125"/>
      <c r="Z135" s="125"/>
      <c r="AA135" s="125"/>
      <c r="AB135" s="125"/>
      <c r="AC135" s="125"/>
      <c r="AD135" s="125"/>
      <c r="AE135" s="125"/>
      <c r="AF135" s="125"/>
      <c r="AH135" s="125"/>
    </row>
    <row r="136" spans="1:49" ht="30" thickBot="1" x14ac:dyDescent="0.35">
      <c r="A136" s="17" t="s">
        <v>20</v>
      </c>
      <c r="B136" s="140" t="s">
        <v>29</v>
      </c>
      <c r="C136" s="140"/>
      <c r="D136" s="140"/>
      <c r="E136" s="140"/>
      <c r="F136" s="140"/>
      <c r="G136" s="140"/>
      <c r="H136" s="140"/>
      <c r="I136" s="140"/>
      <c r="J136" s="140"/>
      <c r="K136" s="140"/>
      <c r="L136" s="140"/>
      <c r="M136" s="140"/>
      <c r="N136" s="140"/>
      <c r="O136" s="140"/>
      <c r="P136" s="140"/>
      <c r="Q136" s="140"/>
      <c r="R136" s="140"/>
      <c r="S136" s="140"/>
      <c r="T136" s="140"/>
      <c r="U136" s="140"/>
      <c r="V136" s="140"/>
      <c r="W136" s="140"/>
      <c r="X136" s="140"/>
      <c r="Y136" s="140"/>
      <c r="Z136" s="140"/>
      <c r="AA136" s="140"/>
      <c r="AB136" s="140"/>
      <c r="AC136" s="140"/>
      <c r="AD136" s="140"/>
      <c r="AE136" s="140"/>
      <c r="AF136" s="140"/>
      <c r="AG136" s="17"/>
      <c r="AH136" s="140" t="s">
        <v>91</v>
      </c>
      <c r="AI136" s="140"/>
      <c r="AJ136" s="140"/>
      <c r="AK136" s="140"/>
      <c r="AL136" s="140"/>
      <c r="AM136" s="140"/>
      <c r="AN136" s="140"/>
      <c r="AO136" s="140"/>
      <c r="AP136" s="140"/>
      <c r="AQ136" s="140"/>
      <c r="AR136" s="140"/>
      <c r="AS136" s="140"/>
      <c r="AT136" s="140"/>
      <c r="AU136" s="140"/>
      <c r="AV136" s="140"/>
      <c r="AW136" s="140"/>
    </row>
    <row r="137" spans="1:49" ht="18" thickTop="1" thickBot="1" x14ac:dyDescent="0.35">
      <c r="A137" s="35">
        <v>12</v>
      </c>
      <c r="B137" s="36" t="str">
        <f t="shared" ref="B137:AG137" si="56">TEXT(WEEKDAY(DATE(AnnéeCalendrier,$A$53,B$54),14),"jjj")</f>
        <v>ven</v>
      </c>
      <c r="C137" s="36" t="str">
        <f t="shared" si="56"/>
        <v>sam</v>
      </c>
      <c r="D137" s="36" t="str">
        <f t="shared" si="56"/>
        <v>dim</v>
      </c>
      <c r="E137" s="36" t="str">
        <f t="shared" si="56"/>
        <v>lun</v>
      </c>
      <c r="F137" s="36" t="str">
        <f t="shared" si="56"/>
        <v>mar</v>
      </c>
      <c r="G137" s="36" t="str">
        <f t="shared" si="56"/>
        <v>mer</v>
      </c>
      <c r="H137" s="36" t="str">
        <f t="shared" si="56"/>
        <v>jeu</v>
      </c>
      <c r="I137" s="36" t="str">
        <f t="shared" si="56"/>
        <v>ven</v>
      </c>
      <c r="J137" s="36" t="str">
        <f t="shared" si="56"/>
        <v>sam</v>
      </c>
      <c r="K137" s="36" t="str">
        <f t="shared" si="56"/>
        <v>dim</v>
      </c>
      <c r="L137" s="36" t="str">
        <f t="shared" si="56"/>
        <v>lun</v>
      </c>
      <c r="M137" s="36" t="str">
        <f t="shared" si="56"/>
        <v>mar</v>
      </c>
      <c r="N137" s="36" t="str">
        <f t="shared" si="56"/>
        <v>mer</v>
      </c>
      <c r="O137" s="36" t="str">
        <f t="shared" si="56"/>
        <v>jeu</v>
      </c>
      <c r="P137" s="36" t="str">
        <f t="shared" si="56"/>
        <v>ven</v>
      </c>
      <c r="Q137" s="36" t="str">
        <f t="shared" si="56"/>
        <v>sam</v>
      </c>
      <c r="R137" s="36" t="str">
        <f t="shared" si="56"/>
        <v>dim</v>
      </c>
      <c r="S137" s="36" t="str">
        <f t="shared" si="56"/>
        <v>lun</v>
      </c>
      <c r="T137" s="36" t="str">
        <f t="shared" si="56"/>
        <v>mar</v>
      </c>
      <c r="U137" s="36" t="str">
        <f t="shared" si="56"/>
        <v>mer</v>
      </c>
      <c r="V137" s="36" t="str">
        <f t="shared" si="56"/>
        <v>jeu</v>
      </c>
      <c r="W137" s="36" t="str">
        <f t="shared" si="56"/>
        <v>ven</v>
      </c>
      <c r="X137" s="36" t="str">
        <f t="shared" si="56"/>
        <v>sam</v>
      </c>
      <c r="Y137" s="36" t="str">
        <f t="shared" si="56"/>
        <v>dim</v>
      </c>
      <c r="Z137" s="36" t="str">
        <f t="shared" si="56"/>
        <v>lun</v>
      </c>
      <c r="AA137" s="36" t="str">
        <f t="shared" si="56"/>
        <v>mar</v>
      </c>
      <c r="AB137" s="36" t="str">
        <f t="shared" si="56"/>
        <v>mer</v>
      </c>
      <c r="AC137" s="36" t="str">
        <f t="shared" si="56"/>
        <v>jeu</v>
      </c>
      <c r="AD137" s="36" t="str">
        <f t="shared" si="56"/>
        <v>ven</v>
      </c>
      <c r="AE137" s="36" t="str">
        <f t="shared" si="56"/>
        <v>sam</v>
      </c>
      <c r="AF137" s="36" t="str">
        <f t="shared" si="56"/>
        <v>dim</v>
      </c>
      <c r="AG137" s="36" t="str">
        <f t="shared" si="56"/>
        <v>jeu</v>
      </c>
      <c r="AH137" s="35">
        <v>12</v>
      </c>
      <c r="AI137" s="18"/>
      <c r="AJ137" s="18"/>
      <c r="AK137" s="18"/>
      <c r="AL137" s="18"/>
      <c r="AM137" s="18"/>
      <c r="AN137" s="18"/>
      <c r="AO137" s="18"/>
      <c r="AP137" s="18"/>
      <c r="AQ137" s="18"/>
      <c r="AR137" s="18"/>
      <c r="AS137" s="18"/>
      <c r="AT137" s="18"/>
      <c r="AU137" s="18"/>
      <c r="AV137" s="18"/>
      <c r="AW137" s="18"/>
    </row>
    <row r="138" spans="1:49" x14ac:dyDescent="0.3">
      <c r="A138" s="59" t="s">
        <v>24</v>
      </c>
      <c r="B138" s="56" t="s">
        <v>30</v>
      </c>
      <c r="C138" s="56" t="s">
        <v>31</v>
      </c>
      <c r="D138" s="56" t="s">
        <v>32</v>
      </c>
      <c r="E138" s="56" t="s">
        <v>33</v>
      </c>
      <c r="F138" s="56" t="s">
        <v>34</v>
      </c>
      <c r="G138" s="56" t="s">
        <v>35</v>
      </c>
      <c r="H138" s="56" t="s">
        <v>36</v>
      </c>
      <c r="I138" s="56" t="s">
        <v>37</v>
      </c>
      <c r="J138" s="56" t="s">
        <v>38</v>
      </c>
      <c r="K138" s="56" t="s">
        <v>39</v>
      </c>
      <c r="L138" s="56" t="s">
        <v>40</v>
      </c>
      <c r="M138" s="56" t="s">
        <v>41</v>
      </c>
      <c r="N138" s="56" t="s">
        <v>42</v>
      </c>
      <c r="O138" s="56" t="s">
        <v>43</v>
      </c>
      <c r="P138" s="56" t="s">
        <v>44</v>
      </c>
      <c r="Q138" s="56" t="s">
        <v>45</v>
      </c>
      <c r="R138" s="56" t="s">
        <v>46</v>
      </c>
      <c r="S138" s="56" t="s">
        <v>47</v>
      </c>
      <c r="T138" s="56" t="s">
        <v>48</v>
      </c>
      <c r="U138" s="56" t="s">
        <v>49</v>
      </c>
      <c r="V138" s="56" t="s">
        <v>50</v>
      </c>
      <c r="W138" s="56" t="s">
        <v>51</v>
      </c>
      <c r="X138" s="56" t="s">
        <v>52</v>
      </c>
      <c r="Y138" s="56" t="s">
        <v>53</v>
      </c>
      <c r="Z138" s="56" t="s">
        <v>54</v>
      </c>
      <c r="AA138" s="56" t="s">
        <v>55</v>
      </c>
      <c r="AB138" s="56" t="s">
        <v>56</v>
      </c>
      <c r="AC138" s="56" t="s">
        <v>57</v>
      </c>
      <c r="AD138" s="60" t="s">
        <v>58</v>
      </c>
      <c r="AE138" s="60" t="s">
        <v>59</v>
      </c>
      <c r="AF138" s="60" t="s">
        <v>60</v>
      </c>
      <c r="AG138" s="18"/>
      <c r="AH138" s="59" t="s">
        <v>24</v>
      </c>
      <c r="AI138" s="40" t="s">
        <v>27</v>
      </c>
      <c r="AJ138" s="41" t="s">
        <v>80</v>
      </c>
      <c r="AK138" s="40" t="s">
        <v>76</v>
      </c>
      <c r="AL138" s="42" t="s">
        <v>70</v>
      </c>
      <c r="AM138" s="43" t="s">
        <v>81</v>
      </c>
      <c r="AN138" s="42" t="s">
        <v>3</v>
      </c>
      <c r="AO138" s="44" t="s">
        <v>25</v>
      </c>
      <c r="AP138" s="45" t="s">
        <v>67</v>
      </c>
      <c r="AQ138" s="31" t="s">
        <v>84</v>
      </c>
      <c r="AR138" s="45" t="s">
        <v>101</v>
      </c>
      <c r="AS138" s="46" t="s">
        <v>68</v>
      </c>
      <c r="AT138" s="34" t="s">
        <v>83</v>
      </c>
      <c r="AU138" s="46" t="s">
        <v>69</v>
      </c>
      <c r="AV138" s="58" t="s">
        <v>1</v>
      </c>
      <c r="AW138" s="76" t="s">
        <v>87</v>
      </c>
    </row>
    <row r="139" spans="1:49" x14ac:dyDescent="0.3">
      <c r="A139" s="48" t="s">
        <v>120</v>
      </c>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49"/>
      <c r="AA139" s="50" t="s">
        <v>74</v>
      </c>
      <c r="AB139" s="50"/>
      <c r="AC139" s="50" t="s">
        <v>74</v>
      </c>
      <c r="AD139" s="50"/>
      <c r="AE139" s="50"/>
      <c r="AF139" s="50"/>
      <c r="AG139" s="18"/>
      <c r="AH139" s="48" t="s">
        <v>120</v>
      </c>
      <c r="AI139" s="51">
        <f>COUNTIF(Décembre25[[#This Row],[1]:[31]],AI$6)</f>
        <v>0</v>
      </c>
      <c r="AJ139" s="51">
        <f>COUNTIF(Décembre25[[#This Row],[1]:[31]],AJ$6)/2</f>
        <v>0</v>
      </c>
      <c r="AK139" s="51">
        <f>SUM(AI139:AJ139)</f>
        <v>0</v>
      </c>
      <c r="AL139" s="51">
        <f>COUNTIF(Décembre25[[#This Row],[1]:[31]],AL$6)</f>
        <v>2</v>
      </c>
      <c r="AM139" s="51">
        <f>COUNTIF(Décembre25[[#This Row],[1]:[31]],AM$6)/2</f>
        <v>0</v>
      </c>
      <c r="AN139" s="51">
        <f>SUM(AL139:AM139)</f>
        <v>2</v>
      </c>
      <c r="AO139" s="51">
        <f>COUNTIF(Décembre25[[#This Row],[1]:[31]],AO$6)</f>
        <v>0</v>
      </c>
      <c r="AP139" s="51">
        <f>COUNTIF(Décembre25[[#This Row],[1]:[31]],AP$6)</f>
        <v>0</v>
      </c>
      <c r="AQ139" s="51">
        <f>COUNTIF(Décembre25[[#This Row],[1]:[31]],AQ$6)/2</f>
        <v>0</v>
      </c>
      <c r="AR139" s="51">
        <f>SUM(AP139:AQ139)</f>
        <v>0</v>
      </c>
      <c r="AS139" s="51">
        <f>COUNTIF(Décembre25[[#This Row],[1]:[31]],AS$6)</f>
        <v>0</v>
      </c>
      <c r="AT139" s="51">
        <f>COUNTIF(Décembre25[[#This Row],[1]:[31]],AT$6)/2</f>
        <v>0</v>
      </c>
      <c r="AU139" s="51">
        <f>SUM(AS139:AT139)</f>
        <v>0</v>
      </c>
      <c r="AV139" s="52">
        <f>AK139+AN139+AO139+AR139+AU139</f>
        <v>2</v>
      </c>
      <c r="AW139" s="77">
        <f>COUNTA(V127,AF127,W127,X127,Y127,Z127,AA127,AB127,AC127,AD127,AE127,B139:U139)</f>
        <v>1</v>
      </c>
    </row>
    <row r="140" spans="1:49" x14ac:dyDescent="0.3">
      <c r="A140" s="48" t="s">
        <v>121</v>
      </c>
      <c r="B140" s="50"/>
      <c r="C140" s="50"/>
      <c r="D140" s="50"/>
      <c r="E140" s="50"/>
      <c r="F140" s="50"/>
      <c r="G140" s="50"/>
      <c r="H140" s="50"/>
      <c r="I140" s="50"/>
      <c r="J140" s="50"/>
      <c r="K140" s="50"/>
      <c r="L140" s="50"/>
      <c r="M140" s="50"/>
      <c r="N140" s="50"/>
      <c r="O140" s="50"/>
      <c r="P140" s="50"/>
      <c r="Q140" s="50"/>
      <c r="R140" s="50"/>
      <c r="S140" s="50"/>
      <c r="T140" s="50"/>
      <c r="U140" s="50"/>
      <c r="V140" s="50"/>
      <c r="W140" s="50" t="s">
        <v>88</v>
      </c>
      <c r="X140" s="50"/>
      <c r="Y140" s="50"/>
      <c r="Z140" s="49"/>
      <c r="AA140" s="50" t="s">
        <v>74</v>
      </c>
      <c r="AB140" s="50" t="s">
        <v>74</v>
      </c>
      <c r="AC140" s="50" t="s">
        <v>71</v>
      </c>
      <c r="AD140" s="50" t="s">
        <v>71</v>
      </c>
      <c r="AE140" s="50"/>
      <c r="AF140" s="50"/>
      <c r="AG140" s="18"/>
      <c r="AH140" s="48" t="s">
        <v>121</v>
      </c>
      <c r="AI140" s="51">
        <f>COUNTIF(Décembre25[[#This Row],[1]:[31]],AI$6)</f>
        <v>2</v>
      </c>
      <c r="AJ140" s="51">
        <f>COUNTIF(Décembre25[[#This Row],[1]:[31]],AJ$6)/2</f>
        <v>0</v>
      </c>
      <c r="AK140" s="53">
        <f t="shared" ref="AK140:AK144" si="57">SUM(AI140:AJ140)</f>
        <v>2</v>
      </c>
      <c r="AL140" s="53">
        <f>COUNTIF(Décembre25[[#This Row],[1]:[31]],AL$6)</f>
        <v>2</v>
      </c>
      <c r="AM140" s="53">
        <f>COUNTIF(Décembre25[[#This Row],[1]:[31]],AM$6)/2</f>
        <v>0.5</v>
      </c>
      <c r="AN140" s="53">
        <f t="shared" ref="AN140:AN144" si="58">SUM(AL140:AM140)</f>
        <v>2.5</v>
      </c>
      <c r="AO140" s="53">
        <f>COUNTIF(Décembre25[[#This Row],[1]:[31]],AO$6)</f>
        <v>0</v>
      </c>
      <c r="AP140" s="53">
        <f>COUNTIF(Décembre25[[#This Row],[1]:[31]],AP$6)</f>
        <v>0</v>
      </c>
      <c r="AQ140" s="53">
        <f>COUNTIF(Décembre25[[#This Row],[1]:[31]],AQ$6)/2</f>
        <v>0</v>
      </c>
      <c r="AR140" s="53">
        <f t="shared" ref="AR140:AR144" si="59">SUM(AP140:AQ140)</f>
        <v>0</v>
      </c>
      <c r="AS140" s="53">
        <f>COUNTIF(Décembre25[[#This Row],[1]:[31]],AS$6)</f>
        <v>0</v>
      </c>
      <c r="AT140" s="53">
        <f>COUNTIF(Décembre25[[#This Row],[1]:[31]],AT$6)/2</f>
        <v>0</v>
      </c>
      <c r="AU140" s="53">
        <f t="shared" ref="AU140:AU144" si="60">SUM(AS140:AT140)</f>
        <v>0</v>
      </c>
      <c r="AV140" s="54">
        <f t="shared" ref="AV140:AV145" si="61">AK140+AN140+AO140+AR140+AU140</f>
        <v>4.5</v>
      </c>
      <c r="AW140" s="78">
        <f t="shared" ref="AW140:AW143" si="62">COUNTA(V128,AF128,W128,X128,Y128,Z128,AA128,AB128,AC128,AD128,AE128,B140:U140)</f>
        <v>0</v>
      </c>
    </row>
    <row r="141" spans="1:49" x14ac:dyDescent="0.3">
      <c r="A141" s="48" t="s">
        <v>122</v>
      </c>
      <c r="B141" s="50"/>
      <c r="C141" s="50"/>
      <c r="D141" s="50"/>
      <c r="E141" s="50" t="s">
        <v>82</v>
      </c>
      <c r="F141" s="50"/>
      <c r="G141" s="50"/>
      <c r="H141" s="50"/>
      <c r="I141" s="50"/>
      <c r="J141" s="50"/>
      <c r="K141" s="50"/>
      <c r="L141" s="50"/>
      <c r="M141" s="50"/>
      <c r="N141" s="50"/>
      <c r="O141" s="50"/>
      <c r="P141" s="50"/>
      <c r="Q141" s="50"/>
      <c r="R141" s="50"/>
      <c r="S141" s="50"/>
      <c r="T141" s="50"/>
      <c r="U141" s="50"/>
      <c r="V141" s="50"/>
      <c r="W141" s="50"/>
      <c r="X141" s="50"/>
      <c r="Y141" s="50"/>
      <c r="Z141" s="49"/>
      <c r="AA141" s="50"/>
      <c r="AB141" s="50"/>
      <c r="AC141" s="50" t="s">
        <v>74</v>
      </c>
      <c r="AD141" s="50" t="s">
        <v>74</v>
      </c>
      <c r="AE141" s="50"/>
      <c r="AF141" s="50"/>
      <c r="AG141" s="18"/>
      <c r="AH141" s="48" t="s">
        <v>122</v>
      </c>
      <c r="AI141" s="51">
        <f>COUNTIF(Décembre25[[#This Row],[1]:[31]],AI$6)</f>
        <v>0</v>
      </c>
      <c r="AJ141" s="51">
        <f>COUNTIF(Décembre25[[#This Row],[1]:[31]],AJ$6)/2</f>
        <v>0</v>
      </c>
      <c r="AK141" s="51">
        <f t="shared" si="57"/>
        <v>0</v>
      </c>
      <c r="AL141" s="51">
        <f>COUNTIF(Décembre25[[#This Row],[1]:[31]],AL$6)</f>
        <v>2</v>
      </c>
      <c r="AM141" s="51">
        <f>COUNTIF(Décembre25[[#This Row],[1]:[31]],AM$6)/2</f>
        <v>0</v>
      </c>
      <c r="AN141" s="51">
        <f t="shared" si="58"/>
        <v>2</v>
      </c>
      <c r="AO141" s="51">
        <f>COUNTIF(Décembre25[[#This Row],[1]:[31]],AO$6)</f>
        <v>0</v>
      </c>
      <c r="AP141" s="51">
        <f>COUNTIF(Décembre25[[#This Row],[1]:[31]],AP$6)</f>
        <v>1</v>
      </c>
      <c r="AQ141" s="51">
        <f>COUNTIF(Décembre25[[#This Row],[1]:[31]],AQ$6)/2</f>
        <v>0</v>
      </c>
      <c r="AR141" s="51">
        <f t="shared" si="59"/>
        <v>1</v>
      </c>
      <c r="AS141" s="51">
        <f>COUNTIF(Décembre25[[#This Row],[1]:[31]],AS$6)</f>
        <v>0</v>
      </c>
      <c r="AT141" s="51">
        <f>COUNTIF(Décembre25[[#This Row],[1]:[31]],AT$6)/2</f>
        <v>0</v>
      </c>
      <c r="AU141" s="51">
        <f t="shared" si="60"/>
        <v>0</v>
      </c>
      <c r="AV141" s="52">
        <f t="shared" si="61"/>
        <v>3</v>
      </c>
      <c r="AW141" s="77">
        <f t="shared" si="62"/>
        <v>1</v>
      </c>
    </row>
    <row r="142" spans="1:49" x14ac:dyDescent="0.3">
      <c r="A142" s="48" t="s">
        <v>123</v>
      </c>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49"/>
      <c r="AA142" s="50"/>
      <c r="AB142" s="50"/>
      <c r="AC142" s="50"/>
      <c r="AD142" s="50"/>
      <c r="AE142" s="50"/>
      <c r="AF142" s="50"/>
      <c r="AG142" s="18"/>
      <c r="AH142" s="48" t="s">
        <v>123</v>
      </c>
      <c r="AI142" s="51">
        <f>COUNTIF(Décembre25[[#This Row],[1]:[31]],AI$6)</f>
        <v>0</v>
      </c>
      <c r="AJ142" s="51">
        <f>COUNTIF(Décembre25[[#This Row],[1]:[31]],AJ$6)/2</f>
        <v>0</v>
      </c>
      <c r="AK142" s="53">
        <f t="shared" si="57"/>
        <v>0</v>
      </c>
      <c r="AL142" s="53">
        <f>COUNTIF(Décembre25[[#This Row],[1]:[31]],AL$6)</f>
        <v>0</v>
      </c>
      <c r="AM142" s="53">
        <f>COUNTIF(Décembre25[[#This Row],[1]:[31]],AM$6)/2</f>
        <v>0</v>
      </c>
      <c r="AN142" s="53">
        <f t="shared" si="58"/>
        <v>0</v>
      </c>
      <c r="AO142" s="53">
        <f>COUNTIF(Décembre25[[#This Row],[1]:[31]],AO$6)</f>
        <v>0</v>
      </c>
      <c r="AP142" s="53">
        <f>COUNTIF(Décembre25[[#This Row],[1]:[31]],AP$6)</f>
        <v>0</v>
      </c>
      <c r="AQ142" s="53">
        <f>COUNTIF(Décembre25[[#This Row],[1]:[31]],AQ$6)/2</f>
        <v>0</v>
      </c>
      <c r="AR142" s="53">
        <f t="shared" si="59"/>
        <v>0</v>
      </c>
      <c r="AS142" s="53">
        <f>COUNTIF(Décembre25[[#This Row],[1]:[31]],AS$6)</f>
        <v>0</v>
      </c>
      <c r="AT142" s="53">
        <f>COUNTIF(Décembre25[[#This Row],[1]:[31]],AT$6)/2</f>
        <v>0</v>
      </c>
      <c r="AU142" s="53">
        <f t="shared" si="60"/>
        <v>0</v>
      </c>
      <c r="AV142" s="54">
        <f t="shared" si="61"/>
        <v>0</v>
      </c>
      <c r="AW142" s="78">
        <f t="shared" si="62"/>
        <v>0</v>
      </c>
    </row>
    <row r="143" spans="1:49" x14ac:dyDescent="0.3">
      <c r="A143" s="48" t="s">
        <v>124</v>
      </c>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49"/>
      <c r="AA143" s="50" t="s">
        <v>74</v>
      </c>
      <c r="AB143" s="50"/>
      <c r="AC143" s="50"/>
      <c r="AD143" s="50"/>
      <c r="AE143" s="50"/>
      <c r="AF143" s="50"/>
      <c r="AG143" s="18"/>
      <c r="AH143" s="48" t="s">
        <v>124</v>
      </c>
      <c r="AI143" s="51">
        <f>COUNTIF(Décembre25[[#This Row],[1]:[31]],AI$6)</f>
        <v>0</v>
      </c>
      <c r="AJ143" s="51">
        <f>COUNTIF(Décembre25[[#This Row],[1]:[31]],AJ$6)/2</f>
        <v>0</v>
      </c>
      <c r="AK143" s="51">
        <f t="shared" si="57"/>
        <v>0</v>
      </c>
      <c r="AL143" s="51">
        <f>COUNTIF(Décembre25[[#This Row],[1]:[31]],AL$6)</f>
        <v>1</v>
      </c>
      <c r="AM143" s="51">
        <f>COUNTIF(Décembre25[[#This Row],[1]:[31]],AM$6)/2</f>
        <v>0</v>
      </c>
      <c r="AN143" s="51">
        <f t="shared" si="58"/>
        <v>1</v>
      </c>
      <c r="AO143" s="51">
        <f>COUNTIF(Décembre25[[#This Row],[1]:[31]],AO$6)</f>
        <v>0</v>
      </c>
      <c r="AP143" s="51">
        <f>COUNTIF(Décembre25[[#This Row],[1]:[31]],AP$6)</f>
        <v>0</v>
      </c>
      <c r="AQ143" s="51">
        <f>COUNTIF(Décembre25[[#This Row],[1]:[31]],AQ$6)/2</f>
        <v>0</v>
      </c>
      <c r="AR143" s="51">
        <f t="shared" si="59"/>
        <v>0</v>
      </c>
      <c r="AS143" s="51">
        <f>COUNTIF(Décembre25[[#This Row],[1]:[31]],AS$6)</f>
        <v>0</v>
      </c>
      <c r="AT143" s="51">
        <f>COUNTIF(Décembre25[[#This Row],[1]:[31]],AT$6)/2</f>
        <v>0</v>
      </c>
      <c r="AU143" s="51">
        <f t="shared" si="60"/>
        <v>0</v>
      </c>
      <c r="AV143" s="52">
        <f t="shared" si="61"/>
        <v>1</v>
      </c>
      <c r="AW143" s="77">
        <f t="shared" si="62"/>
        <v>0</v>
      </c>
    </row>
    <row r="144" spans="1:49" x14ac:dyDescent="0.3">
      <c r="A144" s="48" t="s">
        <v>125</v>
      </c>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49"/>
      <c r="AA144" s="50"/>
      <c r="AB144" s="50"/>
      <c r="AC144" s="50"/>
      <c r="AD144" s="50"/>
      <c r="AE144" s="50"/>
      <c r="AF144" s="50"/>
      <c r="AG144" s="18"/>
      <c r="AH144" s="48" t="s">
        <v>125</v>
      </c>
      <c r="AI144" s="51">
        <f>COUNTIF(Décembre25[[#This Row],[1]:[31]],AI$6)</f>
        <v>0</v>
      </c>
      <c r="AJ144" s="51">
        <f>COUNTIF(Décembre25[[#This Row],[1]:[31]],AJ$6)/2</f>
        <v>0</v>
      </c>
      <c r="AK144" s="53">
        <f t="shared" si="57"/>
        <v>0</v>
      </c>
      <c r="AL144" s="53">
        <f>COUNTIF(Décembre25[[#This Row],[1]:[31]],AL$6)</f>
        <v>0</v>
      </c>
      <c r="AM144" s="53">
        <f>COUNTIF(Décembre25[[#This Row],[1]:[31]],AM$6)/2</f>
        <v>0</v>
      </c>
      <c r="AN144" s="53">
        <f t="shared" si="58"/>
        <v>0</v>
      </c>
      <c r="AO144" s="53">
        <f>COUNTIF(Décembre25[[#This Row],[1]:[31]],AO$6)</f>
        <v>0</v>
      </c>
      <c r="AP144" s="53">
        <f>COUNTIF(Décembre25[[#This Row],[1]:[31]],AP$6)</f>
        <v>0</v>
      </c>
      <c r="AQ144" s="53">
        <f>COUNTIF(Décembre25[[#This Row],[1]:[31]],AQ$6)/2</f>
        <v>0</v>
      </c>
      <c r="AR144" s="53">
        <f t="shared" si="59"/>
        <v>0</v>
      </c>
      <c r="AS144" s="53">
        <f>COUNTIF(Décembre25[[#This Row],[1]:[31]],AS$6)</f>
        <v>0</v>
      </c>
      <c r="AT144" s="53">
        <f>COUNTIF(Décembre25[[#This Row],[1]:[31]],AT$6)/2</f>
        <v>0</v>
      </c>
      <c r="AU144" s="53">
        <f t="shared" si="60"/>
        <v>0</v>
      </c>
      <c r="AV144" s="54">
        <f t="shared" si="61"/>
        <v>0</v>
      </c>
      <c r="AW144" s="78">
        <f t="shared" ref="AW144" si="63">COUNTA(V132,AF132,W132,X132,Y132,Z132,AA132,AB132,AC132,AD132,AE132,B144:U144)</f>
        <v>3</v>
      </c>
    </row>
    <row r="145" spans="1:49" ht="17.25" thickBot="1" x14ac:dyDescent="0.35">
      <c r="A145" s="48"/>
      <c r="B145" s="50"/>
      <c r="C145" s="50"/>
      <c r="D145" s="50"/>
      <c r="E145" s="50"/>
      <c r="F145" s="50"/>
      <c r="G145" s="50"/>
      <c r="H145" s="50"/>
      <c r="I145" s="50"/>
      <c r="J145" s="50"/>
      <c r="K145" s="50"/>
      <c r="L145" s="50"/>
      <c r="M145" s="50"/>
      <c r="N145" s="50"/>
      <c r="O145" s="50"/>
      <c r="P145" s="50"/>
      <c r="Q145" s="50"/>
      <c r="R145" s="50"/>
      <c r="S145" s="50"/>
      <c r="T145" s="50"/>
      <c r="U145" s="50"/>
      <c r="V145" s="50"/>
      <c r="W145" s="50"/>
      <c r="X145" s="50"/>
      <c r="Y145" s="50"/>
      <c r="Z145" s="49"/>
      <c r="AA145" s="50"/>
      <c r="AB145" s="50"/>
      <c r="AC145" s="50"/>
      <c r="AD145" s="50"/>
      <c r="AE145" s="50"/>
      <c r="AF145" s="50"/>
      <c r="AG145" s="18"/>
      <c r="AH145" s="48"/>
      <c r="AI145" s="51">
        <f>COUNTIF(Décembre25[[#This Row],[1]:[31]],AI$6)</f>
        <v>0</v>
      </c>
      <c r="AJ145" s="51">
        <f>COUNTIF(Décembre25[[#This Row],[1]:[31]],AJ$6)/2</f>
        <v>0</v>
      </c>
      <c r="AK145" s="51">
        <f>SUM(AI145:AJ145)</f>
        <v>0</v>
      </c>
      <c r="AL145" s="51">
        <f>COUNTIF(Décembre25[[#This Row],[1]:[31]],AL$6)</f>
        <v>0</v>
      </c>
      <c r="AM145" s="51">
        <f>COUNTIF(Décembre25[[#This Row],[1]:[31]],AM$6)/2</f>
        <v>0</v>
      </c>
      <c r="AN145" s="51">
        <f>SUM(AL145:AM145)</f>
        <v>0</v>
      </c>
      <c r="AO145" s="51">
        <f>COUNTIF(Décembre25[[#This Row],[1]:[31]],AO$6)</f>
        <v>0</v>
      </c>
      <c r="AP145" s="51">
        <f>COUNTIF(Décembre25[[#This Row],[1]:[31]],AP$6)</f>
        <v>0</v>
      </c>
      <c r="AQ145" s="51">
        <f>COUNTIF(Décembre25[[#This Row],[1]:[31]],AQ$6)/2</f>
        <v>0</v>
      </c>
      <c r="AR145" s="51">
        <f>SUM(AP145:AQ145)</f>
        <v>0</v>
      </c>
      <c r="AS145" s="51">
        <f>COUNTIF(Décembre25[[#This Row],[1]:[31]],AS$6)</f>
        <v>0</v>
      </c>
      <c r="AT145" s="51">
        <f>COUNTIF(Décembre25[[#This Row],[1]:[31]],AT$6)/2</f>
        <v>0</v>
      </c>
      <c r="AU145" s="51"/>
      <c r="AV145" s="72">
        <f t="shared" si="61"/>
        <v>0</v>
      </c>
      <c r="AW145" s="80">
        <f>COUNTA(V132,AF132,W132,X132,Y132,Z132,AA132,AB132,AC132,AD132,AE132,B145:U145)</f>
        <v>3</v>
      </c>
    </row>
  </sheetData>
  <mergeCells count="20">
    <mergeCell ref="B28:AF28"/>
    <mergeCell ref="B40:AF40"/>
    <mergeCell ref="B52:AF52"/>
    <mergeCell ref="B64:AF64"/>
    <mergeCell ref="A1:AW1"/>
    <mergeCell ref="AH64:AW64"/>
    <mergeCell ref="AH136:AW136"/>
    <mergeCell ref="AH124:AW124"/>
    <mergeCell ref="AH112:AW112"/>
    <mergeCell ref="AH88:AW88"/>
    <mergeCell ref="AH76:AW76"/>
    <mergeCell ref="AH100:AW100"/>
    <mergeCell ref="B136:AF136"/>
    <mergeCell ref="B4:AF4"/>
    <mergeCell ref="B16:AF16"/>
    <mergeCell ref="B76:AF76"/>
    <mergeCell ref="B88:AF88"/>
    <mergeCell ref="B100:AF100"/>
    <mergeCell ref="B112:AF112"/>
    <mergeCell ref="B124:AF124"/>
  </mergeCells>
  <conditionalFormatting sqref="B7:AE12 B96:Y96 B119:AF120 B118:L118 N118:AF118 B95:AF95 B117:AF117">
    <cfRule type="expression" dxfId="1292" priority="529">
      <formula>B7=$B$2</formula>
    </cfRule>
  </conditionalFormatting>
  <conditionalFormatting sqref="B7:AE12 B96:Y96 B119:AF120 B118:L118 N118:AF118 B95:AF95 B117:AF117">
    <cfRule type="expression" dxfId="1291" priority="528">
      <formula>B7=$E$2</formula>
    </cfRule>
  </conditionalFormatting>
  <conditionalFormatting sqref="B19:AF24">
    <cfRule type="expression" dxfId="1290" priority="527">
      <formula>B19=$B$2</formula>
    </cfRule>
  </conditionalFormatting>
  <conditionalFormatting sqref="B19:AF24">
    <cfRule type="expression" dxfId="1289" priority="526">
      <formula>B19=$E$2</formula>
    </cfRule>
  </conditionalFormatting>
  <conditionalFormatting sqref="B31:AF36">
    <cfRule type="expression" dxfId="1288" priority="525">
      <formula>B31=$B$2</formula>
    </cfRule>
  </conditionalFormatting>
  <conditionalFormatting sqref="B31:AF36">
    <cfRule type="expression" dxfId="1287" priority="524">
      <formula>B31=$E$2</formula>
    </cfRule>
  </conditionalFormatting>
  <conditionalFormatting sqref="B43:AF48">
    <cfRule type="expression" dxfId="1286" priority="523">
      <formula>B43=$B$2</formula>
    </cfRule>
  </conditionalFormatting>
  <conditionalFormatting sqref="B43:AF48">
    <cfRule type="expression" dxfId="1285" priority="522">
      <formula>B43=$E$2</formula>
    </cfRule>
  </conditionalFormatting>
  <conditionalFormatting sqref="B55:AF60">
    <cfRule type="expression" dxfId="1284" priority="521">
      <formula>B55=$B$2</formula>
    </cfRule>
  </conditionalFormatting>
  <conditionalFormatting sqref="B55:AF60">
    <cfRule type="expression" dxfId="1283" priority="520">
      <formula>B55=$E$2</formula>
    </cfRule>
  </conditionalFormatting>
  <conditionalFormatting sqref="B67:AF72">
    <cfRule type="expression" dxfId="1282" priority="519">
      <formula>B67=$B$2</formula>
    </cfRule>
  </conditionalFormatting>
  <conditionalFormatting sqref="B67:AF72">
    <cfRule type="expression" dxfId="1281" priority="518">
      <formula>B67=$E$2</formula>
    </cfRule>
  </conditionalFormatting>
  <conditionalFormatting sqref="B79:AF84">
    <cfRule type="expression" dxfId="1280" priority="517">
      <formula>B79=$B$2</formula>
    </cfRule>
  </conditionalFormatting>
  <conditionalFormatting sqref="B79:AF84">
    <cfRule type="expression" dxfId="1279" priority="516">
      <formula>B79=$E$2</formula>
    </cfRule>
  </conditionalFormatting>
  <conditionalFormatting sqref="B91:AF94">
    <cfRule type="expression" dxfId="1278" priority="515">
      <formula>B91=$B$2</formula>
    </cfRule>
  </conditionalFormatting>
  <conditionalFormatting sqref="B91:AF94">
    <cfRule type="expression" dxfId="1277" priority="514">
      <formula>B91=$E$2</formula>
    </cfRule>
  </conditionalFormatting>
  <conditionalFormatting sqref="B103:AF108">
    <cfRule type="expression" dxfId="1276" priority="513">
      <formula>B103=$B$2</formula>
    </cfRule>
  </conditionalFormatting>
  <conditionalFormatting sqref="B103:AF108">
    <cfRule type="expression" dxfId="1275" priority="512">
      <formula>B103=$E$2</formula>
    </cfRule>
  </conditionalFormatting>
  <conditionalFormatting sqref="B115:AF116">
    <cfRule type="expression" dxfId="1274" priority="511">
      <formula>B115=$B$2</formula>
    </cfRule>
  </conditionalFormatting>
  <conditionalFormatting sqref="B115:AF116">
    <cfRule type="expression" dxfId="1273" priority="510">
      <formula>B115=$E$2</formula>
    </cfRule>
  </conditionalFormatting>
  <conditionalFormatting sqref="B127:AF132">
    <cfRule type="expression" dxfId="1272" priority="509">
      <formula>B127=$B$2</formula>
    </cfRule>
  </conditionalFormatting>
  <conditionalFormatting sqref="B127:AF132">
    <cfRule type="expression" dxfId="1271" priority="508">
      <formula>B127=$E$2</formula>
    </cfRule>
  </conditionalFormatting>
  <conditionalFormatting sqref="B139:AF145">
    <cfRule type="expression" dxfId="1270" priority="507">
      <formula>B139=$B$2</formula>
    </cfRule>
  </conditionalFormatting>
  <conditionalFormatting sqref="B139:AF145">
    <cfRule type="expression" dxfId="1269" priority="506">
      <formula>B139=$E$2</formula>
    </cfRule>
  </conditionalFormatting>
  <conditionalFormatting sqref="AF7:AF12">
    <cfRule type="expression" dxfId="1268" priority="505">
      <formula>AF7=$B$2</formula>
    </cfRule>
  </conditionalFormatting>
  <conditionalFormatting sqref="AF7:AF12">
    <cfRule type="expression" dxfId="1267" priority="504">
      <formula>AF7=$E$2</formula>
    </cfRule>
  </conditionalFormatting>
  <conditionalFormatting sqref="AI19:AU24">
    <cfRule type="expression" dxfId="1266" priority="501">
      <formula>AI19=$B$2</formula>
    </cfRule>
  </conditionalFormatting>
  <conditionalFormatting sqref="AI19:AU24">
    <cfRule type="expression" dxfId="1265" priority="500">
      <formula>AI19=$E$2</formula>
    </cfRule>
  </conditionalFormatting>
  <conditionalFormatting sqref="AI7:AV12">
    <cfRule type="expression" dxfId="1264" priority="503">
      <formula>AI7=$B$2</formula>
    </cfRule>
  </conditionalFormatting>
  <conditionalFormatting sqref="AI7:AV12">
    <cfRule type="expression" dxfId="1263" priority="502">
      <formula>AI7=$E$2</formula>
    </cfRule>
  </conditionalFormatting>
  <conditionalFormatting sqref="AI31:AU36">
    <cfRule type="expression" dxfId="1262" priority="499">
      <formula>AI31=$B$2</formula>
    </cfRule>
  </conditionalFormatting>
  <conditionalFormatting sqref="AI31:AU36">
    <cfRule type="expression" dxfId="1261" priority="498">
      <formula>AI31=$E$2</formula>
    </cfRule>
  </conditionalFormatting>
  <conditionalFormatting sqref="AI43:AV48">
    <cfRule type="expression" dxfId="1260" priority="497">
      <formula>AI43=$B$2</formula>
    </cfRule>
  </conditionalFormatting>
  <conditionalFormatting sqref="AI43:AV48">
    <cfRule type="expression" dxfId="1259" priority="496">
      <formula>AI43=$E$2</formula>
    </cfRule>
  </conditionalFormatting>
  <conditionalFormatting sqref="AI55:AV60">
    <cfRule type="expression" dxfId="1258" priority="495">
      <formula>AI55=$B$2</formula>
    </cfRule>
  </conditionalFormatting>
  <conditionalFormatting sqref="AI55:AV60">
    <cfRule type="expression" dxfId="1257" priority="494">
      <formula>AI55=$E$2</formula>
    </cfRule>
  </conditionalFormatting>
  <conditionalFormatting sqref="AI79:AJ84">
    <cfRule type="expression" dxfId="1256" priority="491">
      <formula>AI79=$B$2</formula>
    </cfRule>
  </conditionalFormatting>
  <conditionalFormatting sqref="AI79:AJ84">
    <cfRule type="expression" dxfId="1255" priority="490">
      <formula>AI79=$E$2</formula>
    </cfRule>
  </conditionalFormatting>
  <conditionalFormatting sqref="AI91:AJ96">
    <cfRule type="expression" dxfId="1254" priority="489">
      <formula>AI91=$B$2</formula>
    </cfRule>
  </conditionalFormatting>
  <conditionalFormatting sqref="AI91:AJ96">
    <cfRule type="expression" dxfId="1253" priority="488">
      <formula>AI91=$E$2</formula>
    </cfRule>
  </conditionalFormatting>
  <conditionalFormatting sqref="AI103:AJ108">
    <cfRule type="expression" dxfId="1252" priority="487">
      <formula>AI103=$B$2</formula>
    </cfRule>
  </conditionalFormatting>
  <conditionalFormatting sqref="AI103:AJ108">
    <cfRule type="expression" dxfId="1251" priority="486">
      <formula>AI103=$E$2</formula>
    </cfRule>
  </conditionalFormatting>
  <conditionalFormatting sqref="AI115:AJ120">
    <cfRule type="expression" dxfId="1250" priority="485">
      <formula>AI115=$B$2</formula>
    </cfRule>
  </conditionalFormatting>
  <conditionalFormatting sqref="AI115:AJ120">
    <cfRule type="expression" dxfId="1249" priority="484">
      <formula>AI115=$E$2</formula>
    </cfRule>
  </conditionalFormatting>
  <conditionalFormatting sqref="AI127:AJ132">
    <cfRule type="expression" dxfId="1248" priority="483">
      <formula>AI127=$B$2</formula>
    </cfRule>
  </conditionalFormatting>
  <conditionalFormatting sqref="AI127:AJ132">
    <cfRule type="expression" dxfId="1247" priority="482">
      <formula>AI127=$E$2</formula>
    </cfRule>
  </conditionalFormatting>
  <conditionalFormatting sqref="AI139:AJ145">
    <cfRule type="expression" dxfId="1246" priority="481">
      <formula>AI139=$B$2</formula>
    </cfRule>
  </conditionalFormatting>
  <conditionalFormatting sqref="AI139:AJ145">
    <cfRule type="expression" dxfId="1245" priority="480">
      <formula>AI139=$E$2</formula>
    </cfRule>
  </conditionalFormatting>
  <conditionalFormatting sqref="AW7:AW12">
    <cfRule type="expression" dxfId="1244" priority="479">
      <formula>AW7=$B$2</formula>
    </cfRule>
  </conditionalFormatting>
  <conditionalFormatting sqref="AW7:AW12">
    <cfRule type="expression" dxfId="1243" priority="478">
      <formula>AW7=$E$2</formula>
    </cfRule>
  </conditionalFormatting>
  <conditionalFormatting sqref="AV19:AV24">
    <cfRule type="expression" dxfId="1242" priority="477">
      <formula>AV19=$B$2</formula>
    </cfRule>
  </conditionalFormatting>
  <conditionalFormatting sqref="AV19:AV24">
    <cfRule type="expression" dxfId="1241" priority="476">
      <formula>AV19=$E$2</formula>
    </cfRule>
  </conditionalFormatting>
  <conditionalFormatting sqref="AW19:AW24">
    <cfRule type="expression" dxfId="1240" priority="475">
      <formula>AW19=$B$2</formula>
    </cfRule>
  </conditionalFormatting>
  <conditionalFormatting sqref="AW19:AW24">
    <cfRule type="expression" dxfId="1239" priority="474">
      <formula>AW19=$E$2</formula>
    </cfRule>
  </conditionalFormatting>
  <conditionalFormatting sqref="AV31:AV36">
    <cfRule type="expression" dxfId="1238" priority="473">
      <formula>AV31=$B$2</formula>
    </cfRule>
  </conditionalFormatting>
  <conditionalFormatting sqref="AV31:AV36">
    <cfRule type="expression" dxfId="1237" priority="472">
      <formula>AV31=$E$2</formula>
    </cfRule>
  </conditionalFormatting>
  <conditionalFormatting sqref="AW31:AW36">
    <cfRule type="expression" dxfId="1236" priority="471">
      <formula>AW31=$B$2</formula>
    </cfRule>
  </conditionalFormatting>
  <conditionalFormatting sqref="AW31:AW36">
    <cfRule type="expression" dxfId="1235" priority="470">
      <formula>AW31=$E$2</formula>
    </cfRule>
  </conditionalFormatting>
  <conditionalFormatting sqref="AW43:AW48">
    <cfRule type="expression" dxfId="1234" priority="469">
      <formula>AW43=$B$2</formula>
    </cfRule>
  </conditionalFormatting>
  <conditionalFormatting sqref="AW43:AW48">
    <cfRule type="expression" dxfId="1233" priority="468">
      <formula>AW43=$E$2</formula>
    </cfRule>
  </conditionalFormatting>
  <conditionalFormatting sqref="AW55:AW60">
    <cfRule type="expression" dxfId="1232" priority="467">
      <formula>AW55=$B$2</formula>
    </cfRule>
  </conditionalFormatting>
  <conditionalFormatting sqref="AW55:AW60">
    <cfRule type="expression" dxfId="1231" priority="466">
      <formula>AW55=$E$2</formula>
    </cfRule>
  </conditionalFormatting>
  <conditionalFormatting sqref="B7:AF12 AI7:AW12 AI19:AW24 AI31:AW36 AI43:AW48 AI55:AW60 AI79:AJ84 AI91:AJ96 AI103:AJ108 AI115:AJ120 AI127:AJ132 AI139:AJ145">
    <cfRule type="expression" dxfId="1230" priority="530">
      <formula>B7=$Y$2</formula>
    </cfRule>
    <cfRule type="expression" dxfId="1229" priority="531">
      <formula>B7=$Q$2</formula>
    </cfRule>
    <cfRule type="expression" dxfId="1228" priority="532">
      <formula>B7=$N$2</formula>
    </cfRule>
    <cfRule type="expression" dxfId="1227" priority="533">
      <formula>B7=$K$2</formula>
    </cfRule>
    <cfRule type="expression" dxfId="1226" priority="534">
      <formula>B7=$H$2</formula>
    </cfRule>
    <cfRule type="expression" dxfId="1225" priority="535" stopIfTrue="1">
      <formula>B$5="sam"</formula>
    </cfRule>
    <cfRule type="expression" dxfId="1224" priority="536" stopIfTrue="1">
      <formula>B$5="dim"</formula>
    </cfRule>
  </conditionalFormatting>
  <conditionalFormatting sqref="B19:AF24">
    <cfRule type="expression" dxfId="1223" priority="537">
      <formula>B19=$Y$2</formula>
    </cfRule>
    <cfRule type="expression" dxfId="1222" priority="538">
      <formula>B19=$Q$2</formula>
    </cfRule>
    <cfRule type="expression" dxfId="1221" priority="539">
      <formula>B19=$N$2</formula>
    </cfRule>
    <cfRule type="expression" dxfId="1220" priority="540">
      <formula>B19=$K$2</formula>
    </cfRule>
    <cfRule type="expression" dxfId="1219" priority="541">
      <formula>B19=$H$2</formula>
    </cfRule>
    <cfRule type="expression" dxfId="1218" priority="542" stopIfTrue="1">
      <formula>B$17="sam"</formula>
    </cfRule>
    <cfRule type="expression" dxfId="1217" priority="543" stopIfTrue="1">
      <formula>B$17="dim"</formula>
    </cfRule>
  </conditionalFormatting>
  <conditionalFormatting sqref="B31:AF36">
    <cfRule type="expression" dxfId="1216" priority="544">
      <formula>B31=$Y$2</formula>
    </cfRule>
    <cfRule type="expression" dxfId="1215" priority="545">
      <formula>B31=$Q$2</formula>
    </cfRule>
    <cfRule type="expression" dxfId="1214" priority="546">
      <formula>B31=$N$2</formula>
    </cfRule>
    <cfRule type="expression" dxfId="1213" priority="547">
      <formula>B31=$K$2</formula>
    </cfRule>
    <cfRule type="expression" dxfId="1212" priority="548">
      <formula>B31=$H$2</formula>
    </cfRule>
    <cfRule type="expression" dxfId="1211" priority="549" stopIfTrue="1">
      <formula>B$29="sam"</formula>
    </cfRule>
    <cfRule type="expression" dxfId="1210" priority="550" stopIfTrue="1">
      <formula>B$29="dim"</formula>
    </cfRule>
  </conditionalFormatting>
  <conditionalFormatting sqref="B43:AF48">
    <cfRule type="expression" dxfId="1209" priority="551">
      <formula>B43=$Y$2</formula>
    </cfRule>
    <cfRule type="expression" dxfId="1208" priority="552">
      <formula>B43=$Q$2</formula>
    </cfRule>
    <cfRule type="expression" dxfId="1207" priority="553">
      <formula>B43=$N$2</formula>
    </cfRule>
    <cfRule type="expression" dxfId="1206" priority="554">
      <formula>B43=$K$2</formula>
    </cfRule>
    <cfRule type="expression" dxfId="1205" priority="555">
      <formula>B43=$H$2</formula>
    </cfRule>
    <cfRule type="expression" dxfId="1204" priority="556" stopIfTrue="1">
      <formula>B$41="sam"</formula>
    </cfRule>
    <cfRule type="expression" dxfId="1203" priority="557" stopIfTrue="1">
      <formula>B$41="dim"</formula>
    </cfRule>
  </conditionalFormatting>
  <conditionalFormatting sqref="B55:AF60">
    <cfRule type="expression" dxfId="1202" priority="558">
      <formula>B55=$Y$2</formula>
    </cfRule>
    <cfRule type="expression" dxfId="1201" priority="559">
      <formula>B55=$Q$2</formula>
    </cfRule>
    <cfRule type="expression" dxfId="1200" priority="560">
      <formula>B55=$N$2</formula>
    </cfRule>
    <cfRule type="expression" dxfId="1199" priority="561">
      <formula>B55=$K$2</formula>
    </cfRule>
    <cfRule type="expression" dxfId="1198" priority="562">
      <formula>B55=$H$2</formula>
    </cfRule>
    <cfRule type="expression" dxfId="1197" priority="563" stopIfTrue="1">
      <formula>B$53="sam"</formula>
    </cfRule>
    <cfRule type="expression" dxfId="1196" priority="564" stopIfTrue="1">
      <formula>B$53="dim"</formula>
    </cfRule>
  </conditionalFormatting>
  <conditionalFormatting sqref="B67:AF72">
    <cfRule type="expression" dxfId="1195" priority="565">
      <formula>B67=$Y$2</formula>
    </cfRule>
    <cfRule type="expression" dxfId="1194" priority="566">
      <formula>B67=$Q$2</formula>
    </cfRule>
    <cfRule type="expression" dxfId="1193" priority="567">
      <formula>B67=$N$2</formula>
    </cfRule>
    <cfRule type="expression" dxfId="1192" priority="568">
      <formula>B67=$K$2</formula>
    </cfRule>
    <cfRule type="expression" dxfId="1191" priority="569">
      <formula>B67=$H$2</formula>
    </cfRule>
    <cfRule type="expression" dxfId="1190" priority="570" stopIfTrue="1">
      <formula>B$65="sam"</formula>
    </cfRule>
    <cfRule type="expression" dxfId="1189" priority="571" stopIfTrue="1">
      <formula>B$65="dim"</formula>
    </cfRule>
  </conditionalFormatting>
  <conditionalFormatting sqref="B79:AF84">
    <cfRule type="expression" dxfId="1188" priority="572">
      <formula>B79=$Y$2</formula>
    </cfRule>
    <cfRule type="expression" dxfId="1187" priority="573">
      <formula>B79=$Q$2</formula>
    </cfRule>
    <cfRule type="expression" dxfId="1186" priority="574">
      <formula>B79=$N$2</formula>
    </cfRule>
    <cfRule type="expression" dxfId="1185" priority="575">
      <formula>B79=$K$2</formula>
    </cfRule>
    <cfRule type="expression" dxfId="1184" priority="576">
      <formula>B79=$H$2</formula>
    </cfRule>
    <cfRule type="expression" dxfId="1183" priority="577" stopIfTrue="1">
      <formula>B$77="sam"</formula>
    </cfRule>
    <cfRule type="expression" dxfId="1182" priority="578" stopIfTrue="1">
      <formula>B$77="dim"</formula>
    </cfRule>
  </conditionalFormatting>
  <conditionalFormatting sqref="B96:Y96 B91:AF95">
    <cfRule type="expression" dxfId="1181" priority="579">
      <formula>B91=$Y$2</formula>
    </cfRule>
    <cfRule type="expression" dxfId="1180" priority="580">
      <formula>B91=$Q$2</formula>
    </cfRule>
    <cfRule type="expression" dxfId="1179" priority="581">
      <formula>B91=$N$2</formula>
    </cfRule>
    <cfRule type="expression" dxfId="1178" priority="582">
      <formula>B91=$K$2</formula>
    </cfRule>
    <cfRule type="expression" dxfId="1177" priority="583">
      <formula>B91=$H$2</formula>
    </cfRule>
    <cfRule type="expression" dxfId="1176" priority="584" stopIfTrue="1">
      <formula>B$89="sam"</formula>
    </cfRule>
    <cfRule type="expression" dxfId="1175" priority="585" stopIfTrue="1">
      <formula>B$89="dim"</formula>
    </cfRule>
  </conditionalFormatting>
  <conditionalFormatting sqref="B103:AF108">
    <cfRule type="expression" dxfId="1174" priority="586">
      <formula>B103=$Y$2</formula>
    </cfRule>
    <cfRule type="expression" dxfId="1173" priority="587">
      <formula>B103=$Q$2</formula>
    </cfRule>
    <cfRule type="expression" dxfId="1172" priority="588">
      <formula>B103=$N$2</formula>
    </cfRule>
    <cfRule type="expression" dxfId="1171" priority="589">
      <formula>B103=$K$2</formula>
    </cfRule>
    <cfRule type="expression" dxfId="1170" priority="590">
      <formula>B103=$H$2</formula>
    </cfRule>
    <cfRule type="expression" dxfId="1169" priority="591" stopIfTrue="1">
      <formula>B$101="sam"</formula>
    </cfRule>
    <cfRule type="expression" dxfId="1168" priority="592" stopIfTrue="1">
      <formula>B$101="dim"</formula>
    </cfRule>
  </conditionalFormatting>
  <conditionalFormatting sqref="B119:AF120 B118:L118 N118:AF118 B115:AF117">
    <cfRule type="expression" dxfId="1167" priority="593">
      <formula>B115=$Y$2</formula>
    </cfRule>
    <cfRule type="expression" dxfId="1166" priority="594">
      <formula>B115=$Q$2</formula>
    </cfRule>
    <cfRule type="expression" dxfId="1165" priority="595">
      <formula>B115=$N$2</formula>
    </cfRule>
    <cfRule type="expression" dxfId="1164" priority="596">
      <formula>B115=$K$2</formula>
    </cfRule>
    <cfRule type="expression" dxfId="1163" priority="597">
      <formula>B115=$H$2</formula>
    </cfRule>
    <cfRule type="expression" dxfId="1162" priority="598" stopIfTrue="1">
      <formula>B$113="sam"</formula>
    </cfRule>
    <cfRule type="expression" dxfId="1161" priority="599" stopIfTrue="1">
      <formula>B$113="dim"</formula>
    </cfRule>
  </conditionalFormatting>
  <conditionalFormatting sqref="B127:AF132">
    <cfRule type="expression" dxfId="1160" priority="600">
      <formula>B127=$Y$2</formula>
    </cfRule>
    <cfRule type="expression" dxfId="1159" priority="601">
      <formula>B127=$Q$2</formula>
    </cfRule>
    <cfRule type="expression" dxfId="1158" priority="602">
      <formula>B127=$N$2</formula>
    </cfRule>
    <cfRule type="expression" dxfId="1157" priority="603">
      <formula>B127=$K$2</formula>
    </cfRule>
    <cfRule type="expression" dxfId="1156" priority="604">
      <formula>B127=$H$2</formula>
    </cfRule>
    <cfRule type="expression" dxfId="1155" priority="605" stopIfTrue="1">
      <formula>B$125="sam"</formula>
    </cfRule>
    <cfRule type="expression" dxfId="1154" priority="606" stopIfTrue="1">
      <formula>B$125="dim"</formula>
    </cfRule>
  </conditionalFormatting>
  <conditionalFormatting sqref="B139:AF145">
    <cfRule type="expression" dxfId="1153" priority="607">
      <formula>B139=$Y$2</formula>
    </cfRule>
    <cfRule type="expression" dxfId="1152" priority="608">
      <formula>B139=$Q$2</formula>
    </cfRule>
    <cfRule type="expression" dxfId="1151" priority="609">
      <formula>B139=$N$2</formula>
    </cfRule>
    <cfRule type="expression" dxfId="1150" priority="610">
      <formula>B139=$K$2</formula>
    </cfRule>
    <cfRule type="expression" dxfId="1149" priority="611">
      <formula>B139=$H$2</formula>
    </cfRule>
    <cfRule type="expression" dxfId="1148" priority="612" stopIfTrue="1">
      <formula>B$137="sam"</formula>
    </cfRule>
    <cfRule type="expression" dxfId="1147" priority="613" stopIfTrue="1">
      <formula>B$137="dim"</formula>
    </cfRule>
  </conditionalFormatting>
  <conditionalFormatting sqref="B7:AF12 B19:AF24 B31:AF36 B43:AF48 B55:AF60 B67:AF72 B79:AF84 B103:AF108 B127:AF132 B96:Y96 B91:AF95 B119:AF120 B118:L118 N118:AF118 B115:AF117 B139:AF145">
    <cfRule type="expression" dxfId="1146" priority="451">
      <formula>B7=$AB$2</formula>
    </cfRule>
    <cfRule type="expression" dxfId="1145" priority="614">
      <formula>B7=$U$2</formula>
    </cfRule>
  </conditionalFormatting>
  <conditionalFormatting sqref="AW144:AW145">
    <cfRule type="expression" dxfId="1144" priority="1">
      <formula>AW144=$E$2</formula>
    </cfRule>
  </conditionalFormatting>
  <conditionalFormatting sqref="AV67:AV72">
    <cfRule type="expression" dxfId="1143" priority="443">
      <formula>AV67=$B$2</formula>
    </cfRule>
  </conditionalFormatting>
  <conditionalFormatting sqref="AV67:AV72">
    <cfRule type="expression" dxfId="1142" priority="442">
      <formula>AV67=$E$2</formula>
    </cfRule>
  </conditionalFormatting>
  <conditionalFormatting sqref="AW67:AW72">
    <cfRule type="expression" dxfId="1141" priority="441">
      <formula>AW67=$B$2</formula>
    </cfRule>
  </conditionalFormatting>
  <conditionalFormatting sqref="AW67:AW72">
    <cfRule type="expression" dxfId="1140" priority="440">
      <formula>AW67=$E$2</formula>
    </cfRule>
  </conditionalFormatting>
  <conditionalFormatting sqref="AV67:AW72">
    <cfRule type="expression" dxfId="1139" priority="444">
      <formula>AV67=$Y$2</formula>
    </cfRule>
    <cfRule type="expression" dxfId="1138" priority="445">
      <formula>AV67=$Q$2</formula>
    </cfRule>
    <cfRule type="expression" dxfId="1137" priority="446">
      <formula>AV67=$N$2</formula>
    </cfRule>
    <cfRule type="expression" dxfId="1136" priority="447">
      <formula>AV67=$K$2</formula>
    </cfRule>
    <cfRule type="expression" dxfId="1135" priority="448">
      <formula>AV67=$H$2</formula>
    </cfRule>
    <cfRule type="expression" dxfId="1134" priority="449" stopIfTrue="1">
      <formula>AV$5="sam"</formula>
    </cfRule>
    <cfRule type="expression" dxfId="1133" priority="450" stopIfTrue="1">
      <formula>AV$5="dim"</formula>
    </cfRule>
  </conditionalFormatting>
  <conditionalFormatting sqref="AI67:AU72">
    <cfRule type="expression" dxfId="1132" priority="432">
      <formula>AI67=$B$2</formula>
    </cfRule>
  </conditionalFormatting>
  <conditionalFormatting sqref="AI67:AU72">
    <cfRule type="expression" dxfId="1131" priority="431">
      <formula>AI67=$E$2</formula>
    </cfRule>
  </conditionalFormatting>
  <conditionalFormatting sqref="AI67:AU72">
    <cfRule type="expression" dxfId="1130" priority="433">
      <formula>AI67=$Y$2</formula>
    </cfRule>
    <cfRule type="expression" dxfId="1129" priority="434">
      <formula>AI67=$Q$2</formula>
    </cfRule>
    <cfRule type="expression" dxfId="1128" priority="435">
      <formula>AI67=$N$2</formula>
    </cfRule>
    <cfRule type="expression" dxfId="1127" priority="436">
      <formula>AI67=$K$2</formula>
    </cfRule>
    <cfRule type="expression" dxfId="1126" priority="437">
      <formula>AI67=$H$2</formula>
    </cfRule>
    <cfRule type="expression" dxfId="1125" priority="438" stopIfTrue="1">
      <formula>AI$5="sam"</formula>
    </cfRule>
    <cfRule type="expression" dxfId="1124" priority="439" stopIfTrue="1">
      <formula>AI$5="dim"</formula>
    </cfRule>
  </conditionalFormatting>
  <conditionalFormatting sqref="AW103:AW108">
    <cfRule type="expression" dxfId="1123" priority="102">
      <formula>AW103=$B$2</formula>
    </cfRule>
  </conditionalFormatting>
  <conditionalFormatting sqref="AW103:AW108">
    <cfRule type="expression" dxfId="1122" priority="101">
      <formula>AW103=$E$2</formula>
    </cfRule>
  </conditionalFormatting>
  <conditionalFormatting sqref="AV79:AV84">
    <cfRule type="expression" dxfId="1121" priority="144">
      <formula>AV79=$B$2</formula>
    </cfRule>
  </conditionalFormatting>
  <conditionalFormatting sqref="AV79:AV84">
    <cfRule type="expression" dxfId="1120" priority="143">
      <formula>AV79=$E$2</formula>
    </cfRule>
  </conditionalFormatting>
  <conditionalFormatting sqref="AW79:AW84">
    <cfRule type="expression" dxfId="1119" priority="142">
      <formula>AW79=$B$2</formula>
    </cfRule>
  </conditionalFormatting>
  <conditionalFormatting sqref="AW79:AW84">
    <cfRule type="expression" dxfId="1118" priority="141">
      <formula>AW79=$E$2</formula>
    </cfRule>
  </conditionalFormatting>
  <conditionalFormatting sqref="AV79:AW84">
    <cfRule type="expression" dxfId="1117" priority="145">
      <formula>AV79=$Y$2</formula>
    </cfRule>
    <cfRule type="expression" dxfId="1116" priority="146">
      <formula>AV79=$Q$2</formula>
    </cfRule>
    <cfRule type="expression" dxfId="1115" priority="147">
      <formula>AV79=$N$2</formula>
    </cfRule>
    <cfRule type="expression" dxfId="1114" priority="148">
      <formula>AV79=$K$2</formula>
    </cfRule>
    <cfRule type="expression" dxfId="1113" priority="149">
      <formula>AV79=$H$2</formula>
    </cfRule>
    <cfRule type="expression" dxfId="1112" priority="150" stopIfTrue="1">
      <formula>AV$5="sam"</formula>
    </cfRule>
    <cfRule type="expression" dxfId="1111" priority="151" stopIfTrue="1">
      <formula>AV$5="dim"</formula>
    </cfRule>
  </conditionalFormatting>
  <conditionalFormatting sqref="AK79:AU84">
    <cfRule type="expression" dxfId="1110" priority="133">
      <formula>AK79=$B$2</formula>
    </cfRule>
  </conditionalFormatting>
  <conditionalFormatting sqref="AK79:AU84">
    <cfRule type="expression" dxfId="1109" priority="132">
      <formula>AK79=$E$2</formula>
    </cfRule>
  </conditionalFormatting>
  <conditionalFormatting sqref="AK79:AU84">
    <cfRule type="expression" dxfId="1108" priority="134">
      <formula>AK79=$Y$2</formula>
    </cfRule>
    <cfRule type="expression" dxfId="1107" priority="135">
      <formula>AK79=$Q$2</formula>
    </cfRule>
    <cfRule type="expression" dxfId="1106" priority="136">
      <formula>AK79=$N$2</formula>
    </cfRule>
    <cfRule type="expression" dxfId="1105" priority="137">
      <formula>AK79=$K$2</formula>
    </cfRule>
    <cfRule type="expression" dxfId="1104" priority="138">
      <formula>AK79=$H$2</formula>
    </cfRule>
    <cfRule type="expression" dxfId="1103" priority="139" stopIfTrue="1">
      <formula>AK$5="sam"</formula>
    </cfRule>
    <cfRule type="expression" dxfId="1102" priority="140" stopIfTrue="1">
      <formula>AK$5="dim"</formula>
    </cfRule>
  </conditionalFormatting>
  <conditionalFormatting sqref="AV91:AV96">
    <cfRule type="expression" dxfId="1101" priority="124">
      <formula>AV91=$B$2</formula>
    </cfRule>
  </conditionalFormatting>
  <conditionalFormatting sqref="AV91:AV96">
    <cfRule type="expression" dxfId="1100" priority="123">
      <formula>AV91=$E$2</formula>
    </cfRule>
  </conditionalFormatting>
  <conditionalFormatting sqref="AW91:AW96">
    <cfRule type="expression" dxfId="1099" priority="122">
      <formula>AW91=$B$2</formula>
    </cfRule>
  </conditionalFormatting>
  <conditionalFormatting sqref="AW91:AW96">
    <cfRule type="expression" dxfId="1098" priority="121">
      <formula>AW91=$E$2</formula>
    </cfRule>
  </conditionalFormatting>
  <conditionalFormatting sqref="AV91:AW96">
    <cfRule type="expression" dxfId="1097" priority="125">
      <formula>AV91=$Y$2</formula>
    </cfRule>
    <cfRule type="expression" dxfId="1096" priority="126">
      <formula>AV91=$Q$2</formula>
    </cfRule>
    <cfRule type="expression" dxfId="1095" priority="127">
      <formula>AV91=$N$2</formula>
    </cfRule>
    <cfRule type="expression" dxfId="1094" priority="128">
      <formula>AV91=$K$2</formula>
    </cfRule>
    <cfRule type="expression" dxfId="1093" priority="129">
      <formula>AV91=$H$2</formula>
    </cfRule>
    <cfRule type="expression" dxfId="1092" priority="130" stopIfTrue="1">
      <formula>AV$5="sam"</formula>
    </cfRule>
    <cfRule type="expression" dxfId="1091" priority="131" stopIfTrue="1">
      <formula>AV$5="dim"</formula>
    </cfRule>
  </conditionalFormatting>
  <conditionalFormatting sqref="AK91:AU96">
    <cfRule type="expression" dxfId="1090" priority="113">
      <formula>AK91=$B$2</formula>
    </cfRule>
  </conditionalFormatting>
  <conditionalFormatting sqref="AK91:AU96">
    <cfRule type="expression" dxfId="1089" priority="112">
      <formula>AK91=$E$2</formula>
    </cfRule>
  </conditionalFormatting>
  <conditionalFormatting sqref="AK91:AU96">
    <cfRule type="expression" dxfId="1088" priority="114">
      <formula>AK91=$Y$2</formula>
    </cfRule>
    <cfRule type="expression" dxfId="1087" priority="115">
      <formula>AK91=$Q$2</formula>
    </cfRule>
    <cfRule type="expression" dxfId="1086" priority="116">
      <formula>AK91=$N$2</formula>
    </cfRule>
    <cfRule type="expression" dxfId="1085" priority="117">
      <formula>AK91=$K$2</formula>
    </cfRule>
    <cfRule type="expression" dxfId="1084" priority="118">
      <formula>AK91=$H$2</formula>
    </cfRule>
    <cfRule type="expression" dxfId="1083" priority="119" stopIfTrue="1">
      <formula>AK$5="sam"</formula>
    </cfRule>
    <cfRule type="expression" dxfId="1082" priority="120" stopIfTrue="1">
      <formula>AK$5="dim"</formula>
    </cfRule>
  </conditionalFormatting>
  <conditionalFormatting sqref="AV103:AV108">
    <cfRule type="expression" dxfId="1081" priority="104">
      <formula>AV103=$B$2</formula>
    </cfRule>
  </conditionalFormatting>
  <conditionalFormatting sqref="AV103:AV108">
    <cfRule type="expression" dxfId="1080" priority="103">
      <formula>AV103=$E$2</formula>
    </cfRule>
  </conditionalFormatting>
  <conditionalFormatting sqref="AV103:AW108">
    <cfRule type="expression" dxfId="1079" priority="105">
      <formula>AV103=$Y$2</formula>
    </cfRule>
    <cfRule type="expression" dxfId="1078" priority="106">
      <formula>AV103=$Q$2</formula>
    </cfRule>
    <cfRule type="expression" dxfId="1077" priority="107">
      <formula>AV103=$N$2</formula>
    </cfRule>
    <cfRule type="expression" dxfId="1076" priority="108">
      <formula>AV103=$K$2</formula>
    </cfRule>
    <cfRule type="expression" dxfId="1075" priority="109">
      <formula>AV103=$H$2</formula>
    </cfRule>
    <cfRule type="expression" dxfId="1074" priority="110" stopIfTrue="1">
      <formula>AV$5="sam"</formula>
    </cfRule>
    <cfRule type="expression" dxfId="1073" priority="111" stopIfTrue="1">
      <formula>AV$5="dim"</formula>
    </cfRule>
  </conditionalFormatting>
  <conditionalFormatting sqref="AK103:AU108">
    <cfRule type="expression" dxfId="1072" priority="93">
      <formula>AK103=$B$2</formula>
    </cfRule>
  </conditionalFormatting>
  <conditionalFormatting sqref="AK103:AU108">
    <cfRule type="expression" dxfId="1071" priority="92">
      <formula>AK103=$E$2</formula>
    </cfRule>
  </conditionalFormatting>
  <conditionalFormatting sqref="AK103:AU108">
    <cfRule type="expression" dxfId="1070" priority="94">
      <formula>AK103=$Y$2</formula>
    </cfRule>
    <cfRule type="expression" dxfId="1069" priority="95">
      <formula>AK103=$Q$2</formula>
    </cfRule>
    <cfRule type="expression" dxfId="1068" priority="96">
      <formula>AK103=$N$2</formula>
    </cfRule>
    <cfRule type="expression" dxfId="1067" priority="97">
      <formula>AK103=$K$2</formula>
    </cfRule>
    <cfRule type="expression" dxfId="1066" priority="98">
      <formula>AK103=$H$2</formula>
    </cfRule>
    <cfRule type="expression" dxfId="1065" priority="99" stopIfTrue="1">
      <formula>AK$5="sam"</formula>
    </cfRule>
    <cfRule type="expression" dxfId="1064" priority="100" stopIfTrue="1">
      <formula>AK$5="dim"</formula>
    </cfRule>
  </conditionalFormatting>
  <conditionalFormatting sqref="AV115:AV120">
    <cfRule type="expression" dxfId="1063" priority="84">
      <formula>AV115=$B$2</formula>
    </cfRule>
  </conditionalFormatting>
  <conditionalFormatting sqref="AV115:AV120">
    <cfRule type="expression" dxfId="1062" priority="83">
      <formula>AV115=$E$2</formula>
    </cfRule>
  </conditionalFormatting>
  <conditionalFormatting sqref="AW115:AW120">
    <cfRule type="expression" dxfId="1061" priority="82">
      <formula>AW115=$B$2</formula>
    </cfRule>
  </conditionalFormatting>
  <conditionalFormatting sqref="AW115:AW120">
    <cfRule type="expression" dxfId="1060" priority="81">
      <formula>AW115=$E$2</formula>
    </cfRule>
  </conditionalFormatting>
  <conditionalFormatting sqref="AV115:AW120">
    <cfRule type="expression" dxfId="1059" priority="85">
      <formula>AV115=$Y$2</formula>
    </cfRule>
    <cfRule type="expression" dxfId="1058" priority="86">
      <formula>AV115=$Q$2</formula>
    </cfRule>
    <cfRule type="expression" dxfId="1057" priority="87">
      <formula>AV115=$N$2</formula>
    </cfRule>
    <cfRule type="expression" dxfId="1056" priority="88">
      <formula>AV115=$K$2</formula>
    </cfRule>
    <cfRule type="expression" dxfId="1055" priority="89">
      <formula>AV115=$H$2</formula>
    </cfRule>
    <cfRule type="expression" dxfId="1054" priority="90" stopIfTrue="1">
      <formula>AV$5="sam"</formula>
    </cfRule>
    <cfRule type="expression" dxfId="1053" priority="91" stopIfTrue="1">
      <formula>AV$5="dim"</formula>
    </cfRule>
  </conditionalFormatting>
  <conditionalFormatting sqref="AK115:AU120">
    <cfRule type="expression" dxfId="1052" priority="73">
      <formula>AK115=$B$2</formula>
    </cfRule>
  </conditionalFormatting>
  <conditionalFormatting sqref="AK115:AU120">
    <cfRule type="expression" dxfId="1051" priority="72">
      <formula>AK115=$E$2</formula>
    </cfRule>
  </conditionalFormatting>
  <conditionalFormatting sqref="AK115:AU120">
    <cfRule type="expression" dxfId="1050" priority="74">
      <formula>AK115=$Y$2</formula>
    </cfRule>
    <cfRule type="expression" dxfId="1049" priority="75">
      <formula>AK115=$Q$2</formula>
    </cfRule>
    <cfRule type="expression" dxfId="1048" priority="76">
      <formula>AK115=$N$2</formula>
    </cfRule>
    <cfRule type="expression" dxfId="1047" priority="77">
      <formula>AK115=$K$2</formula>
    </cfRule>
    <cfRule type="expression" dxfId="1046" priority="78">
      <formula>AK115=$H$2</formula>
    </cfRule>
    <cfRule type="expression" dxfId="1045" priority="79" stopIfTrue="1">
      <formula>AK$5="sam"</formula>
    </cfRule>
    <cfRule type="expression" dxfId="1044" priority="80" stopIfTrue="1">
      <formula>AK$5="dim"</formula>
    </cfRule>
  </conditionalFormatting>
  <conditionalFormatting sqref="AV127:AV132">
    <cfRule type="expression" dxfId="1043" priority="64">
      <formula>AV127=$B$2</formula>
    </cfRule>
  </conditionalFormatting>
  <conditionalFormatting sqref="AV127:AV132">
    <cfRule type="expression" dxfId="1042" priority="63">
      <formula>AV127=$E$2</formula>
    </cfRule>
  </conditionalFormatting>
  <conditionalFormatting sqref="AW127:AW132">
    <cfRule type="expression" dxfId="1041" priority="62">
      <formula>AW127=$B$2</formula>
    </cfRule>
  </conditionalFormatting>
  <conditionalFormatting sqref="AW127:AW132">
    <cfRule type="expression" dxfId="1040" priority="61">
      <formula>AW127=$E$2</formula>
    </cfRule>
  </conditionalFormatting>
  <conditionalFormatting sqref="AV127:AW132">
    <cfRule type="expression" dxfId="1039" priority="65">
      <formula>AV127=$Y$2</formula>
    </cfRule>
    <cfRule type="expression" dxfId="1038" priority="66">
      <formula>AV127=$Q$2</formula>
    </cfRule>
    <cfRule type="expression" dxfId="1037" priority="67">
      <formula>AV127=$N$2</formula>
    </cfRule>
    <cfRule type="expression" dxfId="1036" priority="68">
      <formula>AV127=$K$2</formula>
    </cfRule>
    <cfRule type="expression" dxfId="1035" priority="69">
      <formula>AV127=$H$2</formula>
    </cfRule>
    <cfRule type="expression" dxfId="1034" priority="70" stopIfTrue="1">
      <formula>AV$5="sam"</formula>
    </cfRule>
    <cfRule type="expression" dxfId="1033" priority="71" stopIfTrue="1">
      <formula>AV$5="dim"</formula>
    </cfRule>
  </conditionalFormatting>
  <conditionalFormatting sqref="AK127:AU132">
    <cfRule type="expression" dxfId="1032" priority="53">
      <formula>AK127=$B$2</formula>
    </cfRule>
  </conditionalFormatting>
  <conditionalFormatting sqref="AK127:AU132">
    <cfRule type="expression" dxfId="1031" priority="52">
      <formula>AK127=$E$2</formula>
    </cfRule>
  </conditionalFormatting>
  <conditionalFormatting sqref="AK127:AU132">
    <cfRule type="expression" dxfId="1030" priority="54">
      <formula>AK127=$Y$2</formula>
    </cfRule>
    <cfRule type="expression" dxfId="1029" priority="55">
      <formula>AK127=$Q$2</formula>
    </cfRule>
    <cfRule type="expression" dxfId="1028" priority="56">
      <formula>AK127=$N$2</formula>
    </cfRule>
    <cfRule type="expression" dxfId="1027" priority="57">
      <formula>AK127=$K$2</formula>
    </cfRule>
    <cfRule type="expression" dxfId="1026" priority="58">
      <formula>AK127=$H$2</formula>
    </cfRule>
    <cfRule type="expression" dxfId="1025" priority="59" stopIfTrue="1">
      <formula>AK$5="sam"</formula>
    </cfRule>
    <cfRule type="expression" dxfId="1024" priority="60" stopIfTrue="1">
      <formula>AK$5="dim"</formula>
    </cfRule>
  </conditionalFormatting>
  <conditionalFormatting sqref="AV139:AV143">
    <cfRule type="expression" dxfId="1023" priority="44">
      <formula>AV139=$B$2</formula>
    </cfRule>
  </conditionalFormatting>
  <conditionalFormatting sqref="AV139:AV143">
    <cfRule type="expression" dxfId="1022" priority="43">
      <formula>AV139=$E$2</formula>
    </cfRule>
  </conditionalFormatting>
  <conditionalFormatting sqref="AW139:AW143">
    <cfRule type="expression" dxfId="1021" priority="42">
      <formula>AW139=$B$2</formula>
    </cfRule>
  </conditionalFormatting>
  <conditionalFormatting sqref="AW139:AW143">
    <cfRule type="expression" dxfId="1020" priority="41">
      <formula>AW139=$E$2</formula>
    </cfRule>
  </conditionalFormatting>
  <conditionalFormatting sqref="AV139:AW143">
    <cfRule type="expression" dxfId="1019" priority="45">
      <formula>AV139=$Y$2</formula>
    </cfRule>
    <cfRule type="expression" dxfId="1018" priority="46">
      <formula>AV139=$Q$2</formula>
    </cfRule>
    <cfRule type="expression" dxfId="1017" priority="47">
      <formula>AV139=$N$2</formula>
    </cfRule>
    <cfRule type="expression" dxfId="1016" priority="48">
      <formula>AV139=$K$2</formula>
    </cfRule>
    <cfRule type="expression" dxfId="1015" priority="49">
      <formula>AV139=$H$2</formula>
    </cfRule>
    <cfRule type="expression" dxfId="1014" priority="50" stopIfTrue="1">
      <formula>AV$5="sam"</formula>
    </cfRule>
    <cfRule type="expression" dxfId="1013" priority="51" stopIfTrue="1">
      <formula>AV$5="dim"</formula>
    </cfRule>
  </conditionalFormatting>
  <conditionalFormatting sqref="AK139:AU144">
    <cfRule type="expression" dxfId="1012" priority="33">
      <formula>AK139=$B$2</formula>
    </cfRule>
  </conditionalFormatting>
  <conditionalFormatting sqref="AK139:AU144">
    <cfRule type="expression" dxfId="1011" priority="32">
      <formula>AK139=$E$2</formula>
    </cfRule>
  </conditionalFormatting>
  <conditionalFormatting sqref="AK139:AU144">
    <cfRule type="expression" dxfId="1010" priority="34">
      <formula>AK139=$Y$2</formula>
    </cfRule>
    <cfRule type="expression" dxfId="1009" priority="35">
      <formula>AK139=$Q$2</formula>
    </cfRule>
    <cfRule type="expression" dxfId="1008" priority="36">
      <formula>AK139=$N$2</formula>
    </cfRule>
    <cfRule type="expression" dxfId="1007" priority="37">
      <formula>AK139=$K$2</formula>
    </cfRule>
    <cfRule type="expression" dxfId="1006" priority="38">
      <formula>AK139=$H$2</formula>
    </cfRule>
    <cfRule type="expression" dxfId="1005" priority="39" stopIfTrue="1">
      <formula>AK$5="sam"</formula>
    </cfRule>
    <cfRule type="expression" dxfId="1004" priority="40" stopIfTrue="1">
      <formula>AK$5="dim"</formula>
    </cfRule>
  </conditionalFormatting>
  <conditionalFormatting sqref="AK145:AU145">
    <cfRule type="expression" dxfId="1003" priority="13">
      <formula>AK145=$B$2</formula>
    </cfRule>
  </conditionalFormatting>
  <conditionalFormatting sqref="AK145:AU145">
    <cfRule type="expression" dxfId="1002" priority="12">
      <formula>AK145=$E$2</formula>
    </cfRule>
  </conditionalFormatting>
  <conditionalFormatting sqref="AK145:AU145">
    <cfRule type="expression" dxfId="1001" priority="14">
      <formula>AK145=$Y$2</formula>
    </cfRule>
    <cfRule type="expression" dxfId="1000" priority="15">
      <formula>AK145=$Q$2</formula>
    </cfRule>
    <cfRule type="expression" dxfId="999" priority="16">
      <formula>AK145=$N$2</formula>
    </cfRule>
    <cfRule type="expression" dxfId="998" priority="17">
      <formula>AK145=$K$2</formula>
    </cfRule>
    <cfRule type="expression" dxfId="997" priority="18">
      <formula>AK145=$H$2</formula>
    </cfRule>
    <cfRule type="expression" dxfId="996" priority="19" stopIfTrue="1">
      <formula>AK$5="sam"</formula>
    </cfRule>
    <cfRule type="expression" dxfId="995" priority="20" stopIfTrue="1">
      <formula>AK$5="dim"</formula>
    </cfRule>
  </conditionalFormatting>
  <conditionalFormatting sqref="AV144:AV145">
    <cfRule type="expression" dxfId="994" priority="4">
      <formula>AV144=$B$2</formula>
    </cfRule>
  </conditionalFormatting>
  <conditionalFormatting sqref="AV144:AV145">
    <cfRule type="expression" dxfId="993" priority="3">
      <formula>AV144=$E$2</formula>
    </cfRule>
  </conditionalFormatting>
  <conditionalFormatting sqref="AW144:AW145">
    <cfRule type="expression" dxfId="992" priority="2">
      <formula>AW144=$B$2</formula>
    </cfRule>
  </conditionalFormatting>
  <conditionalFormatting sqref="AV144:AW145">
    <cfRule type="expression" dxfId="991" priority="5">
      <formula>AV144=$Y$2</formula>
    </cfRule>
    <cfRule type="expression" dxfId="990" priority="6">
      <formula>AV144=$Q$2</formula>
    </cfRule>
    <cfRule type="expression" dxfId="989" priority="7">
      <formula>AV144=$N$2</formula>
    </cfRule>
    <cfRule type="expression" dxfId="988" priority="8">
      <formula>AV144=$K$2</formula>
    </cfRule>
    <cfRule type="expression" dxfId="987" priority="9">
      <formula>AV144=$H$2</formula>
    </cfRule>
    <cfRule type="expression" dxfId="986" priority="10" stopIfTrue="1">
      <formula>AV$5="sam"</formula>
    </cfRule>
    <cfRule type="expression" dxfId="985" priority="11" stopIfTrue="1">
      <formula>AV$5="dim"</formula>
    </cfRule>
  </conditionalFormatting>
  <dataValidations count="4">
    <dataValidation allowBlank="1" showErrorMessage="1" prompt="Mois de ce calendrier des absences. Mettez à jour l’année dans la cellule AH4. Suivez les totaux mensuels dans la dernière cellule du tableau. Entrez les noms des employés dans la colonne B du tableau" sqref="A28"/>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18 A30"/>
    <dataValidation allowBlank="1" showErrorMessage="1" sqref="A16 A40:AF42 AO114:AP114 A14:C14 E26 E38 E50 A64:AF66 E74 E86 E98 E110 Y2:AF2 A52:AF54 AI138:AL138 A100:AF102 C113:AH113 A124:AF126 E62 A76:AF78 H2:I2 A2:C2 E2 E14 N14:S14 X14:AF14 N26:S26 X26:AF26 H26:I26 N38:S38 X38:AF38 H38:I38 N50:S50 X50:AF50 H50:I50 N62:S62 X62:AF62 H62:I62 N74:S74 X74:AF74 H74:I74 N86:S86 X86:AF86 H86:I86 N98:S98 X98:AF98 H98:I98 N110:S110 X110:AF110 H110:I110 E122 N122:S122 X122:AF122 H122:I122 AI6:AL6 X134:AF134 H134:I134 AO18:AP18 AS18:AU18 AO30:AP30 AS30:AU30 AO42:AP42 AS42:AU42 AO54:AP54 AS54:AU54 AO66:AP66 AS66:AU66 C136:AF136 C138:AF138 AO78:AP78 AS78:AU78 AO90:AP90 AS90:AU90 AO102:AP102 AS102:AU102 AS114:AU114 N2:S2 AO126:AP126 AO6:AP6 AS6:AU6 H14:I14 A26:C26 A38:C38 A50:C50 A62:C62 A74:C74 A86:C86 A98:C98 A110:C110 A122:C122 A134:C134 E134 N134:S134 AI18:AL18 AI30:AL30 AI42:AL42 AI54:AL54 AI66:AL66 C137:AG137 AI78:AL78 AI90:AL90 AI102:AL102 AI114:AL114 AS126:AU126 AI126:AL126 A112:B114 C112:AF112 C114:AF114 A136:B138 AO138:AP138 AS138:AU138 A88:AF90"/>
    <dataValidation allowBlank="1" showErrorMessage="1" prompt="Les jours du mois dans cette ligne sont générés automatiquement. Entrez l’absence et le motif d’absence d’un employé dans chaque colonne pour chaque jour du mois. Un champ vide indique qu’il n’y a pas eu d’absence" sqref="B6 B18 B30"/>
  </dataValidations>
  <hyperlinks>
    <hyperlink ref="A63" location="Demandes!A1" display="Retour vers demandes"/>
    <hyperlink ref="A75" location="Demandes!A1" display="Retour vers demandes"/>
    <hyperlink ref="A87" location="Demandes!A1" display="Retour vers demandes"/>
    <hyperlink ref="A99" location="Demandes!A1" display="Retour vers demandes"/>
    <hyperlink ref="A111" location="Demandes!A1" display="Retour vers demandes"/>
    <hyperlink ref="A123" location="Demandes!A1" display="Retour vers demandes"/>
    <hyperlink ref="A135" location="Demandes!A1" display="Retour vers demandes"/>
  </hyperlinks>
  <pageMargins left="0.7" right="0.7" top="0.75" bottom="0.75" header="0.3" footer="0.3"/>
  <pageSetup paperSize="9" orientation="portrait" r:id="rId1"/>
  <tableParts count="1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s>
  <extLst>
    <ext xmlns:x14="http://schemas.microsoft.com/office/spreadsheetml/2009/9/main" uri="{CCE6A557-97BC-4b89-ADB6-D9C93CAAB3DF}">
      <x14:dataValidations xmlns:xm="http://schemas.microsoft.com/office/excel/2006/main" count="6">
        <x14:dataValidation type="list" allowBlank="1" showInputMessage="1" showErrorMessage="1">
          <x14:formula1>
            <xm:f>Personnel!$A$2:$A$7</xm:f>
          </x14:formula1>
          <xm:sqref>A7:A12 A67:A72 A79:A84 A91:A96 A103:A108 A115:A120 A127:A132 A139:A144 AH67:AH72 AH79:AH84 AH91:AH96 AH103:AH108 AH115:AH120 AH127:AH132 AH139:AH144</xm:sqref>
        </x14:dataValidation>
        <x14:dataValidation type="list" allowBlank="1" showInputMessage="1" showErrorMessage="1">
          <x14:formula1>
            <xm:f>Personnel!$A$2:$A$7</xm:f>
          </x14:formula1>
          <xm:sqref>A19:A24</xm:sqref>
        </x14:dataValidation>
        <x14:dataValidation type="list" allowBlank="1" showInputMessage="1" showErrorMessage="1">
          <x14:formula1>
            <xm:f>Personnel!$A$2:$A$7</xm:f>
          </x14:formula1>
          <xm:sqref>A31:A36</xm:sqref>
        </x14:dataValidation>
        <x14:dataValidation type="list" allowBlank="1" showInputMessage="1" showErrorMessage="1">
          <x14:formula1>
            <xm:f>Personnel!$A$2:$A$7</xm:f>
          </x14:formula1>
          <xm:sqref>A43:A48</xm:sqref>
        </x14:dataValidation>
        <x14:dataValidation type="list" allowBlank="1" showInputMessage="1" showErrorMessage="1">
          <x14:formula1>
            <xm:f>Personnel!$A$2:$A$7</xm:f>
          </x14:formula1>
          <xm:sqref>A55:A60</xm:sqref>
        </x14:dataValidation>
        <x14:dataValidation type="list" allowBlank="1" showInputMessage="1" showErrorMessage="1">
          <x14:formula1>
            <xm:f>Personnel!$A$2:$A$7</xm:f>
          </x14:formula1>
          <xm:sqref>A145</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R51"/>
  <sheetViews>
    <sheetView showGridLines="0" tabSelected="1" workbookViewId="0">
      <selection activeCell="B1" sqref="B1"/>
    </sheetView>
  </sheetViews>
  <sheetFormatPr baseColWidth="10" defaultColWidth="17.85546875" defaultRowHeight="16.5" x14ac:dyDescent="0.3"/>
  <cols>
    <col min="1" max="1" width="3.85546875" style="1" bestFit="1" customWidth="1"/>
    <col min="2" max="2" width="17.140625" style="108" bestFit="1" customWidth="1"/>
    <col min="3" max="3" width="5.7109375" style="106" bestFit="1" customWidth="1"/>
    <col min="4" max="4" width="18.42578125" style="106" hidden="1" customWidth="1"/>
    <col min="5" max="5" width="20.7109375" style="106" bestFit="1" customWidth="1"/>
    <col min="6" max="6" width="8" style="130" hidden="1" customWidth="1"/>
    <col min="7" max="8" width="12.140625" style="120" bestFit="1" customWidth="1"/>
    <col min="9" max="9" width="13.42578125" style="106" bestFit="1" customWidth="1"/>
    <col min="10" max="10" width="41.5703125" style="1" bestFit="1" customWidth="1"/>
    <col min="11" max="11" width="12.7109375" style="1" bestFit="1" customWidth="1"/>
    <col min="12" max="12" width="13.28515625" style="1" bestFit="1" customWidth="1"/>
    <col min="13" max="13" width="17.28515625" style="120" customWidth="1"/>
    <col min="14" max="14" width="22.42578125" style="106" bestFit="1" customWidth="1"/>
    <col min="15" max="15" width="22.42578125" style="106" customWidth="1"/>
    <col min="16" max="16" width="1.42578125" style="1" customWidth="1"/>
    <col min="17" max="16384" width="17.85546875" style="1"/>
  </cols>
  <sheetData>
    <row r="1" spans="1:18" ht="33" x14ac:dyDescent="0.3">
      <c r="A1" s="109" t="s">
        <v>94</v>
      </c>
      <c r="B1" s="110" t="s">
        <v>104</v>
      </c>
      <c r="C1" s="109" t="s">
        <v>95</v>
      </c>
      <c r="D1" s="109" t="s">
        <v>110</v>
      </c>
      <c r="E1" s="109" t="s">
        <v>96</v>
      </c>
      <c r="F1" s="128" t="s">
        <v>115</v>
      </c>
      <c r="G1" s="117" t="s">
        <v>97</v>
      </c>
      <c r="H1" s="117" t="s">
        <v>98</v>
      </c>
      <c r="I1" s="109" t="s">
        <v>99</v>
      </c>
      <c r="J1" s="109" t="s">
        <v>106</v>
      </c>
      <c r="K1" s="109" t="s">
        <v>107</v>
      </c>
      <c r="L1" s="109" t="s">
        <v>100</v>
      </c>
      <c r="M1" s="117" t="s">
        <v>114</v>
      </c>
      <c r="N1" s="109" t="s">
        <v>116</v>
      </c>
      <c r="O1" s="131"/>
      <c r="Q1" s="142" t="s">
        <v>112</v>
      </c>
      <c r="R1" s="142"/>
    </row>
    <row r="2" spans="1:18" x14ac:dyDescent="0.3">
      <c r="A2" s="111">
        <v>1</v>
      </c>
      <c r="B2" s="112" t="s">
        <v>109</v>
      </c>
      <c r="C2" s="113" t="s">
        <v>76</v>
      </c>
      <c r="D2" s="113"/>
      <c r="E2" s="113" t="s">
        <v>120</v>
      </c>
      <c r="F2" s="129" t="str">
        <f>VLOOKUP(E2,Personnel!$A$2:$C$7,3,FALSE)</f>
        <v>toto@gmail.com</v>
      </c>
      <c r="G2" s="118">
        <v>43105</v>
      </c>
      <c r="H2" s="118">
        <v>43108</v>
      </c>
      <c r="I2" s="113" t="s">
        <v>118</v>
      </c>
      <c r="J2" s="114" t="s">
        <v>127</v>
      </c>
      <c r="K2" s="114">
        <f t="shared" ref="K2:K6" si="0">NETWORKDAYS.INTL(G2,H2)</f>
        <v>2</v>
      </c>
      <c r="L2" s="115" t="s">
        <v>102</v>
      </c>
      <c r="M2" s="132"/>
      <c r="N2" s="113"/>
      <c r="O2" s="63"/>
    </row>
    <row r="3" spans="1:18" x14ac:dyDescent="0.3">
      <c r="A3" s="111">
        <v>2</v>
      </c>
      <c r="B3" s="112" t="s">
        <v>109</v>
      </c>
      <c r="C3" s="113" t="s">
        <v>76</v>
      </c>
      <c r="D3" s="113"/>
      <c r="E3" s="113" t="s">
        <v>123</v>
      </c>
      <c r="F3" s="129" t="str">
        <f>VLOOKUP(E3,Personnel!$A$2:$C$7,3,FALSE)</f>
        <v>tutu@gmail.com</v>
      </c>
      <c r="G3" s="118">
        <v>43156</v>
      </c>
      <c r="H3" s="118">
        <v>43164</v>
      </c>
      <c r="I3" s="113" t="s">
        <v>118</v>
      </c>
      <c r="J3" s="114" t="s">
        <v>127</v>
      </c>
      <c r="K3" s="114">
        <f t="shared" si="0"/>
        <v>6</v>
      </c>
      <c r="L3" s="115" t="s">
        <v>102</v>
      </c>
      <c r="M3" s="119"/>
      <c r="N3" s="113"/>
      <c r="O3" s="63"/>
      <c r="Q3" s="142" t="s">
        <v>113</v>
      </c>
      <c r="R3" s="142"/>
    </row>
    <row r="4" spans="1:18" x14ac:dyDescent="0.3">
      <c r="A4" s="111">
        <v>3</v>
      </c>
      <c r="B4" s="112" t="s">
        <v>133</v>
      </c>
      <c r="C4" s="113" t="s">
        <v>76</v>
      </c>
      <c r="D4" s="113"/>
      <c r="E4" s="113" t="s">
        <v>125</v>
      </c>
      <c r="F4" s="129" t="str">
        <f>VLOOKUP(E4,Personnel!$A$2:$C$7,3,FALSE)</f>
        <v>tyty@gmail.com</v>
      </c>
      <c r="G4" s="118" t="s">
        <v>134</v>
      </c>
      <c r="H4" s="118" t="s">
        <v>135</v>
      </c>
      <c r="I4" s="113" t="s">
        <v>118</v>
      </c>
      <c r="J4" s="114" t="s">
        <v>131</v>
      </c>
      <c r="K4" s="114">
        <f t="shared" si="0"/>
        <v>8</v>
      </c>
      <c r="L4" s="115" t="s">
        <v>103</v>
      </c>
      <c r="M4" s="119"/>
      <c r="N4" s="113"/>
      <c r="O4" s="63"/>
      <c r="Q4" s="142"/>
      <c r="R4" s="142"/>
    </row>
    <row r="5" spans="1:18" x14ac:dyDescent="0.3">
      <c r="A5" s="111">
        <v>4</v>
      </c>
      <c r="B5" s="112"/>
      <c r="C5" s="113"/>
      <c r="D5" s="113"/>
      <c r="E5" s="113"/>
      <c r="F5" s="129" t="e">
        <f>VLOOKUP(E5,Personnel!$A$2:$C$7,3,FALSE)</f>
        <v>#N/A</v>
      </c>
      <c r="G5" s="118"/>
      <c r="H5" s="118"/>
      <c r="I5" s="113"/>
      <c r="J5" s="114"/>
      <c r="K5" s="114">
        <f t="shared" si="0"/>
        <v>0</v>
      </c>
      <c r="L5" s="115" t="s">
        <v>102</v>
      </c>
      <c r="M5" s="119"/>
      <c r="N5" s="113"/>
      <c r="O5" s="63"/>
    </row>
    <row r="6" spans="1:18" x14ac:dyDescent="0.3">
      <c r="A6" s="111">
        <v>5</v>
      </c>
      <c r="B6" s="112"/>
      <c r="C6" s="113"/>
      <c r="D6" s="113"/>
      <c r="E6" s="113"/>
      <c r="F6" s="129" t="e">
        <f>VLOOKUP(E6,Personnel!$A$2:$C$7,3,FALSE)</f>
        <v>#N/A</v>
      </c>
      <c r="G6" s="118"/>
      <c r="H6" s="119"/>
      <c r="I6" s="113"/>
      <c r="J6" s="114"/>
      <c r="K6" s="114">
        <f t="shared" si="0"/>
        <v>0</v>
      </c>
      <c r="L6" s="115" t="s">
        <v>102</v>
      </c>
      <c r="M6" s="119"/>
      <c r="N6" s="113"/>
      <c r="O6" s="63"/>
    </row>
    <row r="7" spans="1:18" x14ac:dyDescent="0.3">
      <c r="A7" s="111">
        <v>6</v>
      </c>
      <c r="B7" s="112"/>
      <c r="C7" s="116"/>
      <c r="D7" s="113" t="e">
        <f>VLOOKUP(C7,Personnel!$C$10:$D$18,2,FALSE)</f>
        <v>#N/A</v>
      </c>
      <c r="E7" s="116"/>
      <c r="F7" s="129" t="e">
        <f>VLOOKUP(E7,Personnel!$A$2:$C$7,3,FALSE)</f>
        <v>#N/A</v>
      </c>
      <c r="G7" s="119"/>
      <c r="H7" s="119"/>
      <c r="I7" s="116"/>
      <c r="J7" s="114"/>
      <c r="K7" s="114">
        <f t="shared" ref="K7:K51" si="1">NETWORKDAYS.INTL(G7,H7)</f>
        <v>0</v>
      </c>
      <c r="L7" s="115" t="s">
        <v>102</v>
      </c>
      <c r="M7" s="119"/>
      <c r="N7" s="113"/>
      <c r="O7" s="63"/>
    </row>
    <row r="8" spans="1:18" x14ac:dyDescent="0.3">
      <c r="A8" s="111">
        <v>7</v>
      </c>
      <c r="B8" s="112"/>
      <c r="C8" s="116"/>
      <c r="D8" s="113" t="e">
        <f>VLOOKUP(C8,Personnel!$C$10:$D$18,2,FALSE)</f>
        <v>#N/A</v>
      </c>
      <c r="E8" s="116"/>
      <c r="F8" s="129" t="e">
        <f>VLOOKUP(E8,Personnel!$A$2:$C$7,3,FALSE)</f>
        <v>#N/A</v>
      </c>
      <c r="G8" s="119"/>
      <c r="H8" s="119"/>
      <c r="I8" s="116"/>
      <c r="J8" s="114"/>
      <c r="K8" s="114">
        <f t="shared" si="1"/>
        <v>0</v>
      </c>
      <c r="L8" s="115" t="s">
        <v>102</v>
      </c>
      <c r="M8" s="119"/>
      <c r="N8" s="113"/>
      <c r="O8" s="63"/>
    </row>
    <row r="9" spans="1:18" x14ac:dyDescent="0.3">
      <c r="A9" s="111">
        <v>8</v>
      </c>
      <c r="B9" s="112"/>
      <c r="C9" s="116"/>
      <c r="D9" s="113" t="e">
        <f>VLOOKUP(C9,Personnel!$C$10:$D$18,2,FALSE)</f>
        <v>#N/A</v>
      </c>
      <c r="E9" s="116"/>
      <c r="F9" s="129" t="e">
        <f>VLOOKUP(E9,Personnel!$A$2:$C$7,3,FALSE)</f>
        <v>#N/A</v>
      </c>
      <c r="G9" s="119"/>
      <c r="H9" s="119"/>
      <c r="I9" s="116"/>
      <c r="J9" s="114"/>
      <c r="K9" s="114">
        <f t="shared" si="1"/>
        <v>0</v>
      </c>
      <c r="L9" s="115" t="s">
        <v>102</v>
      </c>
      <c r="M9" s="119"/>
      <c r="N9" s="113"/>
      <c r="O9" s="63"/>
    </row>
    <row r="10" spans="1:18" x14ac:dyDescent="0.3">
      <c r="A10" s="111">
        <v>9</v>
      </c>
      <c r="B10" s="112"/>
      <c r="C10" s="116"/>
      <c r="D10" s="113" t="e">
        <f>VLOOKUP(C10,Personnel!$C$10:$D$18,2,FALSE)</f>
        <v>#N/A</v>
      </c>
      <c r="E10" s="116"/>
      <c r="F10" s="129" t="e">
        <f>VLOOKUP(E10,Personnel!$A$2:$C$7,3,FALSE)</f>
        <v>#N/A</v>
      </c>
      <c r="G10" s="119"/>
      <c r="H10" s="119"/>
      <c r="I10" s="116"/>
      <c r="J10" s="114"/>
      <c r="K10" s="114">
        <f t="shared" si="1"/>
        <v>0</v>
      </c>
      <c r="L10" s="115" t="s">
        <v>102</v>
      </c>
      <c r="M10" s="119"/>
      <c r="N10" s="113"/>
      <c r="O10" s="63"/>
    </row>
    <row r="11" spans="1:18" x14ac:dyDescent="0.3">
      <c r="A11" s="111">
        <v>10</v>
      </c>
      <c r="B11" s="112"/>
      <c r="C11" s="116"/>
      <c r="D11" s="113" t="e">
        <f>VLOOKUP(C11,Personnel!$C$10:$D$18,2,FALSE)</f>
        <v>#N/A</v>
      </c>
      <c r="E11" s="116"/>
      <c r="F11" s="129" t="e">
        <f>VLOOKUP(E11,Personnel!$A$2:$C$7,3,FALSE)</f>
        <v>#N/A</v>
      </c>
      <c r="G11" s="119"/>
      <c r="H11" s="119"/>
      <c r="I11" s="116"/>
      <c r="J11" s="114"/>
      <c r="K11" s="114">
        <f t="shared" si="1"/>
        <v>0</v>
      </c>
      <c r="L11" s="115" t="s">
        <v>102</v>
      </c>
      <c r="M11" s="119"/>
      <c r="N11" s="113"/>
      <c r="O11" s="63"/>
    </row>
    <row r="12" spans="1:18" x14ac:dyDescent="0.3">
      <c r="A12" s="111">
        <v>11</v>
      </c>
      <c r="B12" s="112"/>
      <c r="C12" s="116"/>
      <c r="D12" s="113" t="e">
        <f>VLOOKUP(C12,Personnel!$C$10:$D$18,2,FALSE)</f>
        <v>#N/A</v>
      </c>
      <c r="E12" s="116"/>
      <c r="F12" s="129" t="e">
        <f>VLOOKUP(E12,Personnel!$A$2:$C$7,3,FALSE)</f>
        <v>#N/A</v>
      </c>
      <c r="G12" s="119"/>
      <c r="H12" s="119"/>
      <c r="I12" s="116"/>
      <c r="J12" s="114"/>
      <c r="K12" s="114">
        <f t="shared" si="1"/>
        <v>0</v>
      </c>
      <c r="L12" s="115" t="s">
        <v>102</v>
      </c>
      <c r="M12" s="119"/>
      <c r="N12" s="113"/>
      <c r="O12" s="63"/>
      <c r="R12" s="127"/>
    </row>
    <row r="13" spans="1:18" x14ac:dyDescent="0.3">
      <c r="A13" s="111">
        <v>12</v>
      </c>
      <c r="B13" s="112"/>
      <c r="C13" s="116"/>
      <c r="D13" s="113" t="e">
        <f>VLOOKUP(C13,Personnel!$C$10:$D$18,2,FALSE)</f>
        <v>#N/A</v>
      </c>
      <c r="E13" s="116"/>
      <c r="F13" s="129" t="e">
        <f>VLOOKUP(E13,Personnel!$A$2:$C$7,3,FALSE)</f>
        <v>#N/A</v>
      </c>
      <c r="G13" s="119"/>
      <c r="H13" s="119"/>
      <c r="I13" s="116"/>
      <c r="J13" s="114"/>
      <c r="K13" s="114">
        <f t="shared" si="1"/>
        <v>0</v>
      </c>
      <c r="L13" s="115" t="s">
        <v>102</v>
      </c>
      <c r="M13" s="119"/>
      <c r="N13" s="113"/>
      <c r="O13" s="63"/>
    </row>
    <row r="14" spans="1:18" x14ac:dyDescent="0.3">
      <c r="A14" s="111">
        <v>13</v>
      </c>
      <c r="B14" s="112"/>
      <c r="C14" s="116"/>
      <c r="D14" s="113" t="e">
        <f>VLOOKUP(C14,Personnel!$C$10:$D$18,2,FALSE)</f>
        <v>#N/A</v>
      </c>
      <c r="E14" s="116"/>
      <c r="F14" s="129" t="e">
        <f>VLOOKUP(E14,Personnel!$A$2:$C$7,3,FALSE)</f>
        <v>#N/A</v>
      </c>
      <c r="G14" s="119"/>
      <c r="H14" s="119"/>
      <c r="I14" s="116"/>
      <c r="J14" s="114"/>
      <c r="K14" s="114">
        <f t="shared" si="1"/>
        <v>0</v>
      </c>
      <c r="L14" s="115" t="s">
        <v>102</v>
      </c>
      <c r="M14" s="119"/>
      <c r="N14" s="113"/>
      <c r="O14" s="63"/>
    </row>
    <row r="15" spans="1:18" x14ac:dyDescent="0.3">
      <c r="A15" s="111">
        <v>14</v>
      </c>
      <c r="B15" s="112"/>
      <c r="C15" s="116"/>
      <c r="D15" s="113" t="e">
        <f>VLOOKUP(C15,Personnel!$C$10:$D$18,2,FALSE)</f>
        <v>#N/A</v>
      </c>
      <c r="E15" s="116"/>
      <c r="F15" s="129" t="e">
        <f>VLOOKUP(E15,Personnel!$A$2:$C$7,3,FALSE)</f>
        <v>#N/A</v>
      </c>
      <c r="G15" s="119"/>
      <c r="H15" s="119"/>
      <c r="I15" s="116"/>
      <c r="J15" s="114"/>
      <c r="K15" s="114">
        <f t="shared" si="1"/>
        <v>0</v>
      </c>
      <c r="L15" s="115" t="s">
        <v>102</v>
      </c>
      <c r="M15" s="119"/>
      <c r="N15" s="113"/>
      <c r="O15" s="63"/>
    </row>
    <row r="16" spans="1:18" x14ac:dyDescent="0.3">
      <c r="A16" s="111">
        <v>15</v>
      </c>
      <c r="B16" s="112"/>
      <c r="C16" s="116"/>
      <c r="D16" s="113" t="e">
        <f>VLOOKUP(C16,Personnel!$C$10:$D$18,2,FALSE)</f>
        <v>#N/A</v>
      </c>
      <c r="E16" s="116"/>
      <c r="F16" s="129" t="e">
        <f>VLOOKUP(E16,Personnel!$A$2:$C$7,3,FALSE)</f>
        <v>#N/A</v>
      </c>
      <c r="G16" s="119"/>
      <c r="H16" s="119"/>
      <c r="I16" s="116"/>
      <c r="J16" s="114"/>
      <c r="K16" s="114">
        <f t="shared" si="1"/>
        <v>0</v>
      </c>
      <c r="L16" s="115" t="s">
        <v>102</v>
      </c>
      <c r="M16" s="119"/>
      <c r="N16" s="113"/>
      <c r="O16" s="63"/>
    </row>
    <row r="17" spans="1:15" x14ac:dyDescent="0.3">
      <c r="A17" s="111">
        <v>16</v>
      </c>
      <c r="B17" s="112"/>
      <c r="C17" s="116"/>
      <c r="D17" s="113" t="e">
        <f>VLOOKUP(C17,Personnel!$C$10:$D$18,2,FALSE)</f>
        <v>#N/A</v>
      </c>
      <c r="E17" s="116"/>
      <c r="F17" s="129" t="e">
        <f>VLOOKUP(E17,Personnel!$A$2:$C$7,3,FALSE)</f>
        <v>#N/A</v>
      </c>
      <c r="G17" s="119"/>
      <c r="H17" s="119"/>
      <c r="I17" s="116"/>
      <c r="J17" s="114"/>
      <c r="K17" s="114">
        <f t="shared" si="1"/>
        <v>0</v>
      </c>
      <c r="L17" s="115" t="s">
        <v>102</v>
      </c>
      <c r="M17" s="119"/>
      <c r="N17" s="113"/>
      <c r="O17" s="63"/>
    </row>
    <row r="18" spans="1:15" x14ac:dyDescent="0.3">
      <c r="A18" s="111">
        <v>17</v>
      </c>
      <c r="B18" s="112"/>
      <c r="C18" s="116"/>
      <c r="D18" s="113" t="e">
        <f>VLOOKUP(C18,Personnel!$C$10:$D$18,2,FALSE)</f>
        <v>#N/A</v>
      </c>
      <c r="E18" s="116"/>
      <c r="F18" s="129" t="e">
        <f>VLOOKUP(E18,Personnel!$A$2:$C$7,3,FALSE)</f>
        <v>#N/A</v>
      </c>
      <c r="G18" s="119"/>
      <c r="H18" s="119"/>
      <c r="I18" s="116"/>
      <c r="J18" s="114"/>
      <c r="K18" s="114">
        <f t="shared" si="1"/>
        <v>0</v>
      </c>
      <c r="L18" s="115" t="s">
        <v>102</v>
      </c>
      <c r="M18" s="119"/>
      <c r="N18" s="113"/>
      <c r="O18" s="63"/>
    </row>
    <row r="19" spans="1:15" x14ac:dyDescent="0.3">
      <c r="A19" s="111">
        <v>18</v>
      </c>
      <c r="B19" s="112"/>
      <c r="C19" s="116"/>
      <c r="D19" s="113" t="e">
        <f>VLOOKUP(C19,Personnel!$C$10:$D$18,2,FALSE)</f>
        <v>#N/A</v>
      </c>
      <c r="E19" s="116"/>
      <c r="F19" s="129" t="e">
        <f>VLOOKUP(E19,Personnel!$A$2:$C$7,3,FALSE)</f>
        <v>#N/A</v>
      </c>
      <c r="G19" s="119"/>
      <c r="H19" s="119"/>
      <c r="I19" s="116"/>
      <c r="J19" s="114"/>
      <c r="K19" s="114">
        <f t="shared" si="1"/>
        <v>0</v>
      </c>
      <c r="L19" s="115" t="s">
        <v>102</v>
      </c>
      <c r="M19" s="119"/>
      <c r="N19" s="113"/>
      <c r="O19" s="63"/>
    </row>
    <row r="20" spans="1:15" x14ac:dyDescent="0.3">
      <c r="A20" s="111">
        <v>19</v>
      </c>
      <c r="B20" s="112"/>
      <c r="C20" s="116"/>
      <c r="D20" s="113" t="e">
        <f>VLOOKUP(C20,Personnel!$C$10:$D$18,2,FALSE)</f>
        <v>#N/A</v>
      </c>
      <c r="E20" s="116"/>
      <c r="F20" s="129" t="e">
        <f>VLOOKUP(E20,Personnel!$A$2:$C$7,3,FALSE)</f>
        <v>#N/A</v>
      </c>
      <c r="G20" s="119"/>
      <c r="H20" s="119"/>
      <c r="I20" s="116"/>
      <c r="J20" s="114" t="str">
        <f>IFERROR(VLOOKUP(E20,Personnel!$A$2:$D$7,4,FALSE),"")</f>
        <v/>
      </c>
      <c r="K20" s="114">
        <f t="shared" si="1"/>
        <v>0</v>
      </c>
      <c r="L20" s="115" t="s">
        <v>102</v>
      </c>
      <c r="M20" s="119"/>
      <c r="N20" s="113"/>
      <c r="O20" s="63"/>
    </row>
    <row r="21" spans="1:15" x14ac:dyDescent="0.3">
      <c r="A21" s="111">
        <v>20</v>
      </c>
      <c r="B21" s="112"/>
      <c r="C21" s="116"/>
      <c r="D21" s="113" t="e">
        <f>VLOOKUP(C21,Personnel!$C$10:$D$18,2,FALSE)</f>
        <v>#N/A</v>
      </c>
      <c r="E21" s="116"/>
      <c r="F21" s="129" t="e">
        <f>VLOOKUP(E21,Personnel!$A$2:$C$7,3,FALSE)</f>
        <v>#N/A</v>
      </c>
      <c r="G21" s="119"/>
      <c r="H21" s="119"/>
      <c r="I21" s="116"/>
      <c r="J21" s="114" t="str">
        <f>IFERROR(VLOOKUP(E21,Personnel!$A$2:$D$7,4,FALSE),"")</f>
        <v/>
      </c>
      <c r="K21" s="114">
        <f t="shared" si="1"/>
        <v>0</v>
      </c>
      <c r="L21" s="115" t="s">
        <v>102</v>
      </c>
      <c r="M21" s="119"/>
      <c r="N21" s="113"/>
      <c r="O21" s="63"/>
    </row>
    <row r="22" spans="1:15" x14ac:dyDescent="0.3">
      <c r="A22" s="111">
        <v>21</v>
      </c>
      <c r="B22" s="112"/>
      <c r="C22" s="116"/>
      <c r="D22" s="113" t="e">
        <f>VLOOKUP(C22,Personnel!$C$10:$D$18,2,FALSE)</f>
        <v>#N/A</v>
      </c>
      <c r="E22" s="116"/>
      <c r="F22" s="129" t="e">
        <f>VLOOKUP(E22,Personnel!$A$2:$C$7,3,FALSE)</f>
        <v>#N/A</v>
      </c>
      <c r="G22" s="119"/>
      <c r="H22" s="119"/>
      <c r="I22" s="116"/>
      <c r="J22" s="114" t="str">
        <f>IFERROR(VLOOKUP(E22,Personnel!$A$2:$D$7,4,FALSE),"")</f>
        <v/>
      </c>
      <c r="K22" s="114">
        <f t="shared" si="1"/>
        <v>0</v>
      </c>
      <c r="L22" s="115" t="s">
        <v>102</v>
      </c>
      <c r="M22" s="119"/>
      <c r="N22" s="113"/>
      <c r="O22" s="63"/>
    </row>
    <row r="23" spans="1:15" x14ac:dyDescent="0.3">
      <c r="A23" s="111">
        <v>22</v>
      </c>
      <c r="B23" s="112"/>
      <c r="C23" s="116"/>
      <c r="D23" s="113" t="e">
        <f>VLOOKUP(C23,Personnel!$C$10:$D$18,2,FALSE)</f>
        <v>#N/A</v>
      </c>
      <c r="E23" s="116"/>
      <c r="F23" s="129" t="e">
        <f>VLOOKUP(E23,Personnel!$A$2:$C$7,3,FALSE)</f>
        <v>#N/A</v>
      </c>
      <c r="G23" s="119"/>
      <c r="H23" s="119"/>
      <c r="I23" s="116"/>
      <c r="J23" s="114" t="str">
        <f>IFERROR(VLOOKUP(E23,Personnel!$A$2:$D$7,4,FALSE),"")</f>
        <v/>
      </c>
      <c r="K23" s="114">
        <f t="shared" si="1"/>
        <v>0</v>
      </c>
      <c r="L23" s="115" t="s">
        <v>102</v>
      </c>
      <c r="M23" s="119"/>
      <c r="N23" s="113"/>
      <c r="O23" s="63"/>
    </row>
    <row r="24" spans="1:15" x14ac:dyDescent="0.3">
      <c r="A24" s="111">
        <v>23</v>
      </c>
      <c r="B24" s="112"/>
      <c r="C24" s="116"/>
      <c r="D24" s="113" t="e">
        <f>VLOOKUP(C24,Personnel!$C$10:$D$18,2,FALSE)</f>
        <v>#N/A</v>
      </c>
      <c r="E24" s="116"/>
      <c r="F24" s="129" t="e">
        <f>VLOOKUP(E24,Personnel!$A$2:$C$7,3,FALSE)</f>
        <v>#N/A</v>
      </c>
      <c r="G24" s="119"/>
      <c r="H24" s="119"/>
      <c r="I24" s="116"/>
      <c r="J24" s="114" t="str">
        <f>IFERROR(VLOOKUP(E24,Personnel!$A$2:$D$7,4,FALSE),"")</f>
        <v/>
      </c>
      <c r="K24" s="114">
        <f t="shared" si="1"/>
        <v>0</v>
      </c>
      <c r="L24" s="115" t="s">
        <v>102</v>
      </c>
      <c r="M24" s="119"/>
      <c r="N24" s="113"/>
      <c r="O24" s="63"/>
    </row>
    <row r="25" spans="1:15" x14ac:dyDescent="0.3">
      <c r="A25" s="111">
        <v>24</v>
      </c>
      <c r="B25" s="112"/>
      <c r="C25" s="116"/>
      <c r="D25" s="113" t="e">
        <f>VLOOKUP(C25,Personnel!$C$10:$D$18,2,FALSE)</f>
        <v>#N/A</v>
      </c>
      <c r="E25" s="116"/>
      <c r="F25" s="129" t="e">
        <f>VLOOKUP(E25,Personnel!$A$2:$C$7,3,FALSE)</f>
        <v>#N/A</v>
      </c>
      <c r="G25" s="119"/>
      <c r="H25" s="119"/>
      <c r="I25" s="116"/>
      <c r="J25" s="114" t="str">
        <f>IFERROR(VLOOKUP(E25,Personnel!$A$2:$D$7,4,FALSE),"")</f>
        <v/>
      </c>
      <c r="K25" s="114">
        <f t="shared" si="1"/>
        <v>0</v>
      </c>
      <c r="L25" s="115" t="s">
        <v>102</v>
      </c>
      <c r="M25" s="119"/>
      <c r="N25" s="113"/>
      <c r="O25" s="63"/>
    </row>
    <row r="26" spans="1:15" x14ac:dyDescent="0.3">
      <c r="A26" s="111">
        <v>25</v>
      </c>
      <c r="B26" s="112"/>
      <c r="C26" s="116"/>
      <c r="D26" s="113" t="e">
        <f>VLOOKUP(C26,Personnel!$C$10:$D$18,2,FALSE)</f>
        <v>#N/A</v>
      </c>
      <c r="E26" s="116"/>
      <c r="F26" s="129" t="e">
        <f>VLOOKUP(E26,Personnel!$A$2:$C$7,3,FALSE)</f>
        <v>#N/A</v>
      </c>
      <c r="G26" s="119"/>
      <c r="H26" s="119"/>
      <c r="I26" s="116"/>
      <c r="J26" s="114" t="str">
        <f>IFERROR(VLOOKUP(E26,Personnel!$A$2:$D$7,4,FALSE),"")</f>
        <v/>
      </c>
      <c r="K26" s="114">
        <f t="shared" si="1"/>
        <v>0</v>
      </c>
      <c r="L26" s="115" t="s">
        <v>102</v>
      </c>
      <c r="M26" s="119"/>
      <c r="N26" s="113"/>
      <c r="O26" s="63"/>
    </row>
    <row r="27" spans="1:15" x14ac:dyDescent="0.3">
      <c r="A27" s="111">
        <v>26</v>
      </c>
      <c r="B27" s="112"/>
      <c r="C27" s="116"/>
      <c r="D27" s="113" t="e">
        <f>VLOOKUP(C27,Personnel!$C$10:$D$18,2,FALSE)</f>
        <v>#N/A</v>
      </c>
      <c r="E27" s="116"/>
      <c r="F27" s="129" t="e">
        <f>VLOOKUP(E27,Personnel!$A$2:$C$7,3,FALSE)</f>
        <v>#N/A</v>
      </c>
      <c r="G27" s="119"/>
      <c r="H27" s="119"/>
      <c r="I27" s="116"/>
      <c r="J27" s="114" t="str">
        <f>IFERROR(VLOOKUP(E27,Personnel!$A$2:$D$7,4,FALSE),"")</f>
        <v/>
      </c>
      <c r="K27" s="114">
        <f t="shared" si="1"/>
        <v>0</v>
      </c>
      <c r="L27" s="115" t="s">
        <v>102</v>
      </c>
      <c r="M27" s="119"/>
      <c r="N27" s="113"/>
      <c r="O27" s="63"/>
    </row>
    <row r="28" spans="1:15" x14ac:dyDescent="0.3">
      <c r="A28" s="111">
        <v>27</v>
      </c>
      <c r="B28" s="112"/>
      <c r="C28" s="116"/>
      <c r="D28" s="113" t="e">
        <f>VLOOKUP(C28,Personnel!$C$10:$D$18,2,FALSE)</f>
        <v>#N/A</v>
      </c>
      <c r="E28" s="116"/>
      <c r="F28" s="129" t="e">
        <f>VLOOKUP(E28,Personnel!$A$2:$C$7,3,FALSE)</f>
        <v>#N/A</v>
      </c>
      <c r="G28" s="119"/>
      <c r="H28" s="119"/>
      <c r="I28" s="116"/>
      <c r="J28" s="114" t="str">
        <f>IFERROR(VLOOKUP(E28,Personnel!$A$2:$D$7,4,FALSE),"")</f>
        <v/>
      </c>
      <c r="K28" s="114">
        <f t="shared" si="1"/>
        <v>0</v>
      </c>
      <c r="L28" s="115" t="s">
        <v>102</v>
      </c>
      <c r="M28" s="119"/>
      <c r="N28" s="113"/>
      <c r="O28" s="63"/>
    </row>
    <row r="29" spans="1:15" x14ac:dyDescent="0.3">
      <c r="A29" s="111">
        <v>28</v>
      </c>
      <c r="B29" s="112"/>
      <c r="C29" s="116"/>
      <c r="D29" s="113" t="e">
        <f>VLOOKUP(C29,Personnel!$C$10:$D$18,2,FALSE)</f>
        <v>#N/A</v>
      </c>
      <c r="E29" s="116"/>
      <c r="F29" s="129" t="e">
        <f>VLOOKUP(E29,Personnel!$A$2:$C$7,3,FALSE)</f>
        <v>#N/A</v>
      </c>
      <c r="G29" s="119"/>
      <c r="H29" s="119"/>
      <c r="I29" s="116"/>
      <c r="J29" s="114" t="str">
        <f>IFERROR(VLOOKUP(E29,Personnel!$A$2:$D$7,4,FALSE),"")</f>
        <v/>
      </c>
      <c r="K29" s="114">
        <f t="shared" si="1"/>
        <v>0</v>
      </c>
      <c r="L29" s="115" t="s">
        <v>102</v>
      </c>
      <c r="M29" s="119"/>
      <c r="N29" s="113"/>
      <c r="O29" s="63"/>
    </row>
    <row r="30" spans="1:15" x14ac:dyDescent="0.3">
      <c r="A30" s="111">
        <v>29</v>
      </c>
      <c r="B30" s="112"/>
      <c r="C30" s="116"/>
      <c r="D30" s="113" t="e">
        <f>VLOOKUP(C30,Personnel!$C$10:$D$18,2,FALSE)</f>
        <v>#N/A</v>
      </c>
      <c r="E30" s="116"/>
      <c r="F30" s="129" t="e">
        <f>VLOOKUP(E30,Personnel!$A$2:$C$7,3,FALSE)</f>
        <v>#N/A</v>
      </c>
      <c r="G30" s="119"/>
      <c r="H30" s="119"/>
      <c r="I30" s="116"/>
      <c r="J30" s="114" t="str">
        <f>IFERROR(VLOOKUP(E30,Personnel!$A$2:$D$7,4,FALSE),"")</f>
        <v/>
      </c>
      <c r="K30" s="114">
        <f t="shared" si="1"/>
        <v>0</v>
      </c>
      <c r="L30" s="115" t="s">
        <v>102</v>
      </c>
      <c r="M30" s="119"/>
      <c r="N30" s="113"/>
      <c r="O30" s="63"/>
    </row>
    <row r="31" spans="1:15" x14ac:dyDescent="0.3">
      <c r="A31" s="111">
        <v>30</v>
      </c>
      <c r="B31" s="112"/>
      <c r="C31" s="116"/>
      <c r="D31" s="113" t="e">
        <f>VLOOKUP(C31,Personnel!$C$10:$D$18,2,FALSE)</f>
        <v>#N/A</v>
      </c>
      <c r="E31" s="116"/>
      <c r="F31" s="129" t="e">
        <f>VLOOKUP(E31,Personnel!$A$2:$C$7,3,FALSE)</f>
        <v>#N/A</v>
      </c>
      <c r="G31" s="119"/>
      <c r="H31" s="119"/>
      <c r="I31" s="116"/>
      <c r="J31" s="114" t="str">
        <f>IFERROR(VLOOKUP(E31,Personnel!$A$2:$D$7,4,FALSE),"")</f>
        <v/>
      </c>
      <c r="K31" s="114">
        <f t="shared" si="1"/>
        <v>0</v>
      </c>
      <c r="L31" s="115" t="s">
        <v>102</v>
      </c>
      <c r="M31" s="119"/>
      <c r="N31" s="113"/>
      <c r="O31" s="63"/>
    </row>
    <row r="32" spans="1:15" x14ac:dyDescent="0.3">
      <c r="A32" s="111">
        <v>31</v>
      </c>
      <c r="B32" s="112"/>
      <c r="C32" s="116"/>
      <c r="D32" s="113" t="e">
        <f>VLOOKUP(C32,Personnel!$C$10:$D$18,2,FALSE)</f>
        <v>#N/A</v>
      </c>
      <c r="E32" s="116"/>
      <c r="F32" s="129" t="e">
        <f>VLOOKUP(E32,Personnel!$A$2:$C$7,3,FALSE)</f>
        <v>#N/A</v>
      </c>
      <c r="G32" s="119"/>
      <c r="H32" s="119"/>
      <c r="I32" s="116"/>
      <c r="J32" s="114" t="str">
        <f>IFERROR(VLOOKUP(E32,Personnel!$A$2:$D$7,4,FALSE),"")</f>
        <v/>
      </c>
      <c r="K32" s="114">
        <f t="shared" si="1"/>
        <v>0</v>
      </c>
      <c r="L32" s="115" t="s">
        <v>102</v>
      </c>
      <c r="M32" s="119"/>
      <c r="N32" s="113"/>
      <c r="O32" s="63"/>
    </row>
    <row r="33" spans="1:15" x14ac:dyDescent="0.3">
      <c r="A33" s="111">
        <v>32</v>
      </c>
      <c r="B33" s="112"/>
      <c r="C33" s="116"/>
      <c r="D33" s="113" t="e">
        <f>VLOOKUP(C33,Personnel!$C$10:$D$18,2,FALSE)</f>
        <v>#N/A</v>
      </c>
      <c r="E33" s="116"/>
      <c r="F33" s="129" t="e">
        <f>VLOOKUP(E33,Personnel!$A$2:$C$7,3,FALSE)</f>
        <v>#N/A</v>
      </c>
      <c r="G33" s="119"/>
      <c r="H33" s="119"/>
      <c r="I33" s="116"/>
      <c r="J33" s="114" t="str">
        <f>IFERROR(VLOOKUP(E33,Personnel!$A$2:$D$7,4,FALSE),"")</f>
        <v/>
      </c>
      <c r="K33" s="114">
        <f t="shared" si="1"/>
        <v>0</v>
      </c>
      <c r="L33" s="115" t="s">
        <v>102</v>
      </c>
      <c r="M33" s="119"/>
      <c r="N33" s="113"/>
      <c r="O33" s="63"/>
    </row>
    <row r="34" spans="1:15" x14ac:dyDescent="0.3">
      <c r="A34" s="111">
        <v>33</v>
      </c>
      <c r="B34" s="112"/>
      <c r="C34" s="116"/>
      <c r="D34" s="113" t="e">
        <f>VLOOKUP(C34,Personnel!$C$10:$D$18,2,FALSE)</f>
        <v>#N/A</v>
      </c>
      <c r="E34" s="116"/>
      <c r="F34" s="129" t="e">
        <f>VLOOKUP(E34,Personnel!$A$2:$C$7,3,FALSE)</f>
        <v>#N/A</v>
      </c>
      <c r="G34" s="119"/>
      <c r="H34" s="119"/>
      <c r="I34" s="116"/>
      <c r="J34" s="114" t="str">
        <f>IFERROR(VLOOKUP(E34,Personnel!$A$2:$D$7,4,FALSE),"")</f>
        <v/>
      </c>
      <c r="K34" s="114">
        <f t="shared" si="1"/>
        <v>0</v>
      </c>
      <c r="L34" s="115" t="s">
        <v>102</v>
      </c>
      <c r="M34" s="119"/>
      <c r="N34" s="113"/>
      <c r="O34" s="63"/>
    </row>
    <row r="35" spans="1:15" x14ac:dyDescent="0.3">
      <c r="A35" s="111">
        <v>34</v>
      </c>
      <c r="B35" s="112"/>
      <c r="C35" s="116"/>
      <c r="D35" s="113" t="e">
        <f>VLOOKUP(C35,Personnel!$C$10:$D$18,2,FALSE)</f>
        <v>#N/A</v>
      </c>
      <c r="E35" s="116"/>
      <c r="F35" s="129" t="e">
        <f>VLOOKUP(E35,Personnel!$A$2:$C$7,3,FALSE)</f>
        <v>#N/A</v>
      </c>
      <c r="G35" s="119"/>
      <c r="H35" s="119"/>
      <c r="I35" s="116"/>
      <c r="J35" s="114" t="str">
        <f>IFERROR(VLOOKUP(E35,Personnel!$A$2:$D$7,4,FALSE),"")</f>
        <v/>
      </c>
      <c r="K35" s="114">
        <f t="shared" si="1"/>
        <v>0</v>
      </c>
      <c r="L35" s="115" t="s">
        <v>102</v>
      </c>
      <c r="M35" s="119"/>
      <c r="N35" s="113"/>
      <c r="O35" s="63"/>
    </row>
    <row r="36" spans="1:15" x14ac:dyDescent="0.3">
      <c r="A36" s="111">
        <v>35</v>
      </c>
      <c r="B36" s="112"/>
      <c r="C36" s="116"/>
      <c r="D36" s="113" t="e">
        <f>VLOOKUP(C36,Personnel!$C$10:$D$18,2,FALSE)</f>
        <v>#N/A</v>
      </c>
      <c r="E36" s="116"/>
      <c r="F36" s="129" t="e">
        <f>VLOOKUP(E36,Personnel!$A$2:$C$7,3,FALSE)</f>
        <v>#N/A</v>
      </c>
      <c r="G36" s="119"/>
      <c r="H36" s="119"/>
      <c r="I36" s="116"/>
      <c r="J36" s="114" t="str">
        <f>IFERROR(VLOOKUP(E36,Personnel!$A$2:$D$7,4,FALSE),"")</f>
        <v/>
      </c>
      <c r="K36" s="114">
        <f t="shared" si="1"/>
        <v>0</v>
      </c>
      <c r="L36" s="115" t="s">
        <v>102</v>
      </c>
      <c r="M36" s="119"/>
      <c r="N36" s="113"/>
      <c r="O36" s="63"/>
    </row>
    <row r="37" spans="1:15" x14ac:dyDescent="0.3">
      <c r="A37" s="111">
        <v>36</v>
      </c>
      <c r="B37" s="112"/>
      <c r="C37" s="116"/>
      <c r="D37" s="113" t="e">
        <f>VLOOKUP(C37,Personnel!$C$10:$D$18,2,FALSE)</f>
        <v>#N/A</v>
      </c>
      <c r="E37" s="116"/>
      <c r="F37" s="129" t="e">
        <f>VLOOKUP(E37,Personnel!$A$2:$C$7,3,FALSE)</f>
        <v>#N/A</v>
      </c>
      <c r="G37" s="119"/>
      <c r="H37" s="119"/>
      <c r="I37" s="116"/>
      <c r="J37" s="114" t="str">
        <f>IFERROR(VLOOKUP(E37,Personnel!$A$2:$D$7,4,FALSE),"")</f>
        <v/>
      </c>
      <c r="K37" s="114">
        <f t="shared" si="1"/>
        <v>0</v>
      </c>
      <c r="L37" s="115" t="s">
        <v>102</v>
      </c>
      <c r="M37" s="119"/>
      <c r="N37" s="113"/>
      <c r="O37" s="63"/>
    </row>
    <row r="38" spans="1:15" x14ac:dyDescent="0.3">
      <c r="A38" s="111">
        <v>37</v>
      </c>
      <c r="B38" s="112"/>
      <c r="C38" s="116"/>
      <c r="D38" s="113" t="e">
        <f>VLOOKUP(C38,Personnel!$C$10:$D$18,2,FALSE)</f>
        <v>#N/A</v>
      </c>
      <c r="E38" s="116"/>
      <c r="F38" s="129" t="e">
        <f>VLOOKUP(E38,Personnel!$A$2:$C$7,3,FALSE)</f>
        <v>#N/A</v>
      </c>
      <c r="G38" s="119"/>
      <c r="H38" s="119"/>
      <c r="I38" s="116"/>
      <c r="J38" s="114" t="str">
        <f>IFERROR(VLOOKUP(E38,Personnel!$A$2:$D$7,4,FALSE),"")</f>
        <v/>
      </c>
      <c r="K38" s="114">
        <f t="shared" si="1"/>
        <v>0</v>
      </c>
      <c r="L38" s="115" t="s">
        <v>102</v>
      </c>
      <c r="M38" s="119"/>
      <c r="N38" s="113"/>
      <c r="O38" s="63"/>
    </row>
    <row r="39" spans="1:15" x14ac:dyDescent="0.3">
      <c r="A39" s="111">
        <v>38</v>
      </c>
      <c r="B39" s="112"/>
      <c r="C39" s="116"/>
      <c r="D39" s="113" t="e">
        <f>VLOOKUP(C39,Personnel!$C$10:$D$18,2,FALSE)</f>
        <v>#N/A</v>
      </c>
      <c r="E39" s="116"/>
      <c r="F39" s="129" t="e">
        <f>VLOOKUP(E39,Personnel!$A$2:$C$7,3,FALSE)</f>
        <v>#N/A</v>
      </c>
      <c r="G39" s="119"/>
      <c r="H39" s="119"/>
      <c r="I39" s="116"/>
      <c r="J39" s="114" t="str">
        <f>IFERROR(VLOOKUP(E39,Personnel!$A$2:$D$7,4,FALSE),"")</f>
        <v/>
      </c>
      <c r="K39" s="114">
        <f t="shared" si="1"/>
        <v>0</v>
      </c>
      <c r="L39" s="115" t="s">
        <v>102</v>
      </c>
      <c r="M39" s="119"/>
      <c r="N39" s="113"/>
      <c r="O39" s="63"/>
    </row>
    <row r="40" spans="1:15" x14ac:dyDescent="0.3">
      <c r="A40" s="111">
        <v>39</v>
      </c>
      <c r="B40" s="112"/>
      <c r="C40" s="116"/>
      <c r="D40" s="113" t="e">
        <f>VLOOKUP(C40,Personnel!$C$10:$D$18,2,FALSE)</f>
        <v>#N/A</v>
      </c>
      <c r="E40" s="116"/>
      <c r="F40" s="129" t="e">
        <f>VLOOKUP(E40,Personnel!$A$2:$C$7,3,FALSE)</f>
        <v>#N/A</v>
      </c>
      <c r="G40" s="119"/>
      <c r="H40" s="119"/>
      <c r="I40" s="116"/>
      <c r="J40" s="114" t="str">
        <f>IFERROR(VLOOKUP(E40,Personnel!$A$2:$D$7,4,FALSE),"")</f>
        <v/>
      </c>
      <c r="K40" s="114">
        <f t="shared" si="1"/>
        <v>0</v>
      </c>
      <c r="L40" s="115" t="s">
        <v>102</v>
      </c>
      <c r="M40" s="119"/>
      <c r="N40" s="113"/>
      <c r="O40" s="63"/>
    </row>
    <row r="41" spans="1:15" x14ac:dyDescent="0.3">
      <c r="A41" s="111">
        <v>40</v>
      </c>
      <c r="B41" s="112"/>
      <c r="C41" s="116"/>
      <c r="D41" s="113" t="e">
        <f>VLOOKUP(C41,Personnel!$C$10:$D$18,2,FALSE)</f>
        <v>#N/A</v>
      </c>
      <c r="E41" s="116"/>
      <c r="F41" s="129" t="e">
        <f>VLOOKUP(E41,Personnel!$A$2:$C$7,3,FALSE)</f>
        <v>#N/A</v>
      </c>
      <c r="G41" s="119"/>
      <c r="H41" s="119"/>
      <c r="I41" s="116"/>
      <c r="J41" s="114" t="str">
        <f>IFERROR(VLOOKUP(E41,Personnel!$A$2:$D$7,4,FALSE),"")</f>
        <v/>
      </c>
      <c r="K41" s="114">
        <f t="shared" si="1"/>
        <v>0</v>
      </c>
      <c r="L41" s="115" t="s">
        <v>102</v>
      </c>
      <c r="M41" s="119"/>
      <c r="N41" s="113"/>
      <c r="O41" s="63"/>
    </row>
    <row r="42" spans="1:15" x14ac:dyDescent="0.3">
      <c r="A42" s="111">
        <v>41</v>
      </c>
      <c r="B42" s="112"/>
      <c r="C42" s="116"/>
      <c r="D42" s="113" t="e">
        <f>VLOOKUP(C42,Personnel!$C$10:$D$18,2,FALSE)</f>
        <v>#N/A</v>
      </c>
      <c r="E42" s="116"/>
      <c r="F42" s="129" t="e">
        <f>VLOOKUP(E42,Personnel!$A$2:$C$7,3,FALSE)</f>
        <v>#N/A</v>
      </c>
      <c r="G42" s="119"/>
      <c r="H42" s="119"/>
      <c r="I42" s="116"/>
      <c r="J42" s="114" t="str">
        <f>IFERROR(VLOOKUP(E42,Personnel!$A$2:$D$7,4,FALSE),"")</f>
        <v/>
      </c>
      <c r="K42" s="114">
        <f t="shared" si="1"/>
        <v>0</v>
      </c>
      <c r="L42" s="115" t="s">
        <v>102</v>
      </c>
      <c r="M42" s="119"/>
      <c r="N42" s="113"/>
      <c r="O42" s="63"/>
    </row>
    <row r="43" spans="1:15" x14ac:dyDescent="0.3">
      <c r="A43" s="111">
        <v>42</v>
      </c>
      <c r="B43" s="112"/>
      <c r="C43" s="116"/>
      <c r="D43" s="113" t="e">
        <f>VLOOKUP(C43,Personnel!$C$10:$D$18,2,FALSE)</f>
        <v>#N/A</v>
      </c>
      <c r="E43" s="116"/>
      <c r="F43" s="129" t="e">
        <f>VLOOKUP(E43,Personnel!$A$2:$C$7,3,FALSE)</f>
        <v>#N/A</v>
      </c>
      <c r="G43" s="119"/>
      <c r="H43" s="119"/>
      <c r="I43" s="116"/>
      <c r="J43" s="114" t="str">
        <f>IFERROR(VLOOKUP(E43,Personnel!$A$2:$D$7,4,FALSE),"")</f>
        <v/>
      </c>
      <c r="K43" s="114">
        <f t="shared" si="1"/>
        <v>0</v>
      </c>
      <c r="L43" s="115" t="s">
        <v>102</v>
      </c>
      <c r="M43" s="119"/>
      <c r="N43" s="113"/>
      <c r="O43" s="63"/>
    </row>
    <row r="44" spans="1:15" x14ac:dyDescent="0.3">
      <c r="A44" s="111">
        <v>43</v>
      </c>
      <c r="B44" s="112"/>
      <c r="C44" s="116"/>
      <c r="D44" s="113" t="e">
        <f>VLOOKUP(C44,Personnel!$C$10:$D$18,2,FALSE)</f>
        <v>#N/A</v>
      </c>
      <c r="E44" s="116"/>
      <c r="F44" s="129" t="e">
        <f>VLOOKUP(E44,Personnel!$A$2:$C$7,3,FALSE)</f>
        <v>#N/A</v>
      </c>
      <c r="G44" s="119"/>
      <c r="H44" s="119"/>
      <c r="I44" s="116"/>
      <c r="J44" s="114" t="str">
        <f>IFERROR(VLOOKUP(E44,Personnel!$A$2:$D$7,4,FALSE),"")</f>
        <v/>
      </c>
      <c r="K44" s="114">
        <f t="shared" si="1"/>
        <v>0</v>
      </c>
      <c r="L44" s="115" t="s">
        <v>102</v>
      </c>
      <c r="M44" s="119"/>
      <c r="N44" s="113"/>
      <c r="O44" s="63"/>
    </row>
    <row r="45" spans="1:15" x14ac:dyDescent="0.3">
      <c r="A45" s="111">
        <v>44</v>
      </c>
      <c r="B45" s="112"/>
      <c r="C45" s="116"/>
      <c r="D45" s="113" t="e">
        <f>VLOOKUP(C45,Personnel!$C$10:$D$18,2,FALSE)</f>
        <v>#N/A</v>
      </c>
      <c r="E45" s="116"/>
      <c r="F45" s="129" t="e">
        <f>VLOOKUP(E45,Personnel!$A$2:$C$7,3,FALSE)</f>
        <v>#N/A</v>
      </c>
      <c r="G45" s="119"/>
      <c r="H45" s="119"/>
      <c r="I45" s="116"/>
      <c r="J45" s="114" t="str">
        <f>IFERROR(VLOOKUP(E45,Personnel!$A$2:$D$7,4,FALSE),"")</f>
        <v/>
      </c>
      <c r="K45" s="114">
        <f t="shared" si="1"/>
        <v>0</v>
      </c>
      <c r="L45" s="115" t="s">
        <v>102</v>
      </c>
      <c r="M45" s="119"/>
      <c r="N45" s="113"/>
      <c r="O45" s="63"/>
    </row>
    <row r="46" spans="1:15" x14ac:dyDescent="0.3">
      <c r="A46" s="111">
        <v>45</v>
      </c>
      <c r="B46" s="112"/>
      <c r="C46" s="116"/>
      <c r="D46" s="113" t="e">
        <f>VLOOKUP(C46,Personnel!$C$10:$D$18,2,FALSE)</f>
        <v>#N/A</v>
      </c>
      <c r="E46" s="116"/>
      <c r="F46" s="129" t="e">
        <f>VLOOKUP(E46,Personnel!$A$2:$C$7,3,FALSE)</f>
        <v>#N/A</v>
      </c>
      <c r="G46" s="119"/>
      <c r="H46" s="119"/>
      <c r="I46" s="116"/>
      <c r="J46" s="114" t="str">
        <f>IFERROR(VLOOKUP(E46,Personnel!$A$2:$D$7,4,FALSE),"")</f>
        <v/>
      </c>
      <c r="K46" s="114">
        <f t="shared" si="1"/>
        <v>0</v>
      </c>
      <c r="L46" s="115" t="s">
        <v>102</v>
      </c>
      <c r="M46" s="119"/>
      <c r="N46" s="113"/>
      <c r="O46" s="63"/>
    </row>
    <row r="47" spans="1:15" x14ac:dyDescent="0.3">
      <c r="A47" s="111">
        <v>46</v>
      </c>
      <c r="B47" s="112"/>
      <c r="C47" s="116"/>
      <c r="D47" s="113" t="e">
        <f>VLOOKUP(C47,Personnel!$C$10:$D$18,2,FALSE)</f>
        <v>#N/A</v>
      </c>
      <c r="E47" s="116"/>
      <c r="F47" s="129" t="e">
        <f>VLOOKUP(E47,Personnel!$A$2:$C$7,3,FALSE)</f>
        <v>#N/A</v>
      </c>
      <c r="G47" s="119"/>
      <c r="H47" s="119"/>
      <c r="I47" s="116"/>
      <c r="J47" s="114" t="str">
        <f>IFERROR(VLOOKUP(E47,Personnel!$A$2:$D$7,4,FALSE),"")</f>
        <v/>
      </c>
      <c r="K47" s="114">
        <f t="shared" si="1"/>
        <v>0</v>
      </c>
      <c r="L47" s="115" t="s">
        <v>102</v>
      </c>
      <c r="M47" s="119"/>
      <c r="N47" s="113"/>
      <c r="O47" s="63"/>
    </row>
    <row r="48" spans="1:15" x14ac:dyDescent="0.3">
      <c r="A48" s="111">
        <v>47</v>
      </c>
      <c r="B48" s="112"/>
      <c r="C48" s="116"/>
      <c r="D48" s="113" t="e">
        <f>VLOOKUP(C48,Personnel!$C$10:$D$18,2,FALSE)</f>
        <v>#N/A</v>
      </c>
      <c r="E48" s="116"/>
      <c r="F48" s="129" t="e">
        <f>VLOOKUP(E48,Personnel!$A$2:$C$7,3,FALSE)</f>
        <v>#N/A</v>
      </c>
      <c r="G48" s="119"/>
      <c r="H48" s="119"/>
      <c r="I48" s="116"/>
      <c r="J48" s="114" t="str">
        <f>IFERROR(VLOOKUP(E48,Personnel!$A$2:$D$7,4,FALSE),"")</f>
        <v/>
      </c>
      <c r="K48" s="114">
        <f t="shared" si="1"/>
        <v>0</v>
      </c>
      <c r="L48" s="115" t="s">
        <v>102</v>
      </c>
      <c r="M48" s="119"/>
      <c r="N48" s="113"/>
      <c r="O48" s="63"/>
    </row>
    <row r="49" spans="1:15" x14ac:dyDescent="0.3">
      <c r="A49" s="111">
        <v>48</v>
      </c>
      <c r="B49" s="112"/>
      <c r="C49" s="116"/>
      <c r="D49" s="113" t="e">
        <f>VLOOKUP(C49,Personnel!$C$10:$D$18,2,FALSE)</f>
        <v>#N/A</v>
      </c>
      <c r="E49" s="116"/>
      <c r="F49" s="129" t="e">
        <f>VLOOKUP(E49,Personnel!$A$2:$C$7,3,FALSE)</f>
        <v>#N/A</v>
      </c>
      <c r="G49" s="119"/>
      <c r="H49" s="119"/>
      <c r="I49" s="116"/>
      <c r="J49" s="114" t="str">
        <f>IFERROR(VLOOKUP(E49,Personnel!$A$2:$D$7,4,FALSE),"")</f>
        <v/>
      </c>
      <c r="K49" s="114">
        <f t="shared" si="1"/>
        <v>0</v>
      </c>
      <c r="L49" s="115" t="s">
        <v>102</v>
      </c>
      <c r="M49" s="119"/>
      <c r="N49" s="113"/>
      <c r="O49" s="63"/>
    </row>
    <row r="50" spans="1:15" x14ac:dyDescent="0.3">
      <c r="A50" s="111">
        <v>49</v>
      </c>
      <c r="B50" s="112"/>
      <c r="C50" s="116"/>
      <c r="D50" s="113" t="e">
        <f>VLOOKUP(C50,Personnel!$C$10:$D$18,2,FALSE)</f>
        <v>#N/A</v>
      </c>
      <c r="E50" s="116"/>
      <c r="F50" s="129" t="e">
        <f>VLOOKUP(E50,Personnel!$A$2:$C$7,3,FALSE)</f>
        <v>#N/A</v>
      </c>
      <c r="G50" s="119"/>
      <c r="H50" s="119"/>
      <c r="I50" s="116"/>
      <c r="J50" s="114" t="str">
        <f>IFERROR(VLOOKUP(E50,Personnel!$A$2:$D$7,4,FALSE),"")</f>
        <v/>
      </c>
      <c r="K50" s="114">
        <f t="shared" si="1"/>
        <v>0</v>
      </c>
      <c r="L50" s="115" t="s">
        <v>102</v>
      </c>
      <c r="M50" s="119"/>
      <c r="N50" s="113"/>
      <c r="O50" s="63"/>
    </row>
    <row r="51" spans="1:15" x14ac:dyDescent="0.3">
      <c r="A51" s="111">
        <v>50</v>
      </c>
      <c r="B51" s="112"/>
      <c r="C51" s="116"/>
      <c r="D51" s="113" t="e">
        <f>VLOOKUP(C51,Personnel!$C$10:$D$18,2,FALSE)</f>
        <v>#N/A</v>
      </c>
      <c r="E51" s="116"/>
      <c r="F51" s="129" t="e">
        <f>VLOOKUP(E51,Personnel!$A$2:$C$7,3,FALSE)</f>
        <v>#N/A</v>
      </c>
      <c r="G51" s="119"/>
      <c r="H51" s="119"/>
      <c r="I51" s="116"/>
      <c r="J51" s="114" t="str">
        <f>IFERROR(VLOOKUP(E51,Personnel!$A$2:$D$7,4,FALSE),"")</f>
        <v/>
      </c>
      <c r="K51" s="114">
        <f t="shared" si="1"/>
        <v>0</v>
      </c>
      <c r="L51" s="115" t="s">
        <v>102</v>
      </c>
      <c r="M51" s="119"/>
      <c r="N51" s="113"/>
      <c r="O51" s="63"/>
    </row>
  </sheetData>
  <mergeCells count="2">
    <mergeCell ref="Q3:R4"/>
    <mergeCell ref="Q1:R1"/>
  </mergeCells>
  <conditionalFormatting sqref="A2:B2 H4:H5 J7:L51 G4:G6 I4:J6 M2 K2:L6 E2:J2 F4:F51 E4:E6 A4:B51 A3">
    <cfRule type="expression" dxfId="31" priority="3711">
      <formula>$M2="refusée"</formula>
    </cfRule>
    <cfRule type="expression" dxfId="30" priority="3712">
      <formula>$M2="acceptée"</formula>
    </cfRule>
  </conditionalFormatting>
  <conditionalFormatting sqref="C2:D2 C4:C6 D4:D51">
    <cfRule type="expression" dxfId="29" priority="7">
      <formula>$M2="refusée"</formula>
    </cfRule>
    <cfRule type="expression" dxfId="28" priority="8">
      <formula>$M2="acceptée"</formula>
    </cfRule>
  </conditionalFormatting>
  <conditionalFormatting sqref="N2:O51">
    <cfRule type="expression" dxfId="27" priority="5">
      <formula>$M2="refusée"</formula>
    </cfRule>
    <cfRule type="expression" dxfId="26" priority="6">
      <formula>$M2="acceptée"</formula>
    </cfRule>
  </conditionalFormatting>
  <conditionalFormatting sqref="B3 E3:J3">
    <cfRule type="expression" dxfId="25" priority="3">
      <formula>$M3="refusée"</formula>
    </cfRule>
    <cfRule type="expression" dxfId="24" priority="4">
      <formula>$M3="acceptée"</formula>
    </cfRule>
  </conditionalFormatting>
  <conditionalFormatting sqref="C3:D3">
    <cfRule type="expression" dxfId="23" priority="1">
      <formula>$M3="refusée"</formula>
    </cfRule>
    <cfRule type="expression" dxfId="22" priority="2">
      <formula>$M3="acceptée"</formula>
    </cfRule>
  </conditionalFormatting>
  <hyperlinks>
    <hyperlink ref="Q3:R4" location="'2018'!A1" display="Vers Calendrier 2018"/>
    <hyperlink ref="Q1" location="'2017'!A1" display="Vers Calendrier 2017"/>
  </hyperlinks>
  <pageMargins left="0.7" right="0.7" top="0.75" bottom="0.75"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2530" r:id="rId4" name="Button 2">
              <controlPr defaultSize="0" print="0" autoFill="0" autoPict="0" macro="[0]!UserForm2_click">
                <anchor moveWithCells="1" sizeWithCells="1">
                  <from>
                    <xdr:col>15</xdr:col>
                    <xdr:colOff>104775</xdr:colOff>
                    <xdr:row>4</xdr:row>
                    <xdr:rowOff>114300</xdr:rowOff>
                  </from>
                  <to>
                    <xdr:col>18</xdr:col>
                    <xdr:colOff>85725</xdr:colOff>
                    <xdr:row>8</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Personnel!$A$21:$A$22</xm:f>
          </x14:formula1>
          <xm:sqref>L2:L51</xm:sqref>
        </x14:dataValidation>
        <x14:dataValidation type="list" allowBlank="1" showInputMessage="1" showErrorMessage="1">
          <x14:formula1>
            <xm:f>Personnel!$E$2:$E$4</xm:f>
          </x14:formula1>
          <xm:sqref>N2:O51</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
  <sheetViews>
    <sheetView showGridLines="0" workbookViewId="0">
      <selection activeCell="K37" sqref="K37"/>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07" r:id="rId4" name="Button 3">
              <controlPr defaultSize="0" print="0" autoFill="0" autoPict="0" macro="[0]!UserForm1_click">
                <anchor moveWithCells="1" sizeWithCells="1">
                  <from>
                    <xdr:col>2</xdr:col>
                    <xdr:colOff>95250</xdr:colOff>
                    <xdr:row>7</xdr:row>
                    <xdr:rowOff>104775</xdr:rowOff>
                  </from>
                  <to>
                    <xdr:col>6</xdr:col>
                    <xdr:colOff>609600</xdr:colOff>
                    <xdr:row>10</xdr:row>
                    <xdr:rowOff>28575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E44"/>
  <sheetViews>
    <sheetView workbookViewId="0">
      <selection activeCell="F3" sqref="F3"/>
    </sheetView>
  </sheetViews>
  <sheetFormatPr baseColWidth="10" defaultColWidth="30.140625" defaultRowHeight="16.5" x14ac:dyDescent="0.3"/>
  <cols>
    <col min="1" max="1" width="25" style="1" bestFit="1" customWidth="1"/>
    <col min="2" max="2" width="10" style="1" bestFit="1" customWidth="1"/>
    <col min="3" max="3" width="40.7109375" style="1" customWidth="1"/>
    <col min="4" max="4" width="61.42578125" style="1" bestFit="1" customWidth="1"/>
    <col min="5" max="16384" width="30.140625" style="1"/>
  </cols>
  <sheetData>
    <row r="1" spans="1:5" x14ac:dyDescent="0.3">
      <c r="B1" s="1" t="s">
        <v>119</v>
      </c>
      <c r="C1" s="1" t="s">
        <v>132</v>
      </c>
      <c r="D1" s="1" t="s">
        <v>105</v>
      </c>
      <c r="E1" s="1" t="s">
        <v>117</v>
      </c>
    </row>
    <row r="2" spans="1:5" x14ac:dyDescent="0.3">
      <c r="A2" s="102" t="s">
        <v>120</v>
      </c>
      <c r="B2" s="102" t="s">
        <v>120</v>
      </c>
      <c r="C2" s="107" t="s">
        <v>126</v>
      </c>
      <c r="D2" s="107" t="s">
        <v>127</v>
      </c>
      <c r="E2" s="1" t="s">
        <v>121</v>
      </c>
    </row>
    <row r="3" spans="1:5" x14ac:dyDescent="0.3">
      <c r="A3" s="102" t="s">
        <v>121</v>
      </c>
      <c r="B3" s="102" t="s">
        <v>121</v>
      </c>
      <c r="C3" s="107" t="s">
        <v>127</v>
      </c>
      <c r="D3" s="107" t="s">
        <v>130</v>
      </c>
      <c r="E3" s="1" t="s">
        <v>124</v>
      </c>
    </row>
    <row r="4" spans="1:5" x14ac:dyDescent="0.3">
      <c r="A4" s="102" t="s">
        <v>122</v>
      </c>
      <c r="B4" s="102" t="s">
        <v>122</v>
      </c>
      <c r="C4" s="107" t="s">
        <v>128</v>
      </c>
      <c r="D4" s="107" t="s">
        <v>131</v>
      </c>
      <c r="E4" s="102" t="s">
        <v>125</v>
      </c>
    </row>
    <row r="5" spans="1:5" x14ac:dyDescent="0.3">
      <c r="A5" s="102" t="s">
        <v>123</v>
      </c>
      <c r="B5" s="102" t="s">
        <v>123</v>
      </c>
      <c r="C5" s="107" t="s">
        <v>129</v>
      </c>
      <c r="D5" s="107" t="s">
        <v>131</v>
      </c>
    </row>
    <row r="6" spans="1:5" x14ac:dyDescent="0.3">
      <c r="A6" s="102" t="s">
        <v>124</v>
      </c>
      <c r="B6" s="102" t="s">
        <v>124</v>
      </c>
      <c r="C6" s="107" t="s">
        <v>130</v>
      </c>
      <c r="D6" s="107" t="s">
        <v>130</v>
      </c>
    </row>
    <row r="7" spans="1:5" x14ac:dyDescent="0.3">
      <c r="A7" s="102" t="s">
        <v>125</v>
      </c>
      <c r="B7" s="102" t="s">
        <v>125</v>
      </c>
      <c r="C7" s="107" t="s">
        <v>131</v>
      </c>
      <c r="D7" s="107" t="s">
        <v>131</v>
      </c>
    </row>
    <row r="9" spans="1:5" x14ac:dyDescent="0.3">
      <c r="A9" s="103"/>
    </row>
    <row r="10" spans="1:5" x14ac:dyDescent="0.3">
      <c r="A10" s="2" t="s">
        <v>27</v>
      </c>
      <c r="B10" s="106">
        <v>1</v>
      </c>
      <c r="C10" s="3" t="s">
        <v>76</v>
      </c>
      <c r="D10" s="2" t="s">
        <v>27</v>
      </c>
      <c r="E10" s="4"/>
    </row>
    <row r="11" spans="1:5" x14ac:dyDescent="0.3">
      <c r="A11" s="15" t="s">
        <v>80</v>
      </c>
      <c r="B11" s="106">
        <v>0.5</v>
      </c>
      <c r="C11" s="1" t="s">
        <v>77</v>
      </c>
      <c r="D11" s="15" t="s">
        <v>80</v>
      </c>
    </row>
    <row r="12" spans="1:5" x14ac:dyDescent="0.3">
      <c r="A12" s="6" t="s">
        <v>70</v>
      </c>
      <c r="B12" s="106">
        <v>1</v>
      </c>
      <c r="C12" s="4" t="s">
        <v>3</v>
      </c>
      <c r="D12" s="6" t="s">
        <v>70</v>
      </c>
    </row>
    <row r="13" spans="1:5" x14ac:dyDescent="0.3">
      <c r="A13" s="16" t="s">
        <v>81</v>
      </c>
      <c r="B13" s="106">
        <v>0.5</v>
      </c>
      <c r="C13" s="7" t="s">
        <v>78</v>
      </c>
      <c r="D13" s="16" t="s">
        <v>81</v>
      </c>
    </row>
    <row r="14" spans="1:5" x14ac:dyDescent="0.3">
      <c r="A14" s="8" t="s">
        <v>25</v>
      </c>
      <c r="B14" s="106">
        <v>1</v>
      </c>
      <c r="C14" s="4" t="s">
        <v>28</v>
      </c>
      <c r="D14" s="8" t="s">
        <v>25</v>
      </c>
    </row>
    <row r="15" spans="1:5" x14ac:dyDescent="0.3">
      <c r="A15" s="9" t="s">
        <v>67</v>
      </c>
      <c r="B15" s="106">
        <v>1</v>
      </c>
      <c r="C15" s="5" t="s">
        <v>66</v>
      </c>
      <c r="D15" s="9" t="s">
        <v>67</v>
      </c>
    </row>
    <row r="16" spans="1:5" x14ac:dyDescent="0.3">
      <c r="A16" s="104" t="s">
        <v>84</v>
      </c>
      <c r="B16" s="106">
        <v>0.5</v>
      </c>
      <c r="C16" s="5" t="s">
        <v>85</v>
      </c>
      <c r="D16" s="104" t="s">
        <v>84</v>
      </c>
    </row>
    <row r="17" spans="1:4" x14ac:dyDescent="0.3">
      <c r="A17" s="10" t="s">
        <v>68</v>
      </c>
      <c r="B17" s="106">
        <v>1</v>
      </c>
      <c r="C17" s="11" t="s">
        <v>69</v>
      </c>
      <c r="D17" s="10" t="s">
        <v>68</v>
      </c>
    </row>
    <row r="18" spans="1:4" x14ac:dyDescent="0.3">
      <c r="A18" s="105" t="s">
        <v>83</v>
      </c>
      <c r="B18" s="106">
        <v>0.5</v>
      </c>
      <c r="C18" s="1" t="s">
        <v>86</v>
      </c>
      <c r="D18" s="105" t="s">
        <v>83</v>
      </c>
    </row>
    <row r="21" spans="1:4" x14ac:dyDescent="0.3">
      <c r="A21" s="1" t="s">
        <v>102</v>
      </c>
    </row>
    <row r="22" spans="1:4" x14ac:dyDescent="0.3">
      <c r="A22" s="1" t="s">
        <v>103</v>
      </c>
    </row>
    <row r="25" spans="1:4" x14ac:dyDescent="0.3">
      <c r="A25" s="1" t="s">
        <v>108</v>
      </c>
    </row>
    <row r="26" spans="1:4" x14ac:dyDescent="0.3">
      <c r="A26" s="121">
        <v>43101</v>
      </c>
      <c r="B26" s="122"/>
      <c r="C26" s="123"/>
      <c r="D26" s="124"/>
    </row>
    <row r="27" spans="1:4" x14ac:dyDescent="0.3">
      <c r="A27" s="121">
        <v>43106</v>
      </c>
      <c r="B27" s="122"/>
      <c r="C27" s="123"/>
      <c r="D27" s="124"/>
    </row>
    <row r="28" spans="1:4" x14ac:dyDescent="0.3">
      <c r="A28" s="121">
        <v>43144</v>
      </c>
      <c r="B28" s="122"/>
      <c r="C28" s="123"/>
      <c r="D28" s="124"/>
    </row>
    <row r="29" spans="1:4" x14ac:dyDescent="0.3">
      <c r="A29" s="121">
        <v>43145</v>
      </c>
      <c r="B29" s="122"/>
      <c r="C29" s="123"/>
      <c r="D29" s="124"/>
    </row>
    <row r="30" spans="1:4" x14ac:dyDescent="0.3">
      <c r="A30" s="121">
        <v>43191</v>
      </c>
      <c r="B30" s="122"/>
      <c r="C30" s="123"/>
      <c r="D30" s="124"/>
    </row>
    <row r="31" spans="1:4" x14ac:dyDescent="0.3">
      <c r="A31" s="121">
        <v>43191</v>
      </c>
      <c r="B31" s="122"/>
      <c r="C31" s="123"/>
      <c r="D31" s="124"/>
    </row>
    <row r="32" spans="1:4" x14ac:dyDescent="0.3">
      <c r="A32" s="121">
        <v>43192</v>
      </c>
      <c r="B32" s="122"/>
      <c r="C32" s="123"/>
      <c r="D32" s="124"/>
    </row>
    <row r="33" spans="1:4" x14ac:dyDescent="0.3">
      <c r="A33" s="121">
        <v>43221</v>
      </c>
      <c r="B33" s="122"/>
      <c r="C33" s="123"/>
      <c r="D33" s="124"/>
    </row>
    <row r="34" spans="1:4" x14ac:dyDescent="0.3">
      <c r="A34" s="121">
        <v>43228</v>
      </c>
      <c r="B34" s="122"/>
      <c r="C34" s="123"/>
      <c r="D34" s="124"/>
    </row>
    <row r="35" spans="1:4" x14ac:dyDescent="0.3">
      <c r="A35" s="121">
        <v>43230</v>
      </c>
      <c r="B35" s="122"/>
      <c r="C35" s="123"/>
      <c r="D35" s="124"/>
    </row>
    <row r="36" spans="1:4" x14ac:dyDescent="0.3">
      <c r="A36" s="121">
        <v>43240</v>
      </c>
      <c r="B36" s="122"/>
      <c r="C36" s="123"/>
      <c r="D36" s="124"/>
    </row>
    <row r="37" spans="1:4" x14ac:dyDescent="0.3">
      <c r="A37" s="121">
        <v>43240</v>
      </c>
      <c r="B37" s="122"/>
      <c r="C37" s="123"/>
      <c r="D37" s="124"/>
    </row>
    <row r="38" spans="1:4" x14ac:dyDescent="0.3">
      <c r="A38" s="121">
        <v>43241</v>
      </c>
      <c r="B38" s="122"/>
      <c r="C38" s="123"/>
      <c r="D38" s="124"/>
    </row>
    <row r="39" spans="1:4" x14ac:dyDescent="0.3">
      <c r="A39" s="121">
        <v>43295</v>
      </c>
      <c r="B39" s="122"/>
      <c r="C39" s="123"/>
      <c r="D39" s="124"/>
    </row>
    <row r="40" spans="1:4" x14ac:dyDescent="0.3">
      <c r="A40" s="121">
        <v>43327</v>
      </c>
      <c r="B40" s="122"/>
      <c r="C40" s="123"/>
      <c r="D40" s="124"/>
    </row>
    <row r="41" spans="1:4" x14ac:dyDescent="0.3">
      <c r="A41" s="121">
        <v>43405</v>
      </c>
      <c r="B41" s="122"/>
      <c r="C41" s="123"/>
      <c r="D41" s="124"/>
    </row>
    <row r="42" spans="1:4" x14ac:dyDescent="0.3">
      <c r="A42" s="121">
        <v>43415</v>
      </c>
      <c r="B42" s="122"/>
      <c r="C42" s="123"/>
      <c r="D42" s="124"/>
    </row>
    <row r="43" spans="1:4" x14ac:dyDescent="0.3">
      <c r="A43" s="121">
        <v>43459</v>
      </c>
      <c r="B43" s="122"/>
      <c r="C43" s="123"/>
      <c r="D43" s="124"/>
    </row>
    <row r="44" spans="1:4" x14ac:dyDescent="0.3">
      <c r="A44" s="121">
        <v>43465</v>
      </c>
      <c r="B44"/>
      <c r="C44"/>
      <c r="D44"/>
    </row>
  </sheetData>
  <dataValidations count="1">
    <dataValidation allowBlank="1" showErrorMessage="1" sqref="J10:Q10 C12 C14:D17 A14:A17 A10:A12 C10:E10 D11:D12"/>
  </dataValidations>
  <hyperlinks>
    <hyperlink ref="C2" r:id="rId1"/>
    <hyperlink ref="C3:C7" r:id="rId2" display="toto@gmail.com"/>
    <hyperlink ref="C3" r:id="rId3"/>
    <hyperlink ref="C4" r:id="rId4"/>
    <hyperlink ref="C5" r:id="rId5"/>
    <hyperlink ref="C6" r:id="rId6"/>
    <hyperlink ref="C7" r:id="rId7"/>
    <hyperlink ref="D2" r:id="rId8" display="toto@gmail.com"/>
    <hyperlink ref="D3" r:id="rId9" display="toto@gmail.com"/>
    <hyperlink ref="D6" r:id="rId10" display="toto@gmail.com"/>
    <hyperlink ref="D7" r:id="rId11" display="toto@gmail.com"/>
    <hyperlink ref="D4" r:id="rId12" display="toto@gmail.com"/>
    <hyperlink ref="D5" r:id="rId13" display="toto@gmail.com"/>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7</vt:i4>
      </vt:variant>
    </vt:vector>
  </HeadingPairs>
  <TitlesOfParts>
    <vt:vector size="18" baseType="lpstr">
      <vt:lpstr>tata</vt:lpstr>
      <vt:lpstr>tete</vt:lpstr>
      <vt:lpstr>toto</vt:lpstr>
      <vt:lpstr>tyty</vt:lpstr>
      <vt:lpstr>tutu</vt:lpstr>
      <vt:lpstr>titi</vt:lpstr>
      <vt:lpstr>2018</vt:lpstr>
      <vt:lpstr>2017</vt:lpstr>
      <vt:lpstr>Demandes</vt:lpstr>
      <vt:lpstr>Nouvelle Demande</vt:lpstr>
      <vt:lpstr>Personnel</vt:lpstr>
      <vt:lpstr>'2017'!AnnéeCalendrier</vt:lpstr>
      <vt:lpstr>AnnéeCalendrier</vt:lpstr>
      <vt:lpstr>'2017'!Jan</vt:lpstr>
      <vt:lpstr>Jan</vt:lpstr>
      <vt:lpstr>'2017'!NomMois</vt:lpstr>
      <vt:lpstr>'2018'!NomMois</vt:lpstr>
      <vt:lpstr>types_congé</vt:lpstr>
    </vt:vector>
  </TitlesOfParts>
  <Company>MSA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Jolanda Mechielsen</dc:creator>
  <cp:lastModifiedBy>patrice phishert</cp:lastModifiedBy>
  <cp:lastPrinted>2017-06-08T09:59:32Z</cp:lastPrinted>
  <dcterms:created xsi:type="dcterms:W3CDTF">2013-09-12T13:00:54Z</dcterms:created>
  <dcterms:modified xsi:type="dcterms:W3CDTF">2018-02-12T11:08:26Z</dcterms:modified>
</cp:coreProperties>
</file>