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10455" activeTab="1"/>
  </bookViews>
  <sheets>
    <sheet name="Acceuil" sheetId="4" r:id="rId1"/>
    <sheet name="BDD" sheetId="1" r:id="rId2"/>
  </sheets>
  <definedNames>
    <definedName name="Carriere_dijonnaise">BDD!$E$3:$E$6</definedName>
    <definedName name="Chantier">BDD!$E:$E</definedName>
    <definedName name="Clef_salarié_1">BDD!$B:$B</definedName>
    <definedName name="Clef_salarié_2">BDD!$C:$C</definedName>
    <definedName name="Date">BDD!$D:$D</definedName>
    <definedName name="Index">BDD!$A:$A</definedName>
    <definedName name="nom_concasseur">BDD!#REF!</definedName>
    <definedName name="Salarié_1">BDD!$F:$F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00" i="1" l="1"/>
  <c r="B1000" i="1"/>
  <c r="A1000" i="1"/>
  <c r="C2" i="1"/>
  <c r="B2" i="1"/>
  <c r="A2" i="1"/>
  <c r="C3" i="1" l="1"/>
  <c r="C4" i="1"/>
  <c r="C5" i="1"/>
  <c r="C6" i="1"/>
  <c r="B3" i="1"/>
  <c r="B4" i="1"/>
  <c r="B5" i="1"/>
  <c r="B6" i="1"/>
  <c r="BW4" i="1" l="1"/>
  <c r="BV4" i="1"/>
  <c r="BU4" i="1"/>
  <c r="BT4" i="1"/>
  <c r="BS4" i="1"/>
  <c r="BR4" i="1"/>
  <c r="AS4" i="1"/>
  <c r="BW2" i="1"/>
  <c r="BV2" i="1"/>
  <c r="BU2" i="1"/>
  <c r="BT2" i="1"/>
  <c r="BS2" i="1"/>
  <c r="BR2" i="1"/>
  <c r="A3" i="1"/>
  <c r="A4" i="1" s="1"/>
  <c r="A5" i="1" s="1"/>
  <c r="A6" i="1" s="1"/>
  <c r="CB2" i="1" l="1"/>
  <c r="CG2" i="1"/>
  <c r="BX2" i="1"/>
  <c r="BY2" i="1" s="1"/>
  <c r="CF2" i="1"/>
  <c r="CB4" i="1"/>
  <c r="CC4" i="1"/>
  <c r="CE4" i="1"/>
  <c r="BX4" i="1"/>
  <c r="BY4" i="1" s="1"/>
  <c r="CF4" i="1"/>
  <c r="CC2" i="1"/>
  <c r="CI2" i="1" s="1"/>
  <c r="CG4" i="1"/>
  <c r="CA4" i="1"/>
  <c r="BZ2" i="1"/>
  <c r="AS5" i="1"/>
  <c r="AS6" i="1" s="1"/>
  <c r="CD2" i="1"/>
  <c r="CA2" i="1"/>
  <c r="CE2" i="1"/>
  <c r="BZ4" i="1"/>
  <c r="CD4" i="1"/>
  <c r="BR3" i="1"/>
  <c r="BS3" i="1" s="1"/>
  <c r="BT3" i="1" s="1"/>
  <c r="BU3" i="1" s="1"/>
  <c r="BV3" i="1" s="1"/>
  <c r="CC3" i="1" s="1"/>
  <c r="BR6" i="1"/>
  <c r="BS6" i="1" s="1"/>
  <c r="BT6" i="1" s="1"/>
  <c r="BU6" i="1" s="1"/>
  <c r="BV6" i="1" s="1"/>
  <c r="CF6" i="1" s="1"/>
  <c r="BR5" i="1"/>
  <c r="BS5" i="1" s="1"/>
  <c r="BT5" i="1" s="1"/>
  <c r="BU5" i="1" s="1"/>
  <c r="BV5" i="1" s="1"/>
  <c r="CD5" i="1" s="1"/>
  <c r="CH2" i="1" l="1"/>
  <c r="CJ2" i="1"/>
  <c r="CJ4" i="1"/>
  <c r="CI4" i="1"/>
  <c r="BW5" i="1"/>
  <c r="CG5" i="1" s="1"/>
  <c r="CH4" i="1"/>
  <c r="CD3" i="1"/>
  <c r="CF5" i="1"/>
  <c r="CC5" i="1"/>
  <c r="CB5" i="1"/>
  <c r="BX3" i="1"/>
  <c r="BY3" i="1" s="1"/>
  <c r="CA3" i="1"/>
  <c r="CE3" i="1"/>
  <c r="BZ3" i="1"/>
  <c r="CB3" i="1"/>
  <c r="CI3" i="1" s="1"/>
  <c r="CF3" i="1"/>
  <c r="BW3" i="1"/>
  <c r="CG3" i="1" s="1"/>
  <c r="CE5" i="1"/>
  <c r="BZ5" i="1"/>
  <c r="CA5" i="1"/>
  <c r="BX5" i="1"/>
  <c r="BY5" i="1" s="1"/>
  <c r="CD6" i="1"/>
  <c r="BW6" i="1"/>
  <c r="CG6" i="1" s="1"/>
  <c r="BX6" i="1"/>
  <c r="BY6" i="1" s="1"/>
  <c r="CC6" i="1"/>
  <c r="CA6" i="1"/>
  <c r="CB6" i="1"/>
  <c r="BZ6" i="1"/>
  <c r="CE6" i="1"/>
  <c r="CJ6" i="1" l="1"/>
  <c r="CH5" i="1"/>
  <c r="CI5" i="1"/>
  <c r="CH3" i="1"/>
  <c r="CJ3" i="1"/>
  <c r="CJ5" i="1"/>
  <c r="CH6" i="1"/>
  <c r="CI6" i="1"/>
</calcChain>
</file>

<file path=xl/sharedStrings.xml><?xml version="1.0" encoding="utf-8"?>
<sst xmlns="http://schemas.openxmlformats.org/spreadsheetml/2006/main" count="146" uniqueCount="118">
  <si>
    <t>HMO Totale</t>
  </si>
  <si>
    <t>Chantier</t>
  </si>
  <si>
    <t>Date</t>
  </si>
  <si>
    <t>RFM</t>
  </si>
  <si>
    <t>Ecart</t>
  </si>
  <si>
    <t>1er jour</t>
  </si>
  <si>
    <t>dernier jour</t>
  </si>
  <si>
    <t>Execice N</t>
  </si>
  <si>
    <t>2016/2017</t>
  </si>
  <si>
    <t>ExeciceN-1</t>
  </si>
  <si>
    <t>2015/2016</t>
  </si>
  <si>
    <t>T/HBroyage</t>
  </si>
  <si>
    <t>Ratio HBroyage/HMO = efficacité</t>
  </si>
  <si>
    <t>Ratio HBroyage/HMoteur = efficience</t>
  </si>
  <si>
    <t>T/HMO = productivité</t>
  </si>
  <si>
    <t>CTRL</t>
  </si>
  <si>
    <t>Salarié 2</t>
  </si>
  <si>
    <t>GRANUL 1</t>
  </si>
  <si>
    <t>GRANUL 2</t>
  </si>
  <si>
    <t>GRANUL 3</t>
  </si>
  <si>
    <t>GRANUL 4</t>
  </si>
  <si>
    <t>GRANUL 5</t>
  </si>
  <si>
    <t>Tonne GRANUL 1</t>
  </si>
  <si>
    <t>Tonne GRANUL 2</t>
  </si>
  <si>
    <t>Tonne GRANUL 3</t>
  </si>
  <si>
    <t>Tonne GRANUL 4</t>
  </si>
  <si>
    <t>Tonne GRANUL 5</t>
  </si>
  <si>
    <t>40/150</t>
  </si>
  <si>
    <t>20/40</t>
  </si>
  <si>
    <t>Salarié 1 heures debut matin</t>
  </si>
  <si>
    <t>Salarié 2 heures fin matin</t>
  </si>
  <si>
    <t>Salarié 1 heures fin matin</t>
  </si>
  <si>
    <t>Salarié 1 heures debut après-midi</t>
  </si>
  <si>
    <t>Salarié 1 heures fin après-midi</t>
  </si>
  <si>
    <t>Salarié 2 heures debut matin</t>
  </si>
  <si>
    <t>Salarié 2 heures debut après-midi</t>
  </si>
  <si>
    <t>Salarié 2 heures fin après-midi</t>
  </si>
  <si>
    <t>Interim 1 heures debut matin</t>
  </si>
  <si>
    <t>Interim 1 heures fin matin</t>
  </si>
  <si>
    <t>Interim 1 heures debut après-midi</t>
  </si>
  <si>
    <t>Interim 1 heures fin après-midi</t>
  </si>
  <si>
    <t>Interim 2 heures debut matin</t>
  </si>
  <si>
    <t>Interim 2 heures fin matin</t>
  </si>
  <si>
    <t>Interim 2 heures debut après-midi</t>
  </si>
  <si>
    <t>Interim 2 heures fin après-midi</t>
  </si>
  <si>
    <t>Salarié 1 total heures</t>
  </si>
  <si>
    <t>Salarié 2 total heures</t>
  </si>
  <si>
    <t>Interim 1 total heures</t>
  </si>
  <si>
    <t>Interim 2 total heures</t>
  </si>
  <si>
    <t>Nom concasseur</t>
  </si>
  <si>
    <t>Litre concasseur</t>
  </si>
  <si>
    <t>Nom crible</t>
  </si>
  <si>
    <t>Litre crible</t>
  </si>
  <si>
    <t>Heure fin journée moteur concasseur</t>
  </si>
  <si>
    <t>Heure fin de journée moteur crible</t>
  </si>
  <si>
    <t>Nom pelle</t>
  </si>
  <si>
    <t>Litre pelle</t>
  </si>
  <si>
    <t>Heure fin de journée moteur pelle</t>
  </si>
  <si>
    <t>Nom chargeur</t>
  </si>
  <si>
    <t>Litre chargeur</t>
  </si>
  <si>
    <t>Nom compresseur</t>
  </si>
  <si>
    <t>Litre compresseur</t>
  </si>
  <si>
    <t>Heure fin de journée moteur compresseur</t>
  </si>
  <si>
    <t>Fournisseur GNR</t>
  </si>
  <si>
    <t>Km fourgon</t>
  </si>
  <si>
    <t>Arrêt 2</t>
  </si>
  <si>
    <t>Arrêt 1</t>
  </si>
  <si>
    <t>Arrêt 3</t>
  </si>
  <si>
    <t>Arrêt 4</t>
  </si>
  <si>
    <t>Arrêt 5</t>
  </si>
  <si>
    <t>Temps arrêt 1</t>
  </si>
  <si>
    <t>Temps arrêt 2</t>
  </si>
  <si>
    <t>Temps arrêt 3</t>
  </si>
  <si>
    <t>Temps arrêt 4</t>
  </si>
  <si>
    <t>Temps arrêt 5</t>
  </si>
  <si>
    <t>Interim 1</t>
  </si>
  <si>
    <t>Interim 2</t>
  </si>
  <si>
    <t>Salarié 1</t>
  </si>
  <si>
    <t>Marlien</t>
  </si>
  <si>
    <t>Tournier</t>
  </si>
  <si>
    <t>Carriere dijonnaise</t>
  </si>
  <si>
    <t>Leservot</t>
  </si>
  <si>
    <t>Heure fin de journée moteur chargeur</t>
  </si>
  <si>
    <t>Thevenin</t>
  </si>
  <si>
    <t>Probleme de demarreur</t>
  </si>
  <si>
    <t>Batterie à plat</t>
  </si>
  <si>
    <t>10/20</t>
  </si>
  <si>
    <t>Tonnes totales</t>
  </si>
  <si>
    <t>Matériaux</t>
  </si>
  <si>
    <t>Carrière</t>
  </si>
  <si>
    <t>Clef</t>
  </si>
  <si>
    <t>MR 110 EVo2</t>
  </si>
  <si>
    <t>METSO</t>
  </si>
  <si>
    <t>HMOT jour concasseur</t>
  </si>
  <si>
    <t>HMOT jour crible</t>
  </si>
  <si>
    <t>HMOT jour pelle</t>
  </si>
  <si>
    <t>HMOT jour chargeur</t>
  </si>
  <si>
    <t>HMOT jour compresseur</t>
  </si>
  <si>
    <t>42857RFMMR 110 EVo2</t>
  </si>
  <si>
    <t>42858RFMMR 110 EVo2</t>
  </si>
  <si>
    <t>42858Carriere dijonnaiseMETSO</t>
  </si>
  <si>
    <t>42857Carriere dijonnaiseMETSO</t>
  </si>
  <si>
    <t>42860RFMMR 110 EVo2</t>
  </si>
  <si>
    <t>Heure fin de journée broyeur concasseur</t>
  </si>
  <si>
    <t>Heure début journée moteur concasseur</t>
  </si>
  <si>
    <t>Heure début de journée broyeur concasseur</t>
  </si>
  <si>
    <t>Heure début de journée moteur crible</t>
  </si>
  <si>
    <t>Heure début de journée moteur pelle</t>
  </si>
  <si>
    <t>Heure début de journée moteur chargeur</t>
  </si>
  <si>
    <t>Heure début de journée moteur compresseur</t>
  </si>
  <si>
    <t>Index</t>
  </si>
  <si>
    <t>HBROY jour concasseur</t>
  </si>
  <si>
    <t>H Chantier</t>
  </si>
  <si>
    <t>Temps d'arrêt total</t>
  </si>
  <si>
    <t>Clef salarié 1</t>
  </si>
  <si>
    <t>Clef salarié 2</t>
  </si>
  <si>
    <t>Gobeaut</t>
  </si>
  <si>
    <t>Kadiri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</si>
</sst>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9" fontId="0" fillId="0" borderId="0" xfId="0" applyNumberForma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Border="1"/>
    <xf numFmtId="0" fontId="0" fillId="2" borderId="0" xfId="0" applyFill="1" applyAlignment="1">
      <alignment wrapText="1"/>
    </xf>
    <xf numFmtId="0" fontId="0" fillId="0" borderId="0" xfId="0" applyFont="1"/>
    <xf numFmtId="1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workbookViewId="0">
      <selection activeCell="N28" sqref="N28"/>
    </sheetView>
  </sheetViews>
  <sheetFormatPr baseColWidth="10" defaultRowHeight="15" x14ac:dyDescent="0.25"/>
  <sheetData>
    <row r="1" spans="1:4" x14ac:dyDescent="0.25">
      <c r="C1" t="s">
        <v>5</v>
      </c>
      <c r="D1" t="s">
        <v>6</v>
      </c>
    </row>
    <row r="2" spans="1:4" x14ac:dyDescent="0.25">
      <c r="A2" t="s">
        <v>7</v>
      </c>
      <c r="B2" t="s">
        <v>8</v>
      </c>
      <c r="C2" s="1">
        <v>42552</v>
      </c>
      <c r="D2" s="1">
        <v>42916</v>
      </c>
    </row>
    <row r="3" spans="1:4" x14ac:dyDescent="0.25">
      <c r="A3" t="s">
        <v>9</v>
      </c>
      <c r="B3" t="s">
        <v>10</v>
      </c>
      <c r="C3" s="1">
        <v>42186</v>
      </c>
      <c r="D3" s="1">
        <v>42551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CM1000"/>
  <sheetViews>
    <sheetView tabSelected="1" workbookViewId="0"/>
  </sheetViews>
  <sheetFormatPr baseColWidth="10" defaultRowHeight="15" x14ac:dyDescent="0.25"/>
  <cols>
    <col min="1" max="1" width="9.28515625" customWidth="1"/>
    <col min="2" max="2" width="21.5703125" customWidth="1"/>
    <col min="3" max="3" width="15.28515625" bestFit="1" customWidth="1"/>
    <col min="4" max="4" width="14.85546875" customWidth="1"/>
    <col min="5" max="5" width="14.28515625" customWidth="1"/>
    <col min="6" max="6" width="11.5703125" style="10"/>
    <col min="7" max="7" width="10.5703125" bestFit="1" customWidth="1"/>
    <col min="8" max="8" width="11.5703125" bestFit="1" customWidth="1"/>
    <col min="9" max="11" width="11.5703125" customWidth="1"/>
    <col min="12" max="12" width="7.42578125" bestFit="1" customWidth="1"/>
    <col min="13" max="57" width="11.5703125" customWidth="1"/>
    <col min="58" max="68" width="9.28515625" customWidth="1"/>
    <col min="69" max="69" width="25.28515625" customWidth="1"/>
    <col min="70" max="75" width="11.5703125" customWidth="1"/>
    <col min="76" max="76" width="10.85546875" bestFit="1" customWidth="1"/>
    <col min="77" max="84" width="10.85546875" customWidth="1"/>
    <col min="85" max="85" width="11.7109375" customWidth="1"/>
    <col min="86" max="86" width="20.28515625" bestFit="1" customWidth="1"/>
    <col min="87" max="87" width="23.42578125" bestFit="1" customWidth="1"/>
    <col min="91" max="91" width="11.42578125" customWidth="1"/>
  </cols>
  <sheetData>
    <row r="1" spans="1:91" s="4" customFormat="1" ht="90" x14ac:dyDescent="0.25">
      <c r="A1" s="6" t="s">
        <v>110</v>
      </c>
      <c r="B1" s="6" t="s">
        <v>114</v>
      </c>
      <c r="C1" s="6" t="s">
        <v>115</v>
      </c>
      <c r="D1" s="4" t="s">
        <v>2</v>
      </c>
      <c r="E1" s="4" t="s">
        <v>1</v>
      </c>
      <c r="F1" s="9" t="s">
        <v>77</v>
      </c>
      <c r="G1" s="4" t="s">
        <v>29</v>
      </c>
      <c r="H1" s="4" t="s">
        <v>31</v>
      </c>
      <c r="I1" s="4" t="s">
        <v>32</v>
      </c>
      <c r="J1" s="4" t="s">
        <v>33</v>
      </c>
      <c r="K1" s="4" t="s">
        <v>45</v>
      </c>
      <c r="L1" s="4" t="s">
        <v>16</v>
      </c>
      <c r="M1" s="4" t="s">
        <v>34</v>
      </c>
      <c r="N1" s="4" t="s">
        <v>30</v>
      </c>
      <c r="O1" s="4" t="s">
        <v>35</v>
      </c>
      <c r="P1" s="4" t="s">
        <v>36</v>
      </c>
      <c r="Q1" s="4" t="s">
        <v>46</v>
      </c>
      <c r="R1" s="4" t="s">
        <v>75</v>
      </c>
      <c r="S1" s="4" t="s">
        <v>37</v>
      </c>
      <c r="T1" s="4" t="s">
        <v>38</v>
      </c>
      <c r="U1" s="4" t="s">
        <v>39</v>
      </c>
      <c r="V1" s="4" t="s">
        <v>40</v>
      </c>
      <c r="W1" s="4" t="s">
        <v>47</v>
      </c>
      <c r="X1" s="4" t="s">
        <v>76</v>
      </c>
      <c r="Y1" s="4" t="s">
        <v>41</v>
      </c>
      <c r="Z1" s="4" t="s">
        <v>42</v>
      </c>
      <c r="AA1" s="4" t="s">
        <v>43</v>
      </c>
      <c r="AB1" s="4" t="s">
        <v>44</v>
      </c>
      <c r="AC1" s="4" t="s">
        <v>48</v>
      </c>
      <c r="AD1" s="4" t="s">
        <v>49</v>
      </c>
      <c r="AE1" s="4" t="s">
        <v>50</v>
      </c>
      <c r="AF1" s="4" t="s">
        <v>53</v>
      </c>
      <c r="AG1" s="4" t="s">
        <v>103</v>
      </c>
      <c r="AH1" s="4" t="s">
        <v>51</v>
      </c>
      <c r="AI1" s="4" t="s">
        <v>52</v>
      </c>
      <c r="AJ1" s="4" t="s">
        <v>54</v>
      </c>
      <c r="AK1" s="4" t="s">
        <v>55</v>
      </c>
      <c r="AL1" s="4" t="s">
        <v>56</v>
      </c>
      <c r="AM1" s="4" t="s">
        <v>57</v>
      </c>
      <c r="AN1" s="4" t="s">
        <v>58</v>
      </c>
      <c r="AO1" s="4" t="s">
        <v>59</v>
      </c>
      <c r="AP1" s="4" t="s">
        <v>82</v>
      </c>
      <c r="AQ1" s="4" t="s">
        <v>60</v>
      </c>
      <c r="AR1" s="4" t="s">
        <v>61</v>
      </c>
      <c r="AS1" s="4" t="s">
        <v>62</v>
      </c>
      <c r="AT1" s="4" t="s">
        <v>63</v>
      </c>
      <c r="AU1" s="4" t="s">
        <v>64</v>
      </c>
      <c r="AV1" s="4" t="s">
        <v>66</v>
      </c>
      <c r="AW1" s="4" t="s">
        <v>65</v>
      </c>
      <c r="AX1" s="4" t="s">
        <v>67</v>
      </c>
      <c r="AY1" s="4" t="s">
        <v>68</v>
      </c>
      <c r="AZ1" s="4" t="s">
        <v>69</v>
      </c>
      <c r="BA1" s="4" t="s">
        <v>70</v>
      </c>
      <c r="BB1" s="4" t="s">
        <v>71</v>
      </c>
      <c r="BC1" s="4" t="s">
        <v>72</v>
      </c>
      <c r="BD1" s="4" t="s">
        <v>73</v>
      </c>
      <c r="BE1" s="4" t="s">
        <v>74</v>
      </c>
      <c r="BF1" s="4" t="s">
        <v>17</v>
      </c>
      <c r="BG1" s="4" t="s">
        <v>22</v>
      </c>
      <c r="BH1" s="4" t="s">
        <v>18</v>
      </c>
      <c r="BI1" s="4" t="s">
        <v>23</v>
      </c>
      <c r="BJ1" s="4" t="s">
        <v>19</v>
      </c>
      <c r="BK1" s="4" t="s">
        <v>24</v>
      </c>
      <c r="BL1" s="4" t="s">
        <v>20</v>
      </c>
      <c r="BM1" s="4" t="s">
        <v>25</v>
      </c>
      <c r="BN1" s="4" t="s">
        <v>21</v>
      </c>
      <c r="BO1" s="4" t="s">
        <v>26</v>
      </c>
      <c r="BP1" s="4" t="s">
        <v>88</v>
      </c>
      <c r="BQ1" s="4" t="s">
        <v>90</v>
      </c>
      <c r="BR1" s="6" t="s">
        <v>104</v>
      </c>
      <c r="BS1" s="6" t="s">
        <v>105</v>
      </c>
      <c r="BT1" s="6" t="s">
        <v>106</v>
      </c>
      <c r="BU1" s="6" t="s">
        <v>107</v>
      </c>
      <c r="BV1" s="6" t="s">
        <v>108</v>
      </c>
      <c r="BW1" s="6" t="s">
        <v>109</v>
      </c>
      <c r="BX1" s="6" t="s">
        <v>0</v>
      </c>
      <c r="BY1" s="6" t="s">
        <v>112</v>
      </c>
      <c r="BZ1" s="6" t="s">
        <v>87</v>
      </c>
      <c r="CA1" s="6" t="s">
        <v>113</v>
      </c>
      <c r="CB1" s="6" t="s">
        <v>93</v>
      </c>
      <c r="CC1" s="6" t="s">
        <v>111</v>
      </c>
      <c r="CD1" s="6" t="s">
        <v>94</v>
      </c>
      <c r="CE1" s="6" t="s">
        <v>95</v>
      </c>
      <c r="CF1" s="6" t="s">
        <v>96</v>
      </c>
      <c r="CG1" s="6" t="s">
        <v>97</v>
      </c>
      <c r="CH1" s="6" t="s">
        <v>12</v>
      </c>
      <c r="CI1" s="6" t="s">
        <v>13</v>
      </c>
      <c r="CJ1" s="6" t="s">
        <v>14</v>
      </c>
      <c r="CK1" s="6" t="s">
        <v>11</v>
      </c>
      <c r="CL1" s="6" t="s">
        <v>4</v>
      </c>
      <c r="CM1" s="6" t="s">
        <v>15</v>
      </c>
    </row>
    <row r="2" spans="1:91" x14ac:dyDescent="0.25">
      <c r="A2" s="7">
        <f>IF(BQ2&lt;&gt;"",1,"")</f>
        <v>1</v>
      </c>
      <c r="B2" s="7" t="str">
        <f>IF(F2&lt;&gt;"",CONCATENATE("Sal",D2,F2),"")</f>
        <v>Sal42857Leservot</v>
      </c>
      <c r="C2" s="7" t="str">
        <f>IF(L2&lt;&gt;"",CONCATENATE("Sal",D2,L2),"")</f>
        <v>Sal42857Gobeaut</v>
      </c>
      <c r="D2" s="1">
        <v>42857</v>
      </c>
      <c r="E2" t="s">
        <v>80</v>
      </c>
      <c r="F2" s="10" t="s">
        <v>81</v>
      </c>
      <c r="G2">
        <v>7.5</v>
      </c>
      <c r="H2">
        <v>12</v>
      </c>
      <c r="I2">
        <v>14</v>
      </c>
      <c r="J2">
        <v>18</v>
      </c>
      <c r="K2">
        <v>8.5</v>
      </c>
      <c r="L2" t="s">
        <v>116</v>
      </c>
      <c r="M2">
        <v>7.5</v>
      </c>
      <c r="N2">
        <v>12</v>
      </c>
      <c r="O2">
        <v>14</v>
      </c>
      <c r="P2">
        <v>18</v>
      </c>
      <c r="Q2">
        <v>8.5</v>
      </c>
      <c r="W2">
        <v>0</v>
      </c>
      <c r="AC2">
        <v>0</v>
      </c>
      <c r="AD2" s="5" t="s">
        <v>92</v>
      </c>
      <c r="AE2">
        <v>125</v>
      </c>
      <c r="AF2">
        <v>30552</v>
      </c>
      <c r="AG2">
        <v>25623</v>
      </c>
      <c r="AI2">
        <v>350</v>
      </c>
      <c r="AJ2">
        <v>30554</v>
      </c>
      <c r="AL2">
        <v>200</v>
      </c>
      <c r="AM2">
        <v>18412</v>
      </c>
      <c r="AO2">
        <v>200</v>
      </c>
      <c r="AP2">
        <v>15121</v>
      </c>
      <c r="AR2">
        <v>50</v>
      </c>
      <c r="AS2">
        <v>21151</v>
      </c>
      <c r="AT2" t="s">
        <v>83</v>
      </c>
      <c r="AU2">
        <v>25131</v>
      </c>
      <c r="AV2" t="s">
        <v>85</v>
      </c>
      <c r="BA2">
        <v>2</v>
      </c>
      <c r="BF2" t="s">
        <v>27</v>
      </c>
      <c r="BG2">
        <v>500</v>
      </c>
      <c r="BH2" t="s">
        <v>86</v>
      </c>
      <c r="BI2">
        <v>1000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 t="s">
        <v>1</v>
      </c>
      <c r="BQ2" s="7" t="s">
        <v>101</v>
      </c>
      <c r="BR2" s="8">
        <f>30552-7</f>
        <v>30545</v>
      </c>
      <c r="BS2" s="8">
        <f>25623-6</f>
        <v>25617</v>
      </c>
      <c r="BT2" s="8">
        <f>30554-7</f>
        <v>30547</v>
      </c>
      <c r="BU2" s="8">
        <f>18412-7</f>
        <v>18405</v>
      </c>
      <c r="BV2" s="8">
        <f>15121-7</f>
        <v>15114</v>
      </c>
      <c r="BW2" s="8">
        <f>21151-7</f>
        <v>21144</v>
      </c>
      <c r="BX2">
        <f t="shared" ref="BX2:BX6" si="0">IF(BV2&lt;&gt;"",+K2+Q2+W2+AC2,"")</f>
        <v>17</v>
      </c>
      <c r="BY2">
        <f>IF(BV2&lt;&gt;"",BX2/2,"")</f>
        <v>8.5</v>
      </c>
      <c r="BZ2">
        <f t="shared" ref="BZ2:BZ6" si="1">IF(BV2&lt;&gt;"",+BO2+BM2+BK2+BI2+BG2,"")</f>
        <v>1500</v>
      </c>
      <c r="CA2">
        <f t="shared" ref="CA2:CA6" si="2">IF(BV2&lt;&gt;"",+BA2++BB2+BC2+BD2+BE2,"")</f>
        <v>2</v>
      </c>
      <c r="CB2" s="8">
        <f t="shared" ref="CB2:CB6" si="3">IF(BV2&lt;&gt;"",+AF2-BR2,"")</f>
        <v>7</v>
      </c>
      <c r="CC2" s="8">
        <f t="shared" ref="CC2:CC6" si="4">IF(BV2&lt;&gt;"",+AG2-BS2,"")</f>
        <v>6</v>
      </c>
      <c r="CD2" s="8">
        <f t="shared" ref="CD2:CD6" si="5">IF(BV2&lt;&gt;"",+AJ2-BT2,"")</f>
        <v>7</v>
      </c>
      <c r="CE2" s="8">
        <f t="shared" ref="CE2:CE6" si="6">IF(BV2&lt;&gt;"",+AM2-BU2,"")</f>
        <v>7</v>
      </c>
      <c r="CF2" s="8">
        <f t="shared" ref="CF2:CF6" si="7">IF(BV2&lt;&gt;"",+AP2-BV2,"")</f>
        <v>7</v>
      </c>
      <c r="CG2" s="8">
        <f t="shared" ref="CG2:CG6" si="8">IF(BV2&lt;&gt;"",+AS2-BW2,"")</f>
        <v>7</v>
      </c>
      <c r="CH2" s="2">
        <f t="shared" ref="CH2:CH6" si="9">IF(BV2&lt;&gt;"",+CC2/BX2,"")</f>
        <v>0.35294117647058826</v>
      </c>
      <c r="CI2" s="2">
        <f t="shared" ref="CI2:CI6" si="10">IF(BV2&lt;&gt;"",CC2/CB2,"")</f>
        <v>0.8571428571428571</v>
      </c>
      <c r="CJ2" s="3">
        <f t="shared" ref="CJ2:CJ6" si="11">IF(BV2&lt;&gt;"",BZ2/BX2,"")</f>
        <v>88.235294117647058</v>
      </c>
      <c r="CK2" s="3"/>
      <c r="CL2" s="2"/>
      <c r="CM2" s="2"/>
    </row>
    <row r="3" spans="1:91" x14ac:dyDescent="0.25">
      <c r="A3" s="7">
        <f>IF(BQ3&lt;&gt;"",A2+1,"")</f>
        <v>2</v>
      </c>
      <c r="B3" s="7" t="str">
        <f t="shared" ref="B3:B6" si="12">IF(F3&lt;&gt;"",CONCATENATE("Sal",D3,F3),"")</f>
        <v>Sal42858Leservot</v>
      </c>
      <c r="C3" s="7" t="str">
        <f t="shared" ref="C3:C6" si="13">IF(L3&lt;&gt;"",CONCATENATE("Sal",D3,L3),"")</f>
        <v>Sal42858Gobeaut</v>
      </c>
      <c r="D3" s="1">
        <v>42858</v>
      </c>
      <c r="E3" t="s">
        <v>80</v>
      </c>
      <c r="F3" s="10" t="s">
        <v>81</v>
      </c>
      <c r="G3">
        <v>8</v>
      </c>
      <c r="H3">
        <v>12</v>
      </c>
      <c r="I3">
        <v>14</v>
      </c>
      <c r="J3">
        <v>17.5</v>
      </c>
      <c r="K3">
        <v>7.5</v>
      </c>
      <c r="L3" t="s">
        <v>116</v>
      </c>
      <c r="M3">
        <v>8</v>
      </c>
      <c r="N3">
        <v>12</v>
      </c>
      <c r="O3">
        <v>14</v>
      </c>
      <c r="P3">
        <v>17.5</v>
      </c>
      <c r="Q3">
        <v>7.5</v>
      </c>
      <c r="W3">
        <v>0</v>
      </c>
      <c r="AC3">
        <v>0</v>
      </c>
      <c r="AD3" t="s">
        <v>92</v>
      </c>
      <c r="AE3">
        <v>300</v>
      </c>
      <c r="AF3">
        <v>30559</v>
      </c>
      <c r="AG3">
        <v>25629</v>
      </c>
      <c r="AI3">
        <v>400</v>
      </c>
      <c r="AJ3">
        <v>30560</v>
      </c>
      <c r="AL3">
        <v>150</v>
      </c>
      <c r="AM3">
        <v>18420</v>
      </c>
      <c r="AO3">
        <v>150</v>
      </c>
      <c r="AP3">
        <v>15128</v>
      </c>
      <c r="AR3">
        <v>0</v>
      </c>
      <c r="AS3">
        <v>21158</v>
      </c>
      <c r="AT3" t="s">
        <v>83</v>
      </c>
      <c r="AU3">
        <v>25145</v>
      </c>
      <c r="BF3" t="s">
        <v>27</v>
      </c>
      <c r="BG3">
        <v>400</v>
      </c>
      <c r="BH3" t="s">
        <v>86</v>
      </c>
      <c r="BI3">
        <v>900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 t="s">
        <v>1</v>
      </c>
      <c r="BQ3" s="7" t="s">
        <v>100</v>
      </c>
      <c r="BR3" s="8">
        <f>IF(A3&lt;&gt;"",SUMPRODUCT(AF$2:AF$6*($AD$2:$AD$6=$AD3)*($A$2:$A$6=($A3-1))),"")</f>
        <v>30552</v>
      </c>
      <c r="BS3" s="8">
        <f>IF(BR3&lt;&gt;"",SUMPRODUCT(AG$2:AG$6*($AD$2:$AD$6=$AD3)*($A$2:$A$6=($A3-1))),"")</f>
        <v>25623</v>
      </c>
      <c r="BT3" s="8">
        <f>IF(BS3&lt;&gt;"",SUMPRODUCT(AJ$2:AJ$6*($AD$2:$AD$6=$AD3)*($A$2:$A$6=($A3-1))),"")</f>
        <v>30554</v>
      </c>
      <c r="BU3" s="8">
        <f>IF(BT3&lt;&gt;"",SUMPRODUCT(AM$2:AM$6*($AD$2:$AD$6=$AD3)*($A$2:$A$6=($A3-1))),"")</f>
        <v>18412</v>
      </c>
      <c r="BV3" s="8">
        <f>IF(BU3&lt;&gt;"",SUMPRODUCT(AP$2:AP$6*($AD$2:$AD$6=$AD3)*($A$2:$A$6=($A3-1))),"")</f>
        <v>15121</v>
      </c>
      <c r="BW3" s="8">
        <f>IF(BV3&lt;&gt;"",SUMPRODUCT(AS$2:AS$6*($AD$2:$AD$6=$AD3)*($A$2:$A$6=($A3-1))),"")</f>
        <v>21151</v>
      </c>
      <c r="BX3">
        <f t="shared" si="0"/>
        <v>15</v>
      </c>
      <c r="BY3">
        <f t="shared" ref="BY3:BY6" si="14">IF(BV3&lt;&gt;"",BX3/2,"")</f>
        <v>7.5</v>
      </c>
      <c r="BZ3">
        <f t="shared" si="1"/>
        <v>1300</v>
      </c>
      <c r="CA3">
        <f t="shared" si="2"/>
        <v>0</v>
      </c>
      <c r="CB3" s="8">
        <f t="shared" si="3"/>
        <v>7</v>
      </c>
      <c r="CC3" s="8">
        <f t="shared" si="4"/>
        <v>6</v>
      </c>
      <c r="CD3" s="8">
        <f t="shared" si="5"/>
        <v>6</v>
      </c>
      <c r="CE3" s="8">
        <f t="shared" si="6"/>
        <v>8</v>
      </c>
      <c r="CF3" s="8">
        <f t="shared" si="7"/>
        <v>7</v>
      </c>
      <c r="CG3" s="8">
        <f t="shared" si="8"/>
        <v>7</v>
      </c>
      <c r="CH3" s="2">
        <f t="shared" si="9"/>
        <v>0.4</v>
      </c>
      <c r="CI3" s="2">
        <f t="shared" si="10"/>
        <v>0.8571428571428571</v>
      </c>
      <c r="CJ3" s="3">
        <f t="shared" si="11"/>
        <v>86.666666666666671</v>
      </c>
      <c r="CK3" s="3"/>
      <c r="CL3" s="2"/>
      <c r="CM3" s="2"/>
    </row>
    <row r="4" spans="1:91" x14ac:dyDescent="0.25">
      <c r="A4" s="7">
        <f>IF(BQ4&lt;&gt;"",A3+1,"")</f>
        <v>3</v>
      </c>
      <c r="B4" s="7" t="str">
        <f t="shared" si="12"/>
        <v>Sal42857Marlien</v>
      </c>
      <c r="C4" s="7" t="str">
        <f t="shared" si="13"/>
        <v>Sal42857Kadiri</v>
      </c>
      <c r="D4" s="1">
        <v>42857</v>
      </c>
      <c r="E4" t="s">
        <v>3</v>
      </c>
      <c r="F4" s="10" t="s">
        <v>78</v>
      </c>
      <c r="G4">
        <v>8</v>
      </c>
      <c r="H4">
        <v>12</v>
      </c>
      <c r="I4">
        <v>14</v>
      </c>
      <c r="J4">
        <v>18</v>
      </c>
      <c r="K4">
        <v>8</v>
      </c>
      <c r="L4" s="1" t="s">
        <v>117</v>
      </c>
      <c r="M4">
        <v>8</v>
      </c>
      <c r="N4">
        <v>12</v>
      </c>
      <c r="O4">
        <v>14</v>
      </c>
      <c r="P4">
        <v>17.5</v>
      </c>
      <c r="Q4">
        <v>7.5</v>
      </c>
      <c r="R4" t="s">
        <v>79</v>
      </c>
      <c r="S4">
        <v>8</v>
      </c>
      <c r="T4">
        <v>12</v>
      </c>
      <c r="U4">
        <v>14</v>
      </c>
      <c r="V4">
        <v>18</v>
      </c>
      <c r="W4">
        <v>8</v>
      </c>
      <c r="AC4">
        <v>0</v>
      </c>
      <c r="AD4" s="5" t="s">
        <v>91</v>
      </c>
      <c r="AE4">
        <v>300</v>
      </c>
      <c r="AF4">
        <v>25146</v>
      </c>
      <c r="AG4">
        <v>20643</v>
      </c>
      <c r="AI4">
        <v>300</v>
      </c>
      <c r="AJ4">
        <v>35555</v>
      </c>
      <c r="AL4">
        <v>150</v>
      </c>
      <c r="AM4">
        <v>18000</v>
      </c>
      <c r="AO4">
        <v>150</v>
      </c>
      <c r="AP4">
        <v>15135</v>
      </c>
      <c r="AR4">
        <v>20</v>
      </c>
      <c r="AS4">
        <f>+AS3+7</f>
        <v>21165</v>
      </c>
      <c r="AT4" t="s">
        <v>83</v>
      </c>
      <c r="AU4">
        <v>55641</v>
      </c>
      <c r="AV4" t="s">
        <v>84</v>
      </c>
      <c r="BA4">
        <v>20</v>
      </c>
      <c r="BF4" t="s">
        <v>28</v>
      </c>
      <c r="BG4">
        <v>200</v>
      </c>
      <c r="BH4" t="s">
        <v>27</v>
      </c>
      <c r="BI4">
        <v>300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 t="s">
        <v>89</v>
      </c>
      <c r="BQ4" s="7" t="s">
        <v>98</v>
      </c>
      <c r="BR4" s="8">
        <f>25146-8</f>
        <v>25138</v>
      </c>
      <c r="BS4" s="8">
        <f>20643-7</f>
        <v>20636</v>
      </c>
      <c r="BT4" s="8">
        <f>35555-7</f>
        <v>35548</v>
      </c>
      <c r="BU4" s="8">
        <f>18000-7</f>
        <v>17993</v>
      </c>
      <c r="BV4" s="8">
        <f>15135-7</f>
        <v>15128</v>
      </c>
      <c r="BW4" s="8">
        <f>21165-7</f>
        <v>21158</v>
      </c>
      <c r="BX4">
        <f t="shared" si="0"/>
        <v>23.5</v>
      </c>
      <c r="BY4">
        <f t="shared" si="14"/>
        <v>11.75</v>
      </c>
      <c r="BZ4">
        <f t="shared" si="1"/>
        <v>500</v>
      </c>
      <c r="CA4">
        <f t="shared" si="2"/>
        <v>20</v>
      </c>
      <c r="CB4" s="8">
        <f t="shared" si="3"/>
        <v>8</v>
      </c>
      <c r="CC4" s="8">
        <f t="shared" si="4"/>
        <v>7</v>
      </c>
      <c r="CD4" s="8">
        <f t="shared" si="5"/>
        <v>7</v>
      </c>
      <c r="CE4" s="8">
        <f t="shared" si="6"/>
        <v>7</v>
      </c>
      <c r="CF4" s="8">
        <f t="shared" si="7"/>
        <v>7</v>
      </c>
      <c r="CG4" s="8">
        <f t="shared" si="8"/>
        <v>7</v>
      </c>
      <c r="CH4" s="2">
        <f t="shared" si="9"/>
        <v>0.2978723404255319</v>
      </c>
      <c r="CI4" s="2">
        <f t="shared" si="10"/>
        <v>0.875</v>
      </c>
      <c r="CJ4" s="3">
        <f t="shared" si="11"/>
        <v>21.276595744680851</v>
      </c>
      <c r="CK4" s="3"/>
      <c r="CL4" s="2"/>
      <c r="CM4" s="2"/>
    </row>
    <row r="5" spans="1:91" x14ac:dyDescent="0.25">
      <c r="A5" s="7">
        <f>IF(BQ5&lt;&gt;"",A4+1,"")</f>
        <v>4</v>
      </c>
      <c r="B5" s="7" t="str">
        <f t="shared" si="12"/>
        <v>Sal42858Marlien</v>
      </c>
      <c r="C5" s="7" t="str">
        <f t="shared" si="13"/>
        <v/>
      </c>
      <c r="D5" s="1">
        <v>42858</v>
      </c>
      <c r="E5" t="s">
        <v>3</v>
      </c>
      <c r="F5" s="10" t="s">
        <v>78</v>
      </c>
      <c r="G5">
        <v>7.5</v>
      </c>
      <c r="H5">
        <v>12.5</v>
      </c>
      <c r="I5">
        <v>14.5</v>
      </c>
      <c r="J5">
        <v>18</v>
      </c>
      <c r="K5">
        <v>8.5</v>
      </c>
      <c r="L5" s="1"/>
      <c r="Q5">
        <v>0</v>
      </c>
      <c r="R5" t="s">
        <v>79</v>
      </c>
      <c r="S5">
        <v>7.5</v>
      </c>
      <c r="T5">
        <v>12.5</v>
      </c>
      <c r="U5">
        <v>14.5</v>
      </c>
      <c r="V5">
        <v>18</v>
      </c>
      <c r="W5">
        <v>8.5</v>
      </c>
      <c r="AC5">
        <v>0</v>
      </c>
      <c r="AD5" t="s">
        <v>91</v>
      </c>
      <c r="AE5">
        <v>150</v>
      </c>
      <c r="AF5">
        <v>25152</v>
      </c>
      <c r="AG5">
        <v>20649</v>
      </c>
      <c r="AI5">
        <v>200</v>
      </c>
      <c r="AJ5">
        <v>35560</v>
      </c>
      <c r="AL5">
        <v>140</v>
      </c>
      <c r="AM5">
        <v>18006</v>
      </c>
      <c r="AO5">
        <v>140</v>
      </c>
      <c r="AP5">
        <v>15142</v>
      </c>
      <c r="AR5">
        <v>30</v>
      </c>
      <c r="AS5">
        <f>+AS4+8</f>
        <v>21173</v>
      </c>
      <c r="AT5" t="s">
        <v>83</v>
      </c>
      <c r="AU5">
        <v>55649</v>
      </c>
      <c r="BF5" t="s">
        <v>28</v>
      </c>
      <c r="BG5">
        <v>200</v>
      </c>
      <c r="BH5" t="s">
        <v>27</v>
      </c>
      <c r="BI5">
        <v>300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 t="s">
        <v>89</v>
      </c>
      <c r="BQ5" s="7" t="s">
        <v>99</v>
      </c>
      <c r="BR5" s="8">
        <f>IF(A5&lt;&gt;"",SUMPRODUCT(AF$2:AF$6*($AD$2:$AD$6=$AD5)*($A$2:$A$6=($A5-1))),"")</f>
        <v>25146</v>
      </c>
      <c r="BS5" s="8">
        <f>IF(BR5&lt;&gt;"",SUMPRODUCT(AG$2:AG$6*($AD$2:$AD$6=$AD5)*($A$2:$A$6=($A5-1))),"")</f>
        <v>20643</v>
      </c>
      <c r="BT5" s="8">
        <f>IF(BS5&lt;&gt;"",SUMPRODUCT(AJ$2:AJ$6*($AD$2:$AD$6=$AD5)*($A$2:$A$6=($A5-1))),"")</f>
        <v>35555</v>
      </c>
      <c r="BU5" s="8">
        <f>IF(BT5&lt;&gt;"",SUMPRODUCT(AM$2:AM$6*($AD$2:$AD$6=$AD5)*($A$2:$A$6=($A5-1))),"")</f>
        <v>18000</v>
      </c>
      <c r="BV5" s="8">
        <f>IF(BU5&lt;&gt;"",SUMPRODUCT(AP$2:AP$6*($AD$2:$AD$6=$AD5)*($A$2:$A$6=($A5-1))),"")</f>
        <v>15135</v>
      </c>
      <c r="BW5" s="8">
        <f>IF(BV5&lt;&gt;"",SUMPRODUCT(AS$2:AS$6*($AD$2:$AD$6=$AD5)*($A$2:$A$6=($A5-1))),"")</f>
        <v>21165</v>
      </c>
      <c r="BX5">
        <f t="shared" si="0"/>
        <v>17</v>
      </c>
      <c r="BY5">
        <f t="shared" si="14"/>
        <v>8.5</v>
      </c>
      <c r="BZ5">
        <f t="shared" si="1"/>
        <v>500</v>
      </c>
      <c r="CA5">
        <f t="shared" si="2"/>
        <v>0</v>
      </c>
      <c r="CB5" s="8">
        <f t="shared" si="3"/>
        <v>6</v>
      </c>
      <c r="CC5" s="8">
        <f t="shared" si="4"/>
        <v>6</v>
      </c>
      <c r="CD5" s="8">
        <f t="shared" si="5"/>
        <v>5</v>
      </c>
      <c r="CE5" s="8">
        <f t="shared" si="6"/>
        <v>6</v>
      </c>
      <c r="CF5" s="8">
        <f t="shared" si="7"/>
        <v>7</v>
      </c>
      <c r="CG5" s="8">
        <f t="shared" si="8"/>
        <v>8</v>
      </c>
      <c r="CH5" s="2">
        <f t="shared" si="9"/>
        <v>0.35294117647058826</v>
      </c>
      <c r="CI5" s="2">
        <f t="shared" si="10"/>
        <v>1</v>
      </c>
      <c r="CJ5" s="3">
        <f t="shared" si="11"/>
        <v>29.411764705882351</v>
      </c>
      <c r="CK5" s="3"/>
      <c r="CL5" s="2"/>
      <c r="CM5" s="2"/>
    </row>
    <row r="6" spans="1:91" x14ac:dyDescent="0.25">
      <c r="A6" s="7">
        <f>IF(BQ6&lt;&gt;"",A5+1,"")</f>
        <v>5</v>
      </c>
      <c r="B6" s="7" t="str">
        <f t="shared" si="12"/>
        <v>Sal42860Marlien</v>
      </c>
      <c r="C6" s="7" t="str">
        <f t="shared" si="13"/>
        <v/>
      </c>
      <c r="D6" s="1">
        <v>42860</v>
      </c>
      <c r="E6" t="s">
        <v>3</v>
      </c>
      <c r="F6" s="10" t="s">
        <v>78</v>
      </c>
      <c r="G6">
        <v>8</v>
      </c>
      <c r="H6">
        <v>12</v>
      </c>
      <c r="I6">
        <v>14</v>
      </c>
      <c r="J6">
        <v>18</v>
      </c>
      <c r="K6">
        <v>8</v>
      </c>
      <c r="L6" s="1"/>
      <c r="Q6">
        <v>0</v>
      </c>
      <c r="R6" t="s">
        <v>79</v>
      </c>
      <c r="S6">
        <v>8</v>
      </c>
      <c r="T6">
        <v>12</v>
      </c>
      <c r="U6">
        <v>14</v>
      </c>
      <c r="V6">
        <v>18</v>
      </c>
      <c r="W6">
        <v>8</v>
      </c>
      <c r="AC6">
        <v>0</v>
      </c>
      <c r="AD6" t="s">
        <v>91</v>
      </c>
      <c r="AE6">
        <v>300</v>
      </c>
      <c r="AF6">
        <v>25158</v>
      </c>
      <c r="AG6">
        <v>20655</v>
      </c>
      <c r="AI6">
        <v>300</v>
      </c>
      <c r="AJ6">
        <v>35565</v>
      </c>
      <c r="AL6">
        <v>150</v>
      </c>
      <c r="AM6">
        <v>18012</v>
      </c>
      <c r="AO6">
        <v>150</v>
      </c>
      <c r="AP6">
        <v>15149</v>
      </c>
      <c r="AR6">
        <v>20</v>
      </c>
      <c r="AS6">
        <f>+AS5+6</f>
        <v>21179</v>
      </c>
      <c r="AT6" t="s">
        <v>83</v>
      </c>
      <c r="AU6">
        <v>55641</v>
      </c>
      <c r="AV6" t="s">
        <v>84</v>
      </c>
      <c r="BA6">
        <v>20</v>
      </c>
      <c r="BF6" t="s">
        <v>28</v>
      </c>
      <c r="BG6">
        <v>200</v>
      </c>
      <c r="BH6" t="s">
        <v>27</v>
      </c>
      <c r="BI6">
        <v>300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 t="s">
        <v>89</v>
      </c>
      <c r="BQ6" s="7" t="s">
        <v>102</v>
      </c>
      <c r="BR6" s="8">
        <f>IF(A6&lt;&gt;"",SUMPRODUCT(AF$2:AF$6*($AD$2:$AD$6=$AD6)*($A$2:$A$6=($A6-1))),"")</f>
        <v>25152</v>
      </c>
      <c r="BS6" s="8">
        <f>IF(BR6&lt;&gt;"",SUMPRODUCT(AG$2:AG$6*($AD$2:$AD$6=$AD6)*($A$2:$A$6=($A6-1))),"")</f>
        <v>20649</v>
      </c>
      <c r="BT6" s="8">
        <f>IF(BS6&lt;&gt;"",SUMPRODUCT(AJ$2:AJ$6*($AD$2:$AD$6=$AD6)*($A$2:$A$6=($A6-1))),"")</f>
        <v>35560</v>
      </c>
      <c r="BU6" s="8">
        <f>IF(BT6&lt;&gt;"",SUMPRODUCT(AM$2:AM$6*($AD$2:$AD$6=$AD6)*($A$2:$A$6=($A6-1))),"")</f>
        <v>18006</v>
      </c>
      <c r="BV6" s="8">
        <f>IF(BU6&lt;&gt;"",SUMPRODUCT(AP$2:AP$6*($AD$2:$AD$6=$AD6)*($A$2:$A$6=($A6-1))),"")</f>
        <v>15142</v>
      </c>
      <c r="BW6" s="8">
        <f>IF(BV6&lt;&gt;"",SUMPRODUCT(AS$2:AS$6*($AD$2:$AD$6=$AD6)*($A$2:$A$6=($A6-1))),"")</f>
        <v>21173</v>
      </c>
      <c r="BX6">
        <f t="shared" si="0"/>
        <v>16</v>
      </c>
      <c r="BY6">
        <f t="shared" si="14"/>
        <v>8</v>
      </c>
      <c r="BZ6">
        <f t="shared" si="1"/>
        <v>500</v>
      </c>
      <c r="CA6">
        <f t="shared" si="2"/>
        <v>20</v>
      </c>
      <c r="CB6" s="8">
        <f t="shared" si="3"/>
        <v>6</v>
      </c>
      <c r="CC6" s="8">
        <f t="shared" si="4"/>
        <v>6</v>
      </c>
      <c r="CD6" s="8">
        <f t="shared" si="5"/>
        <v>5</v>
      </c>
      <c r="CE6" s="8">
        <f t="shared" si="6"/>
        <v>6</v>
      </c>
      <c r="CF6" s="8">
        <f t="shared" si="7"/>
        <v>7</v>
      </c>
      <c r="CG6" s="8">
        <f t="shared" si="8"/>
        <v>6</v>
      </c>
      <c r="CH6" s="2">
        <f t="shared" si="9"/>
        <v>0.375</v>
      </c>
      <c r="CI6" s="2">
        <f t="shared" si="10"/>
        <v>1</v>
      </c>
      <c r="CJ6" s="3">
        <f t="shared" si="11"/>
        <v>31.25</v>
      </c>
      <c r="CK6" s="3"/>
      <c r="CL6" s="2"/>
      <c r="CM6" s="2"/>
    </row>
    <row r="1000" spans="1:3" x14ac:dyDescent="0.25">
      <c r="A1000" s="7" t="str">
        <f>IF(BQ1000&lt;&gt;"",1,"")</f>
        <v/>
      </c>
      <c r="B1000" s="7" t="str">
        <f>IF(F1000&lt;&gt;"",CONCATENATE("Sal",D1000,F1000),"")</f>
        <v/>
      </c>
      <c r="C1000" s="7" t="str">
        <f>IF(L1000&lt;&gt;"",CONCATENATE("Sal",D1000,L1000),"")</f>
        <v/>
      </c>
    </row>
  </sheetData>
  <dataValidations count="1">
    <dataValidation type="date" allowBlank="1" showInputMessage="1" showErrorMessage="1" errorTitle="Format de date" error="La date doit être au format 01/01/2017" sqref="D1:D6 D603:D1048576">
      <formula1>42736</formula1>
      <formula2>73050</formula2>
    </dataValidation>
  </dataValidation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Acceuil</vt:lpstr>
      <vt:lpstr>BDD</vt:lpstr>
      <vt:lpstr>Carriere_dijonnaise</vt:lpstr>
      <vt:lpstr>Chantier</vt:lpstr>
      <vt:lpstr>Clef_salarié_1</vt:lpstr>
      <vt:lpstr>Clef_salarié_2</vt:lpstr>
      <vt:lpstr>Date</vt:lpstr>
      <vt:lpstr>Index</vt:lpstr>
      <vt:lpstr>Salarié_1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REY</dc:creator>
  <cp:lastModifiedBy>patrice phishert</cp:lastModifiedBy>
  <cp:lastPrinted>2017-05-23T09:04:29Z</cp:lastPrinted>
  <dcterms:created xsi:type="dcterms:W3CDTF">2017-05-09T09:22:10Z</dcterms:created>
  <dcterms:modified xsi:type="dcterms:W3CDTF">2017-05-23T15:30:21Z</dcterms:modified>
</cp:coreProperties>
</file>